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hidePivotFieldList="1" showPivotChartFilter="1" defaultThemeVersion="153222"/>
  <mc:AlternateContent xmlns:mc="http://schemas.openxmlformats.org/markup-compatibility/2006">
    <mc:Choice Requires="x15">
      <x15ac:absPath xmlns:x15ac="http://schemas.microsoft.com/office/spreadsheetml/2010/11/ac" url="C:\Users\HECTOR\Desktop\Portal de Acceso a la Informacion Publica del INEEJAD\Fraccion V Inciso r     Inventario de Bienes\"/>
    </mc:Choice>
  </mc:AlternateContent>
  <bookViews>
    <workbookView xWindow="0" yWindow="0" windowWidth="28800" windowHeight="11040" activeTab="2"/>
  </bookViews>
  <sheets>
    <sheet name="Listado General" sheetId="1" r:id="rId1"/>
    <sheet name="ResguardosXDir-CZ" sheetId="48" r:id="rId2"/>
    <sheet name="ListadoBajas@Dic2018" sheetId="33" r:id="rId3"/>
    <sheet name="ListadoProcesoBaja@Ene2019" sheetId="34" r:id="rId4"/>
    <sheet name="Of-DGO_DBMyC_0054_2019 Gas" sheetId="44" state="hidden" r:id="rId5"/>
    <sheet name="Of-DGO_DBMyC_0054_2019 Mant" sheetId="45" state="hidden" r:id="rId6"/>
    <sheet name="PólizasFederales" sheetId="60" r:id="rId7"/>
    <sheet name="PólizaEstatal" sheetId="46" r:id="rId8"/>
  </sheets>
  <definedNames>
    <definedName name="_xlnm._FilterDatabase" localSheetId="0" hidden="1">'Listado General'!$A$1:$AD$167</definedName>
    <definedName name="_xlnm._FilterDatabase" localSheetId="2" hidden="1">'ListadoBajas@Dic2018'!$A$1:$O$44</definedName>
    <definedName name="_xlnm._FilterDatabase" localSheetId="3" hidden="1">'ListadoProcesoBaja@Ene2019'!$A$1:$AA$27</definedName>
    <definedName name="_xlnm._FilterDatabase" localSheetId="7" hidden="1">PólizaEstatal!$A$1:$Q$82</definedName>
    <definedName name="_xlnm._FilterDatabase" localSheetId="6" hidden="1">PólizasFederales!$A$1:$P$23</definedName>
    <definedName name="_xlnm._FilterDatabase" localSheetId="1" hidden="1">'ResguardosXDir-CZ'!$A$1:$G$123</definedName>
    <definedName name="Criteria" localSheetId="0">'Listado General'!$Z$1:$Z$2</definedName>
    <definedName name="Criteria" localSheetId="2">'ListadoBajas@Dic2018'!#REF!</definedName>
    <definedName name="Criteria" localSheetId="3">'ListadoProcesoBaja@Ene2019'!#REF!</definedName>
    <definedName name="Criteria1" localSheetId="0">'Listado General'!#REF!</definedName>
    <definedName name="Extract" localSheetId="0">'Listado General'!$AA$1</definedName>
    <definedName name="Extract" localSheetId="2">'ListadoBajas@Dic2018'!#REF!</definedName>
    <definedName name="Extract" localSheetId="3">'ListadoProcesoBaja@Ene2019'!#REF!</definedName>
    <definedName name="Extract1" localSheetId="0">'Listado General'!#REF!</definedName>
    <definedName name="KILOMETRAJE_FINAL">#REF!</definedName>
    <definedName name="KILOMETRAJE_INICIAL">#REF!</definedName>
    <definedName name="Print_Area" localSheetId="0">'Listado General'!$D$47:$N$141</definedName>
    <definedName name="Print_Area" localSheetId="2">'ListadoBajas@Dic2018'!$A$23:$J$35</definedName>
    <definedName name="Print_Area" localSheetId="3">'ListadoProcesoBaja@Ene2019'!$A$17:$J$23</definedName>
    <definedName name="Print_Area" localSheetId="4">'Of-DGO_DBMyC_0054_2019 Gas'!$A$1:$G$80</definedName>
    <definedName name="Print_Area" localSheetId="5">'Of-DGO_DBMyC_0054_2019 Mant'!$A$4:$G$94</definedName>
    <definedName name="Print_Titles" localSheetId="4">'Of-DGO_DBMyC_0054_2019 Gas'!$1:$3</definedName>
    <definedName name="Print_Titles" localSheetId="5">'Of-DGO_DBMyC_0054_2019 Mant'!$1:$3</definedName>
    <definedName name="Print_Titles" localSheetId="1">'ResguardosXDir-CZ'!$87:$90</definedName>
  </definedNames>
  <calcPr calcId="162913"/>
</workbook>
</file>

<file path=xl/calcChain.xml><?xml version="1.0" encoding="utf-8"?>
<calcChain xmlns="http://schemas.openxmlformats.org/spreadsheetml/2006/main">
  <c r="N21" i="60" l="1"/>
  <c r="N22" i="60"/>
  <c r="N23" i="60"/>
  <c r="N2" i="60"/>
  <c r="N3" i="60"/>
  <c r="N4" i="60"/>
  <c r="N5" i="60"/>
  <c r="N6" i="60"/>
  <c r="N7" i="60"/>
  <c r="N8" i="60"/>
  <c r="N9" i="60"/>
  <c r="N10" i="60"/>
  <c r="N11" i="60"/>
  <c r="N12" i="60"/>
  <c r="N13" i="60"/>
  <c r="N14" i="60"/>
  <c r="N15" i="60"/>
  <c r="N16" i="60"/>
  <c r="N17" i="60"/>
  <c r="N18" i="60"/>
  <c r="N19" i="60"/>
  <c r="N20" i="60"/>
  <c r="L21" i="60"/>
  <c r="M21" i="60" s="1"/>
  <c r="L22" i="60"/>
  <c r="M22" i="60" s="1"/>
  <c r="L23" i="60"/>
  <c r="M23" i="60" s="1"/>
  <c r="L2" i="60"/>
  <c r="M2" i="60" s="1"/>
  <c r="L3" i="60"/>
  <c r="M3" i="60" s="1"/>
  <c r="L4" i="60"/>
  <c r="M4" i="60" s="1"/>
  <c r="L5" i="60"/>
  <c r="M5" i="60" s="1"/>
  <c r="L6" i="60"/>
  <c r="M6" i="60" s="1"/>
  <c r="L7" i="60"/>
  <c r="M7" i="60" s="1"/>
  <c r="L8" i="60"/>
  <c r="M8" i="60" s="1"/>
  <c r="L9" i="60"/>
  <c r="M9" i="60" s="1"/>
  <c r="L10" i="60"/>
  <c r="M10" i="60" s="1"/>
  <c r="L11" i="60"/>
  <c r="M11" i="60" s="1"/>
  <c r="L12" i="60"/>
  <c r="M12" i="60" s="1"/>
  <c r="L13" i="60"/>
  <c r="M13" i="60" s="1"/>
  <c r="L14" i="60"/>
  <c r="M14" i="60" s="1"/>
  <c r="L15" i="60"/>
  <c r="M15" i="60" s="1"/>
  <c r="L16" i="60"/>
  <c r="M16" i="60" s="1"/>
  <c r="L17" i="60"/>
  <c r="M17" i="60" s="1"/>
  <c r="L18" i="60"/>
  <c r="M18" i="60" s="1"/>
  <c r="L19" i="60"/>
  <c r="M19" i="60" s="1"/>
  <c r="L20" i="60"/>
  <c r="M20" i="60" s="1"/>
  <c r="W65" i="1" l="1"/>
  <c r="AD167" i="1" l="1"/>
  <c r="AC167" i="1"/>
  <c r="AD166" i="1"/>
  <c r="AC166" i="1"/>
  <c r="AD165" i="1"/>
  <c r="AC165" i="1"/>
  <c r="AD163" i="1"/>
  <c r="AC163" i="1"/>
  <c r="AD162" i="1"/>
  <c r="AC162" i="1"/>
  <c r="AD161" i="1"/>
  <c r="AC161" i="1"/>
  <c r="AD160" i="1"/>
  <c r="AC160" i="1"/>
  <c r="AD158" i="1"/>
  <c r="AC158" i="1"/>
  <c r="AD157" i="1"/>
  <c r="AC157" i="1"/>
  <c r="AD156" i="1"/>
  <c r="AC156" i="1"/>
  <c r="AD155" i="1"/>
  <c r="AC155" i="1"/>
  <c r="AD154" i="1"/>
  <c r="AC154" i="1"/>
  <c r="AD153" i="1"/>
  <c r="AC153" i="1"/>
  <c r="AD152" i="1"/>
  <c r="AC152" i="1"/>
  <c r="AD151" i="1"/>
  <c r="AC151" i="1"/>
  <c r="AD150" i="1"/>
  <c r="AC150" i="1"/>
  <c r="AD149" i="1"/>
  <c r="AC149" i="1"/>
  <c r="AD148" i="1"/>
  <c r="AC148" i="1"/>
  <c r="AD147" i="1"/>
  <c r="AC147" i="1"/>
  <c r="AD146" i="1"/>
  <c r="AC146" i="1"/>
  <c r="AD145" i="1"/>
  <c r="AC145" i="1"/>
  <c r="AD144" i="1"/>
  <c r="AC144" i="1"/>
  <c r="AD143" i="1"/>
  <c r="AC143" i="1"/>
  <c r="AD142" i="1"/>
  <c r="AC142" i="1"/>
  <c r="AD141" i="1"/>
  <c r="AC141" i="1"/>
  <c r="AD140" i="1"/>
  <c r="AC140" i="1"/>
  <c r="AD139" i="1"/>
  <c r="AC139" i="1"/>
  <c r="AD138" i="1"/>
  <c r="AC138" i="1"/>
  <c r="AD137" i="1"/>
  <c r="AC137" i="1"/>
  <c r="AD136" i="1"/>
  <c r="AC136" i="1"/>
  <c r="AD135" i="1"/>
  <c r="AC135" i="1"/>
  <c r="AD134" i="1"/>
  <c r="AC134" i="1"/>
  <c r="AD133" i="1"/>
  <c r="AC133" i="1"/>
  <c r="AD132" i="1"/>
  <c r="AC132" i="1"/>
  <c r="AD131" i="1"/>
  <c r="AC131" i="1"/>
  <c r="AD130" i="1"/>
  <c r="AC130" i="1"/>
  <c r="AD129" i="1"/>
  <c r="AC129" i="1"/>
  <c r="AD128" i="1"/>
  <c r="AC128" i="1"/>
  <c r="AD127" i="1"/>
  <c r="AC127" i="1"/>
  <c r="AD126" i="1"/>
  <c r="AC126" i="1"/>
  <c r="AD125" i="1"/>
  <c r="AC125" i="1"/>
  <c r="AD124" i="1"/>
  <c r="AC124" i="1"/>
  <c r="AD123" i="1"/>
  <c r="AC123" i="1"/>
  <c r="AD122" i="1"/>
  <c r="AC122" i="1"/>
  <c r="AD121" i="1"/>
  <c r="AC121" i="1"/>
  <c r="AD120" i="1"/>
  <c r="AC120" i="1"/>
  <c r="AD119" i="1"/>
  <c r="AC119" i="1"/>
  <c r="AD118" i="1"/>
  <c r="AC118" i="1"/>
  <c r="AD117" i="1"/>
  <c r="AC117" i="1"/>
  <c r="AD116" i="1"/>
  <c r="AC116" i="1"/>
  <c r="AD115" i="1"/>
  <c r="AC115" i="1"/>
  <c r="AD114" i="1"/>
  <c r="AC114" i="1"/>
  <c r="AD113" i="1"/>
  <c r="AC113" i="1"/>
  <c r="AD112" i="1"/>
  <c r="AC112" i="1"/>
  <c r="AD111" i="1"/>
  <c r="AC111" i="1"/>
  <c r="AD110" i="1"/>
  <c r="AC110" i="1"/>
  <c r="AD109" i="1"/>
  <c r="AC109" i="1"/>
  <c r="AD108" i="1"/>
  <c r="AC108" i="1"/>
  <c r="AD107" i="1"/>
  <c r="AC107" i="1"/>
  <c r="AD106" i="1"/>
  <c r="AC106" i="1"/>
  <c r="AD105" i="1"/>
  <c r="AC105" i="1"/>
  <c r="AD104" i="1"/>
  <c r="AC104" i="1"/>
  <c r="AD103" i="1"/>
  <c r="AC103" i="1"/>
  <c r="AD102" i="1"/>
  <c r="AC102" i="1"/>
  <c r="AD101" i="1"/>
  <c r="AC101" i="1"/>
  <c r="AD100" i="1"/>
  <c r="AC100" i="1"/>
  <c r="AD99" i="1"/>
  <c r="AC99" i="1"/>
  <c r="AD98" i="1"/>
  <c r="AC98" i="1"/>
  <c r="AD97" i="1"/>
  <c r="AC97" i="1"/>
  <c r="AD96" i="1"/>
  <c r="AC96" i="1"/>
  <c r="AD95" i="1"/>
  <c r="AC95" i="1"/>
  <c r="AD94" i="1"/>
  <c r="AC94" i="1"/>
  <c r="AD93" i="1"/>
  <c r="AC93" i="1"/>
  <c r="AD92" i="1"/>
  <c r="AC92" i="1"/>
  <c r="AD91" i="1"/>
  <c r="AC91" i="1"/>
  <c r="AD90" i="1"/>
  <c r="AC90" i="1"/>
  <c r="AD89" i="1"/>
  <c r="AC89" i="1"/>
  <c r="AD88" i="1"/>
  <c r="AC88" i="1"/>
  <c r="AD87" i="1"/>
  <c r="AC87" i="1"/>
  <c r="AD86" i="1"/>
  <c r="AC86" i="1"/>
  <c r="AD85" i="1"/>
  <c r="AC85" i="1"/>
  <c r="AD84" i="1"/>
  <c r="AC84" i="1"/>
  <c r="AD83" i="1"/>
  <c r="AC83" i="1"/>
  <c r="AD82" i="1"/>
  <c r="AC82" i="1"/>
  <c r="AD81" i="1"/>
  <c r="AC81" i="1"/>
  <c r="AD80" i="1"/>
  <c r="AC80" i="1"/>
  <c r="AD79" i="1"/>
  <c r="AC79" i="1"/>
  <c r="AD78" i="1"/>
  <c r="AC78" i="1"/>
  <c r="AD77" i="1"/>
  <c r="AC77" i="1"/>
  <c r="AD76" i="1"/>
  <c r="AC76" i="1"/>
  <c r="AD75" i="1"/>
  <c r="AC75" i="1"/>
  <c r="AD74" i="1"/>
  <c r="AC74" i="1"/>
  <c r="AD73" i="1"/>
  <c r="AC73" i="1"/>
  <c r="AD72" i="1"/>
  <c r="AC72" i="1"/>
  <c r="AD71" i="1"/>
  <c r="AC71" i="1"/>
  <c r="AD70" i="1"/>
  <c r="AC70" i="1"/>
  <c r="AD69" i="1"/>
  <c r="AC69" i="1"/>
  <c r="AD68" i="1"/>
  <c r="AC68" i="1"/>
  <c r="AD67" i="1"/>
  <c r="AC67" i="1"/>
  <c r="AD66" i="1"/>
  <c r="AC66" i="1"/>
  <c r="AD65" i="1"/>
  <c r="AC65" i="1"/>
  <c r="AD64" i="1"/>
  <c r="AC64" i="1"/>
  <c r="AD63" i="1"/>
  <c r="AC63" i="1"/>
  <c r="AD62" i="1"/>
  <c r="AC62" i="1"/>
  <c r="AD61" i="1"/>
  <c r="AC61" i="1"/>
  <c r="AD60" i="1"/>
  <c r="AC60" i="1"/>
  <c r="AD59" i="1"/>
  <c r="AC59" i="1"/>
  <c r="AD58" i="1"/>
  <c r="AC58" i="1"/>
  <c r="AD57" i="1"/>
  <c r="AC57" i="1"/>
  <c r="AD56" i="1"/>
  <c r="AC56" i="1"/>
  <c r="AD55" i="1"/>
  <c r="AC55" i="1"/>
  <c r="AD54" i="1"/>
  <c r="AC54" i="1"/>
  <c r="AD53" i="1"/>
  <c r="AC53" i="1"/>
  <c r="AD52" i="1"/>
  <c r="AC52" i="1"/>
  <c r="AD51" i="1"/>
  <c r="AC51" i="1"/>
  <c r="AD50" i="1"/>
  <c r="AC50" i="1"/>
  <c r="AD49" i="1"/>
  <c r="AC49" i="1"/>
  <c r="AD48" i="1"/>
  <c r="AC48" i="1"/>
  <c r="AD47" i="1"/>
  <c r="AC47" i="1"/>
  <c r="AD46" i="1"/>
  <c r="AC46" i="1"/>
  <c r="AD45" i="1"/>
  <c r="AC45" i="1"/>
  <c r="AD44" i="1"/>
  <c r="AC44" i="1"/>
  <c r="AD43" i="1"/>
  <c r="AC43" i="1"/>
  <c r="AD42" i="1"/>
  <c r="AC42" i="1"/>
  <c r="AD41" i="1"/>
  <c r="AC41" i="1"/>
  <c r="AD40" i="1"/>
  <c r="AC40" i="1"/>
  <c r="AD39" i="1"/>
  <c r="AC39" i="1"/>
  <c r="AD37" i="1"/>
  <c r="AC37" i="1"/>
  <c r="AD36" i="1"/>
  <c r="AC36" i="1"/>
  <c r="AD35" i="1"/>
  <c r="AC35" i="1"/>
  <c r="AD34" i="1"/>
  <c r="AC34" i="1"/>
  <c r="AD33" i="1"/>
  <c r="AC33" i="1"/>
  <c r="AD32" i="1"/>
  <c r="AC32" i="1"/>
  <c r="AD31" i="1"/>
  <c r="AC31" i="1"/>
  <c r="AD30" i="1"/>
  <c r="AC30" i="1"/>
  <c r="AD29" i="1"/>
  <c r="AC29" i="1"/>
  <c r="AD28" i="1"/>
  <c r="AC28" i="1"/>
  <c r="AD27" i="1"/>
  <c r="AC27" i="1"/>
  <c r="AD26" i="1"/>
  <c r="AC26" i="1"/>
  <c r="AD25" i="1"/>
  <c r="AC25" i="1"/>
  <c r="AD24" i="1"/>
  <c r="AC24" i="1"/>
  <c r="AD23" i="1"/>
  <c r="AC23" i="1"/>
  <c r="AD22" i="1"/>
  <c r="AC22" i="1"/>
  <c r="AD21" i="1"/>
  <c r="AC21" i="1"/>
  <c r="AD20" i="1"/>
  <c r="AC20" i="1"/>
  <c r="AD19" i="1"/>
  <c r="AC19" i="1"/>
  <c r="AD18" i="1"/>
  <c r="AC18" i="1"/>
  <c r="AD17" i="1"/>
  <c r="AC17" i="1"/>
  <c r="AD16" i="1"/>
  <c r="AC16" i="1"/>
  <c r="AD15" i="1"/>
  <c r="AC15" i="1"/>
  <c r="AD14" i="1"/>
  <c r="AC14" i="1"/>
  <c r="AD13" i="1"/>
  <c r="AC13" i="1"/>
  <c r="AD12" i="1"/>
  <c r="AC12" i="1"/>
  <c r="AD11" i="1"/>
  <c r="AC11" i="1"/>
  <c r="AD10" i="1"/>
  <c r="AC10" i="1"/>
  <c r="AD9" i="1"/>
  <c r="AC9" i="1"/>
  <c r="AD8" i="1"/>
  <c r="AC8" i="1"/>
  <c r="AD7" i="1"/>
  <c r="AC7" i="1"/>
  <c r="AD6" i="1"/>
  <c r="AC6" i="1"/>
  <c r="AD5" i="1"/>
  <c r="AC5" i="1"/>
  <c r="AD4" i="1"/>
  <c r="AC4" i="1"/>
  <c r="AD3" i="1"/>
  <c r="AC3" i="1"/>
  <c r="AD2" i="1"/>
  <c r="AC2" i="1"/>
  <c r="V138" i="1" l="1"/>
  <c r="W138" i="1"/>
  <c r="Q32" i="46" l="1"/>
  <c r="Q3" i="46"/>
  <c r="Q4" i="46"/>
  <c r="Q5" i="46"/>
  <c r="Q6" i="46"/>
  <c r="Q7" i="46"/>
  <c r="Q8" i="46"/>
  <c r="Q9" i="46"/>
  <c r="Q10" i="46"/>
  <c r="Q11" i="46"/>
  <c r="Q12" i="46"/>
  <c r="Q13" i="46"/>
  <c r="Q14" i="46"/>
  <c r="Q15" i="46"/>
  <c r="Q16" i="46"/>
  <c r="Q17" i="46"/>
  <c r="Q18" i="46"/>
  <c r="Q19" i="46"/>
  <c r="Q20" i="46"/>
  <c r="Q21" i="46"/>
  <c r="Q22" i="46"/>
  <c r="Q23" i="46"/>
  <c r="Q24" i="46"/>
  <c r="Q25" i="46"/>
  <c r="Q26" i="46"/>
  <c r="Q27" i="46"/>
  <c r="Q28" i="46"/>
  <c r="Q29" i="46"/>
  <c r="Q30" i="46"/>
  <c r="Q31" i="46"/>
  <c r="Q33" i="46"/>
  <c r="Q34" i="46"/>
  <c r="Q35" i="46"/>
  <c r="Q36" i="46"/>
  <c r="Q37" i="46"/>
  <c r="Q38" i="46"/>
  <c r="Q39" i="46"/>
  <c r="Q40" i="46"/>
  <c r="Q41" i="46"/>
  <c r="Q42" i="46"/>
  <c r="Q43" i="46"/>
  <c r="Q44" i="46"/>
  <c r="Q45" i="46"/>
  <c r="Q46" i="46"/>
  <c r="Q47" i="46"/>
  <c r="Q48" i="46"/>
  <c r="Q49" i="46"/>
  <c r="Q50" i="46"/>
  <c r="Q51" i="46"/>
  <c r="Q52" i="46"/>
  <c r="Q53" i="46"/>
  <c r="Q54" i="46"/>
  <c r="Q55" i="46"/>
  <c r="Q56" i="46"/>
  <c r="Q57" i="46"/>
  <c r="Q58" i="46"/>
  <c r="Q59" i="46"/>
  <c r="Q60" i="46"/>
  <c r="Q61" i="46"/>
  <c r="Q62" i="46"/>
  <c r="Q63" i="46"/>
  <c r="Q64" i="46"/>
  <c r="Q65" i="46"/>
  <c r="Q66" i="46"/>
  <c r="Q67" i="46"/>
  <c r="Q68" i="46"/>
  <c r="Q69" i="46"/>
  <c r="Q70" i="46"/>
  <c r="Q71" i="46"/>
  <c r="Q72" i="46"/>
  <c r="Q73" i="46"/>
  <c r="Q74" i="46"/>
  <c r="Q75" i="46"/>
  <c r="Q76" i="46"/>
  <c r="Q77" i="46"/>
  <c r="Q78" i="46"/>
  <c r="Q79" i="46"/>
  <c r="Q80" i="46"/>
  <c r="Q81" i="46"/>
  <c r="Q82" i="46"/>
  <c r="Q2" i="46"/>
  <c r="O3" i="46" l="1"/>
  <c r="O4" i="46"/>
  <c r="O5" i="46"/>
  <c r="O6" i="46"/>
  <c r="O7" i="46"/>
  <c r="O8" i="46"/>
  <c r="O9" i="46"/>
  <c r="O10" i="46"/>
  <c r="O11" i="46"/>
  <c r="O12" i="46"/>
  <c r="O13" i="46"/>
  <c r="O14" i="46"/>
  <c r="O15" i="46"/>
  <c r="O16" i="46"/>
  <c r="O17" i="46"/>
  <c r="O18" i="46"/>
  <c r="O19" i="46"/>
  <c r="O20" i="46"/>
  <c r="O21" i="46"/>
  <c r="O22" i="46"/>
  <c r="O23" i="46"/>
  <c r="O24" i="46"/>
  <c r="O25" i="46"/>
  <c r="O26" i="46"/>
  <c r="O27" i="46"/>
  <c r="O28" i="46"/>
  <c r="O29" i="46"/>
  <c r="O30" i="46"/>
  <c r="O31" i="46"/>
  <c r="O32" i="46"/>
  <c r="O33" i="46"/>
  <c r="O34" i="46"/>
  <c r="O35" i="46"/>
  <c r="O36" i="46"/>
  <c r="O37" i="46"/>
  <c r="O38" i="46"/>
  <c r="O39" i="46"/>
  <c r="O40" i="46"/>
  <c r="O41" i="46"/>
  <c r="O42" i="46"/>
  <c r="O43" i="46"/>
  <c r="O44" i="46"/>
  <c r="O45" i="46"/>
  <c r="O46" i="46"/>
  <c r="O47" i="46"/>
  <c r="O48" i="46"/>
  <c r="O49" i="46"/>
  <c r="O50" i="46"/>
  <c r="O51" i="46"/>
  <c r="O52" i="46"/>
  <c r="O53" i="46"/>
  <c r="O54" i="46"/>
  <c r="O55" i="46"/>
  <c r="O56" i="46"/>
  <c r="O57" i="46"/>
  <c r="O58" i="46"/>
  <c r="O59" i="46"/>
  <c r="O60" i="46"/>
  <c r="O61" i="46"/>
  <c r="O62" i="46"/>
  <c r="O63" i="46"/>
  <c r="O64" i="46"/>
  <c r="O65" i="46"/>
  <c r="O66" i="46"/>
  <c r="O67" i="46"/>
  <c r="O68" i="46"/>
  <c r="O69" i="46"/>
  <c r="O70" i="46"/>
  <c r="O71" i="46"/>
  <c r="O72" i="46"/>
  <c r="O73" i="46"/>
  <c r="O74" i="46"/>
  <c r="O75" i="46"/>
  <c r="O76" i="46"/>
  <c r="O77" i="46"/>
  <c r="O78" i="46"/>
  <c r="O79" i="46"/>
  <c r="O80" i="46"/>
  <c r="O81" i="46"/>
  <c r="O82" i="46"/>
  <c r="O2" i="46"/>
  <c r="A1" i="1"/>
  <c r="M3" i="46" l="1"/>
  <c r="N3" i="46" s="1"/>
  <c r="M4" i="46"/>
  <c r="N4" i="46" s="1"/>
  <c r="M5" i="46"/>
  <c r="N5" i="46" s="1"/>
  <c r="M6" i="46"/>
  <c r="N6" i="46" s="1"/>
  <c r="M7" i="46"/>
  <c r="N7" i="46" s="1"/>
  <c r="M8" i="46"/>
  <c r="N8" i="46" s="1"/>
  <c r="M9" i="46"/>
  <c r="N9" i="46" s="1"/>
  <c r="M10" i="46"/>
  <c r="N10" i="46" s="1"/>
  <c r="M11" i="46"/>
  <c r="N11" i="46" s="1"/>
  <c r="M12" i="46"/>
  <c r="N12" i="46" s="1"/>
  <c r="M13" i="46"/>
  <c r="N13" i="46" s="1"/>
  <c r="M14" i="46"/>
  <c r="N14" i="46" s="1"/>
  <c r="M15" i="46"/>
  <c r="N15" i="46" s="1"/>
  <c r="M16" i="46"/>
  <c r="N16" i="46" s="1"/>
  <c r="M17" i="46"/>
  <c r="N17" i="46" s="1"/>
  <c r="M18" i="46"/>
  <c r="N18" i="46" s="1"/>
  <c r="M19" i="46"/>
  <c r="N19" i="46" s="1"/>
  <c r="M20" i="46"/>
  <c r="N20" i="46" s="1"/>
  <c r="M21" i="46"/>
  <c r="N21" i="46" s="1"/>
  <c r="M22" i="46"/>
  <c r="N22" i="46" s="1"/>
  <c r="M23" i="46"/>
  <c r="N23" i="46" s="1"/>
  <c r="M24" i="46"/>
  <c r="N24" i="46" s="1"/>
  <c r="M25" i="46"/>
  <c r="N25" i="46" s="1"/>
  <c r="M26" i="46"/>
  <c r="N26" i="46" s="1"/>
  <c r="M27" i="46"/>
  <c r="N27" i="46" s="1"/>
  <c r="M28" i="46"/>
  <c r="N28" i="46" s="1"/>
  <c r="M29" i="46"/>
  <c r="N29" i="46" s="1"/>
  <c r="M30" i="46"/>
  <c r="N30" i="46" s="1"/>
  <c r="M31" i="46"/>
  <c r="N31" i="46" s="1"/>
  <c r="M32" i="46"/>
  <c r="N32" i="46" s="1"/>
  <c r="M33" i="46"/>
  <c r="N33" i="46" s="1"/>
  <c r="M34" i="46"/>
  <c r="N34" i="46" s="1"/>
  <c r="M35" i="46"/>
  <c r="N35" i="46" s="1"/>
  <c r="M36" i="46"/>
  <c r="N36" i="46" s="1"/>
  <c r="M37" i="46"/>
  <c r="N37" i="46" s="1"/>
  <c r="M38" i="46"/>
  <c r="N38" i="46" s="1"/>
  <c r="M39" i="46"/>
  <c r="N39" i="46" s="1"/>
  <c r="M40" i="46"/>
  <c r="N40" i="46" s="1"/>
  <c r="M41" i="46"/>
  <c r="N41" i="46" s="1"/>
  <c r="M42" i="46"/>
  <c r="N42" i="46" s="1"/>
  <c r="M43" i="46"/>
  <c r="N43" i="46" s="1"/>
  <c r="M44" i="46"/>
  <c r="N44" i="46" s="1"/>
  <c r="M45" i="46"/>
  <c r="N45" i="46" s="1"/>
  <c r="M46" i="46"/>
  <c r="N46" i="46" s="1"/>
  <c r="M47" i="46"/>
  <c r="N47" i="46" s="1"/>
  <c r="M48" i="46"/>
  <c r="N48" i="46" s="1"/>
  <c r="M49" i="46"/>
  <c r="N49" i="46" s="1"/>
  <c r="M50" i="46"/>
  <c r="N50" i="46" s="1"/>
  <c r="M51" i="46"/>
  <c r="N51" i="46" s="1"/>
  <c r="M52" i="46"/>
  <c r="N52" i="46" s="1"/>
  <c r="M53" i="46"/>
  <c r="N53" i="46" s="1"/>
  <c r="M54" i="46"/>
  <c r="N54" i="46" s="1"/>
  <c r="M55" i="46"/>
  <c r="N55" i="46" s="1"/>
  <c r="M56" i="46"/>
  <c r="N56" i="46" s="1"/>
  <c r="M57" i="46"/>
  <c r="N57" i="46" s="1"/>
  <c r="M58" i="46"/>
  <c r="N58" i="46" s="1"/>
  <c r="M59" i="46"/>
  <c r="N59" i="46" s="1"/>
  <c r="M60" i="46"/>
  <c r="N60" i="46" s="1"/>
  <c r="M61" i="46"/>
  <c r="N61" i="46" s="1"/>
  <c r="M62" i="46"/>
  <c r="N62" i="46" s="1"/>
  <c r="M63" i="46"/>
  <c r="N63" i="46" s="1"/>
  <c r="M64" i="46"/>
  <c r="N64" i="46" s="1"/>
  <c r="M65" i="46"/>
  <c r="N65" i="46" s="1"/>
  <c r="M66" i="46"/>
  <c r="N66" i="46" s="1"/>
  <c r="M67" i="46"/>
  <c r="N67" i="46" s="1"/>
  <c r="M68" i="46"/>
  <c r="N68" i="46" s="1"/>
  <c r="M69" i="46"/>
  <c r="N69" i="46" s="1"/>
  <c r="M70" i="46"/>
  <c r="N70" i="46" s="1"/>
  <c r="M71" i="46"/>
  <c r="N71" i="46" s="1"/>
  <c r="M72" i="46"/>
  <c r="N72" i="46" s="1"/>
  <c r="M73" i="46"/>
  <c r="N73" i="46" s="1"/>
  <c r="M74" i="46"/>
  <c r="N74" i="46" s="1"/>
  <c r="M75" i="46"/>
  <c r="N75" i="46" s="1"/>
  <c r="M76" i="46"/>
  <c r="N76" i="46" s="1"/>
  <c r="M77" i="46"/>
  <c r="N77" i="46" s="1"/>
  <c r="M78" i="46"/>
  <c r="N78" i="46" s="1"/>
  <c r="M79" i="46"/>
  <c r="N79" i="46" s="1"/>
  <c r="M80" i="46"/>
  <c r="N80" i="46" s="1"/>
  <c r="M81" i="46"/>
  <c r="N81" i="46" s="1"/>
  <c r="M82" i="46"/>
  <c r="N82" i="46" s="1"/>
  <c r="M2" i="46"/>
  <c r="N2" i="46" s="1"/>
  <c r="W3" i="1" l="1"/>
  <c r="W4" i="1"/>
  <c r="W5" i="1"/>
  <c r="W6" i="1"/>
  <c r="W7" i="1"/>
  <c r="W8" i="1"/>
  <c r="W11" i="1"/>
  <c r="W12" i="1"/>
  <c r="W13" i="1"/>
  <c r="W14" i="1"/>
  <c r="W15" i="1"/>
  <c r="W16" i="1"/>
  <c r="W17" i="1"/>
  <c r="W18" i="1"/>
  <c r="W21" i="1"/>
  <c r="W22" i="1"/>
  <c r="W23" i="1"/>
  <c r="W24" i="1"/>
  <c r="W25" i="1"/>
  <c r="W26" i="1"/>
  <c r="W27" i="1"/>
  <c r="W28" i="1"/>
  <c r="W31" i="1"/>
  <c r="W32" i="1"/>
  <c r="W33" i="1"/>
  <c r="W34" i="1"/>
  <c r="W35" i="1"/>
  <c r="W36" i="1"/>
  <c r="W37" i="1"/>
  <c r="W38" i="1"/>
  <c r="W39" i="1"/>
  <c r="W40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9" i="1"/>
  <c r="W60" i="1"/>
  <c r="W62" i="1"/>
  <c r="W63" i="1"/>
  <c r="W64" i="1"/>
  <c r="W66" i="1"/>
  <c r="W67" i="1"/>
  <c r="W68" i="1"/>
  <c r="W72" i="1"/>
  <c r="W73" i="1"/>
  <c r="W74" i="1"/>
  <c r="W75" i="1"/>
  <c r="W76" i="1"/>
  <c r="W77" i="1"/>
  <c r="W78" i="1"/>
  <c r="W81" i="1"/>
  <c r="W82" i="1"/>
  <c r="W85" i="1"/>
  <c r="W86" i="1"/>
  <c r="W87" i="1"/>
  <c r="W90" i="1"/>
  <c r="W91" i="1"/>
  <c r="W92" i="1"/>
  <c r="W94" i="1"/>
  <c r="W95" i="1"/>
  <c r="W97" i="1"/>
  <c r="W98" i="1"/>
  <c r="W101" i="1"/>
  <c r="W103" i="1"/>
  <c r="W105" i="1"/>
  <c r="W106" i="1"/>
  <c r="W107" i="1"/>
  <c r="W113" i="1"/>
  <c r="W114" i="1"/>
  <c r="W116" i="1"/>
  <c r="W117" i="1"/>
  <c r="W118" i="1"/>
  <c r="W119" i="1"/>
  <c r="W126" i="1"/>
  <c r="W132" i="1"/>
  <c r="W137" i="1"/>
  <c r="W139" i="1"/>
  <c r="W140" i="1"/>
  <c r="W141" i="1"/>
  <c r="W142" i="1"/>
  <c r="W143" i="1"/>
  <c r="W144" i="1"/>
  <c r="W145" i="1"/>
  <c r="W146" i="1"/>
  <c r="W147" i="1"/>
  <c r="W148" i="1"/>
  <c r="W150" i="1"/>
  <c r="W152" i="1"/>
  <c r="W158" i="1"/>
  <c r="W159" i="1"/>
  <c r="W160" i="1"/>
  <c r="W161" i="1"/>
  <c r="W162" i="1"/>
  <c r="W163" i="1"/>
  <c r="W164" i="1"/>
  <c r="W166" i="1"/>
  <c r="W167" i="1"/>
  <c r="W2" i="1"/>
  <c r="AB23" i="1"/>
  <c r="W79" i="1" s="1"/>
  <c r="AB19" i="1"/>
  <c r="AB18" i="1"/>
  <c r="W115" i="1" s="1"/>
  <c r="AB15" i="1"/>
  <c r="W111" i="1" s="1"/>
  <c r="AB13" i="1"/>
  <c r="W128" i="1" s="1"/>
  <c r="AB12" i="1"/>
  <c r="W83" i="1" s="1"/>
  <c r="AB11" i="1"/>
  <c r="W71" i="1" s="1"/>
  <c r="AB9" i="1"/>
  <c r="W20" i="1" s="1"/>
  <c r="AB8" i="1"/>
  <c r="W19" i="1" s="1"/>
  <c r="AB5" i="1"/>
  <c r="W80" i="1" s="1"/>
  <c r="AB4" i="1"/>
  <c r="W100" i="1" s="1"/>
  <c r="F5" i="44"/>
  <c r="F6" i="44"/>
  <c r="F7" i="44"/>
  <c r="F8" i="44"/>
  <c r="F9" i="44"/>
  <c r="F10" i="44"/>
  <c r="F11" i="44"/>
  <c r="F12" i="44"/>
  <c r="F13" i="44"/>
  <c r="F14" i="44"/>
  <c r="F15" i="44"/>
  <c r="F16" i="44"/>
  <c r="F17" i="44"/>
  <c r="F18" i="44"/>
  <c r="F19" i="44"/>
  <c r="F20" i="44"/>
  <c r="F21" i="44"/>
  <c r="F22" i="44"/>
  <c r="F23" i="44"/>
  <c r="F24" i="44"/>
  <c r="F25" i="44"/>
  <c r="F26" i="44"/>
  <c r="F27" i="44"/>
  <c r="F28" i="44"/>
  <c r="F29" i="44"/>
  <c r="F30" i="44"/>
  <c r="F31" i="44"/>
  <c r="F32" i="44"/>
  <c r="F33" i="44"/>
  <c r="F34" i="44"/>
  <c r="F35" i="44"/>
  <c r="F36" i="44"/>
  <c r="F37" i="44"/>
  <c r="F38" i="44"/>
  <c r="F39" i="44"/>
  <c r="F40" i="44"/>
  <c r="F41" i="44"/>
  <c r="F42" i="44"/>
  <c r="F43" i="44"/>
  <c r="F44" i="44"/>
  <c r="F45" i="44"/>
  <c r="F46" i="44"/>
  <c r="F47" i="44"/>
  <c r="F48" i="44"/>
  <c r="F49" i="44"/>
  <c r="F50" i="44"/>
  <c r="F51" i="44"/>
  <c r="F52" i="44"/>
  <c r="F53" i="44"/>
  <c r="F54" i="44"/>
  <c r="F55" i="44"/>
  <c r="F56" i="44"/>
  <c r="F57" i="44"/>
  <c r="F58" i="44"/>
  <c r="F59" i="44"/>
  <c r="F60" i="44"/>
  <c r="F61" i="44"/>
  <c r="F62" i="44"/>
  <c r="F63" i="44"/>
  <c r="F64" i="44"/>
  <c r="F65" i="44"/>
  <c r="F66" i="44"/>
  <c r="F67" i="44"/>
  <c r="F68" i="44"/>
  <c r="F69" i="44"/>
  <c r="F70" i="44"/>
  <c r="F71" i="44"/>
  <c r="F72" i="44"/>
  <c r="F73" i="44"/>
  <c r="F74" i="44"/>
  <c r="F75" i="44"/>
  <c r="F76" i="44"/>
  <c r="F77" i="44"/>
  <c r="F78" i="44"/>
  <c r="F79" i="44"/>
  <c r="F80" i="44"/>
  <c r="F4" i="44"/>
  <c r="E5" i="44"/>
  <c r="E6" i="44"/>
  <c r="E7" i="44"/>
  <c r="E8" i="44"/>
  <c r="E9" i="44"/>
  <c r="E10" i="44"/>
  <c r="E11" i="44"/>
  <c r="E12" i="44"/>
  <c r="E13" i="44"/>
  <c r="E14" i="44"/>
  <c r="E15" i="44"/>
  <c r="E16" i="44"/>
  <c r="E17" i="44"/>
  <c r="E18" i="44"/>
  <c r="E19" i="44"/>
  <c r="E20" i="44"/>
  <c r="E21" i="44"/>
  <c r="E22" i="44"/>
  <c r="E23" i="44"/>
  <c r="E24" i="44"/>
  <c r="E25" i="44"/>
  <c r="E26" i="44"/>
  <c r="E27" i="44"/>
  <c r="E28" i="44"/>
  <c r="E29" i="44"/>
  <c r="E30" i="44"/>
  <c r="E31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4" i="44"/>
  <c r="D5" i="44"/>
  <c r="D6" i="44"/>
  <c r="D7" i="44"/>
  <c r="D8" i="44"/>
  <c r="D9" i="44"/>
  <c r="D10" i="44"/>
  <c r="D11" i="44"/>
  <c r="D12" i="44"/>
  <c r="D13" i="44"/>
  <c r="D14" i="44"/>
  <c r="D15" i="44"/>
  <c r="D16" i="44"/>
  <c r="D17" i="44"/>
  <c r="D18" i="44"/>
  <c r="D19" i="44"/>
  <c r="D20" i="44"/>
  <c r="D21" i="44"/>
  <c r="D22" i="44"/>
  <c r="D23" i="44"/>
  <c r="D24" i="44"/>
  <c r="D25" i="44"/>
  <c r="D26" i="44"/>
  <c r="D27" i="44"/>
  <c r="D28" i="44"/>
  <c r="D29" i="44"/>
  <c r="D30" i="44"/>
  <c r="D31" i="44"/>
  <c r="D32" i="44"/>
  <c r="D33" i="44"/>
  <c r="D34" i="44"/>
  <c r="D35" i="44"/>
  <c r="D36" i="44"/>
  <c r="D37" i="44"/>
  <c r="D38" i="44"/>
  <c r="D39" i="44"/>
  <c r="D40" i="44"/>
  <c r="D41" i="44"/>
  <c r="D42" i="44"/>
  <c r="D43" i="44"/>
  <c r="D44" i="44"/>
  <c r="D45" i="44"/>
  <c r="D46" i="44"/>
  <c r="D47" i="44"/>
  <c r="D48" i="44"/>
  <c r="D49" i="44"/>
  <c r="D50" i="44"/>
  <c r="D51" i="44"/>
  <c r="D52" i="44"/>
  <c r="D53" i="44"/>
  <c r="D54" i="44"/>
  <c r="D55" i="44"/>
  <c r="D56" i="44"/>
  <c r="D57" i="44"/>
  <c r="D58" i="44"/>
  <c r="D59" i="44"/>
  <c r="D60" i="44"/>
  <c r="D61" i="44"/>
  <c r="D62" i="44"/>
  <c r="D63" i="44"/>
  <c r="D64" i="44"/>
  <c r="D65" i="44"/>
  <c r="D66" i="44"/>
  <c r="D67" i="44"/>
  <c r="D68" i="44"/>
  <c r="D69" i="44"/>
  <c r="D70" i="44"/>
  <c r="D71" i="44"/>
  <c r="D72" i="44"/>
  <c r="D73" i="44"/>
  <c r="D74" i="44"/>
  <c r="D75" i="44"/>
  <c r="D76" i="44"/>
  <c r="D77" i="44"/>
  <c r="D78" i="44"/>
  <c r="D79" i="44"/>
  <c r="D80" i="44"/>
  <c r="D4" i="44"/>
  <c r="C5" i="44"/>
  <c r="C6" i="44"/>
  <c r="C7" i="44"/>
  <c r="C8" i="44"/>
  <c r="C9" i="44"/>
  <c r="C10" i="44"/>
  <c r="C11" i="44"/>
  <c r="C12" i="44"/>
  <c r="C13" i="44"/>
  <c r="C14" i="44"/>
  <c r="C15" i="44"/>
  <c r="C16" i="44"/>
  <c r="C17" i="44"/>
  <c r="C18" i="44"/>
  <c r="C19" i="44"/>
  <c r="C20" i="44"/>
  <c r="C21" i="44"/>
  <c r="C22" i="44"/>
  <c r="C23" i="44"/>
  <c r="C24" i="44"/>
  <c r="C25" i="44"/>
  <c r="C26" i="44"/>
  <c r="C27" i="44"/>
  <c r="C28" i="44"/>
  <c r="C29" i="44"/>
  <c r="C30" i="44"/>
  <c r="C31" i="44"/>
  <c r="C32" i="44"/>
  <c r="C33" i="44"/>
  <c r="C34" i="44"/>
  <c r="C35" i="44"/>
  <c r="C36" i="44"/>
  <c r="C37" i="44"/>
  <c r="C38" i="44"/>
  <c r="C39" i="44"/>
  <c r="C40" i="44"/>
  <c r="C41" i="44"/>
  <c r="C42" i="44"/>
  <c r="C43" i="44"/>
  <c r="C44" i="44"/>
  <c r="C45" i="44"/>
  <c r="C46" i="44"/>
  <c r="C47" i="44"/>
  <c r="C48" i="44"/>
  <c r="C49" i="44"/>
  <c r="C50" i="44"/>
  <c r="C51" i="44"/>
  <c r="C52" i="44"/>
  <c r="C53" i="44"/>
  <c r="C54" i="44"/>
  <c r="C55" i="44"/>
  <c r="C56" i="44"/>
  <c r="C57" i="44"/>
  <c r="C58" i="44"/>
  <c r="C59" i="44"/>
  <c r="C60" i="44"/>
  <c r="C61" i="44"/>
  <c r="C62" i="44"/>
  <c r="C63" i="44"/>
  <c r="C64" i="44"/>
  <c r="C65" i="44"/>
  <c r="C66" i="44"/>
  <c r="C67" i="44"/>
  <c r="C68" i="44"/>
  <c r="C69" i="44"/>
  <c r="C70" i="44"/>
  <c r="C71" i="44"/>
  <c r="C72" i="44"/>
  <c r="C73" i="44"/>
  <c r="C74" i="44"/>
  <c r="C75" i="44"/>
  <c r="C76" i="44"/>
  <c r="C77" i="44"/>
  <c r="C78" i="44"/>
  <c r="C79" i="44"/>
  <c r="C80" i="44"/>
  <c r="C4" i="44"/>
  <c r="B5" i="44"/>
  <c r="B6" i="44"/>
  <c r="B7" i="44"/>
  <c r="B8" i="44"/>
  <c r="B9" i="44"/>
  <c r="B10" i="44"/>
  <c r="B11" i="44"/>
  <c r="B12" i="44"/>
  <c r="B13" i="44"/>
  <c r="B14" i="44"/>
  <c r="B15" i="44"/>
  <c r="B16" i="44"/>
  <c r="B17" i="44"/>
  <c r="B18" i="44"/>
  <c r="B19" i="44"/>
  <c r="B20" i="44"/>
  <c r="B21" i="44"/>
  <c r="B22" i="44"/>
  <c r="B23" i="44"/>
  <c r="B24" i="44"/>
  <c r="B25" i="44"/>
  <c r="B26" i="44"/>
  <c r="B27" i="44"/>
  <c r="B28" i="44"/>
  <c r="B29" i="44"/>
  <c r="B30" i="44"/>
  <c r="B31" i="44"/>
  <c r="B32" i="44"/>
  <c r="B33" i="44"/>
  <c r="B34" i="44"/>
  <c r="B35" i="44"/>
  <c r="B36" i="44"/>
  <c r="B37" i="44"/>
  <c r="B38" i="44"/>
  <c r="B39" i="44"/>
  <c r="B40" i="44"/>
  <c r="B41" i="44"/>
  <c r="B42" i="44"/>
  <c r="B43" i="44"/>
  <c r="B44" i="44"/>
  <c r="B45" i="44"/>
  <c r="B46" i="44"/>
  <c r="B47" i="44"/>
  <c r="B48" i="44"/>
  <c r="B49" i="44"/>
  <c r="B50" i="44"/>
  <c r="B51" i="44"/>
  <c r="B52" i="44"/>
  <c r="B53" i="44"/>
  <c r="B54" i="44"/>
  <c r="B55" i="44"/>
  <c r="B56" i="44"/>
  <c r="B57" i="44"/>
  <c r="B58" i="44"/>
  <c r="B59" i="44"/>
  <c r="B60" i="44"/>
  <c r="B61" i="44"/>
  <c r="B62" i="44"/>
  <c r="B63" i="44"/>
  <c r="B64" i="44"/>
  <c r="B65" i="44"/>
  <c r="B66" i="44"/>
  <c r="B67" i="44"/>
  <c r="B68" i="44"/>
  <c r="B69" i="44"/>
  <c r="B70" i="44"/>
  <c r="B71" i="44"/>
  <c r="B72" i="44"/>
  <c r="B73" i="44"/>
  <c r="B74" i="44"/>
  <c r="B75" i="44"/>
  <c r="B76" i="44"/>
  <c r="B77" i="44"/>
  <c r="B78" i="44"/>
  <c r="B79" i="44"/>
  <c r="B80" i="44"/>
  <c r="B4" i="44"/>
  <c r="W131" i="1" l="1"/>
  <c r="W134" i="1"/>
  <c r="W155" i="1"/>
  <c r="W110" i="1"/>
  <c r="W102" i="1"/>
  <c r="W122" i="1"/>
  <c r="W154" i="1"/>
  <c r="W130" i="1"/>
  <c r="W58" i="1"/>
  <c r="W70" i="1"/>
  <c r="W165" i="1"/>
  <c r="W157" i="1"/>
  <c r="W153" i="1"/>
  <c r="W149" i="1"/>
  <c r="W133" i="1"/>
  <c r="W129" i="1"/>
  <c r="W125" i="1"/>
  <c r="W121" i="1"/>
  <c r="W109" i="1"/>
  <c r="W93" i="1"/>
  <c r="W89" i="1"/>
  <c r="W69" i="1"/>
  <c r="W61" i="1"/>
  <c r="W41" i="1"/>
  <c r="W29" i="1"/>
  <c r="W9" i="1"/>
  <c r="W30" i="1"/>
  <c r="W10" i="1"/>
  <c r="W156" i="1"/>
  <c r="W136" i="1"/>
  <c r="W124" i="1"/>
  <c r="W120" i="1"/>
  <c r="W112" i="1"/>
  <c r="W108" i="1"/>
  <c r="W104" i="1"/>
  <c r="W96" i="1"/>
  <c r="W88" i="1"/>
  <c r="W84" i="1"/>
  <c r="W151" i="1"/>
  <c r="W135" i="1"/>
  <c r="W127" i="1"/>
  <c r="W123" i="1"/>
  <c r="W99" i="1"/>
  <c r="A3" i="1" l="1"/>
  <c r="A4" i="1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2" i="1"/>
  <c r="A3" i="46" l="1"/>
  <c r="A7" i="46"/>
  <c r="A11" i="46"/>
  <c r="A15" i="46"/>
  <c r="A19" i="46"/>
  <c r="A23" i="46"/>
  <c r="A27" i="46"/>
  <c r="A31" i="46"/>
  <c r="A35" i="46"/>
  <c r="A39" i="46"/>
  <c r="A43" i="46"/>
  <c r="A47" i="46"/>
  <c r="A51" i="46"/>
  <c r="A55" i="46"/>
  <c r="A59" i="46"/>
  <c r="A63" i="46"/>
  <c r="A67" i="46"/>
  <c r="A71" i="46"/>
  <c r="A75" i="46"/>
  <c r="A79" i="46"/>
  <c r="A2" i="46"/>
  <c r="A4" i="46"/>
  <c r="A8" i="46"/>
  <c r="A12" i="46"/>
  <c r="A16" i="46"/>
  <c r="A20" i="46"/>
  <c r="A24" i="46"/>
  <c r="A28" i="46"/>
  <c r="A32" i="46"/>
  <c r="A36" i="46"/>
  <c r="A40" i="46"/>
  <c r="A44" i="46"/>
  <c r="A48" i="46"/>
  <c r="A52" i="46"/>
  <c r="A56" i="46"/>
  <c r="A60" i="46"/>
  <c r="A64" i="46"/>
  <c r="A68" i="46"/>
  <c r="A72" i="46"/>
  <c r="A76" i="46"/>
  <c r="A80" i="46"/>
  <c r="A5" i="46"/>
  <c r="A9" i="46"/>
  <c r="A13" i="46"/>
  <c r="A17" i="46"/>
  <c r="A21" i="46"/>
  <c r="A25" i="46"/>
  <c r="A29" i="46"/>
  <c r="A33" i="46"/>
  <c r="A37" i="46"/>
  <c r="A41" i="46"/>
  <c r="A45" i="46"/>
  <c r="A49" i="46"/>
  <c r="A53" i="46"/>
  <c r="A57" i="46"/>
  <c r="A61" i="46"/>
  <c r="A65" i="46"/>
  <c r="A69" i="46"/>
  <c r="A73" i="46"/>
  <c r="A77" i="46"/>
  <c r="A81" i="46"/>
  <c r="A6" i="46"/>
  <c r="A10" i="46"/>
  <c r="A14" i="46"/>
  <c r="A18" i="46"/>
  <c r="A22" i="46"/>
  <c r="A26" i="46"/>
  <c r="A30" i="46"/>
  <c r="A34" i="46"/>
  <c r="A38" i="46"/>
  <c r="A42" i="46"/>
  <c r="A46" i="46"/>
  <c r="A50" i="46"/>
  <c r="A54" i="46"/>
  <c r="A58" i="46"/>
  <c r="A62" i="46"/>
  <c r="A66" i="46"/>
  <c r="A70" i="46"/>
  <c r="A74" i="46"/>
  <c r="A78" i="46"/>
  <c r="A82" i="46"/>
  <c r="K3" i="34"/>
  <c r="K4" i="34"/>
  <c r="K5" i="34"/>
  <c r="K7" i="34"/>
  <c r="K8" i="34"/>
  <c r="K9" i="34"/>
  <c r="K10" i="34"/>
  <c r="K11" i="34"/>
  <c r="K12" i="34"/>
  <c r="K13" i="34"/>
  <c r="K15" i="34"/>
  <c r="K16" i="34"/>
  <c r="K17" i="34"/>
  <c r="K18" i="34"/>
  <c r="K19" i="34"/>
  <c r="K20" i="34"/>
  <c r="K21" i="34"/>
  <c r="K23" i="34"/>
  <c r="K24" i="34"/>
  <c r="K25" i="34"/>
  <c r="K26" i="34"/>
  <c r="K6" i="34"/>
  <c r="K14" i="34"/>
  <c r="K22" i="34"/>
  <c r="K2" i="34"/>
  <c r="K3" i="33"/>
  <c r="K4" i="33"/>
  <c r="K5" i="33"/>
  <c r="K6" i="33"/>
  <c r="K7" i="33"/>
  <c r="K8" i="33"/>
  <c r="K9" i="33"/>
  <c r="K10" i="33"/>
  <c r="K11" i="33"/>
  <c r="K12" i="33"/>
  <c r="K13" i="33"/>
  <c r="K14" i="33"/>
  <c r="K15" i="33"/>
  <c r="K16" i="33"/>
  <c r="K17" i="33"/>
  <c r="K18" i="33"/>
  <c r="K19" i="33"/>
  <c r="K20" i="33"/>
  <c r="K21" i="33"/>
  <c r="K22" i="33"/>
  <c r="K23" i="33"/>
  <c r="K24" i="33"/>
  <c r="K25" i="33"/>
  <c r="K26" i="33"/>
  <c r="K27" i="33"/>
  <c r="K28" i="33"/>
  <c r="K29" i="33"/>
  <c r="K30" i="33"/>
  <c r="K31" i="33"/>
  <c r="K32" i="33"/>
  <c r="K33" i="33"/>
  <c r="K34" i="33"/>
  <c r="K35" i="33"/>
  <c r="K36" i="33"/>
  <c r="K37" i="33"/>
  <c r="K38" i="33"/>
  <c r="K39" i="33"/>
  <c r="K40" i="33"/>
  <c r="K41" i="33"/>
  <c r="K42" i="33"/>
  <c r="K43" i="33"/>
  <c r="K2" i="33"/>
  <c r="A48" i="44" l="1"/>
  <c r="G48" i="44" s="1"/>
  <c r="B48" i="45"/>
  <c r="A45" i="44"/>
  <c r="G45" i="44" s="1"/>
  <c r="B45" i="45"/>
  <c r="A51" i="44"/>
  <c r="G51" i="44" s="1"/>
  <c r="B51" i="45"/>
  <c r="A42" i="44"/>
  <c r="G42" i="44" s="1"/>
  <c r="B42" i="45"/>
  <c r="A21" i="44"/>
  <c r="G21" i="44" s="1"/>
  <c r="B21" i="45"/>
  <c r="A37" i="44"/>
  <c r="G37" i="44" s="1"/>
  <c r="B37" i="45"/>
  <c r="A52" i="44"/>
  <c r="G52" i="44" s="1"/>
  <c r="B52" i="45"/>
  <c r="A68" i="44"/>
  <c r="G68" i="44" s="1"/>
  <c r="B68" i="45"/>
  <c r="A18" i="44"/>
  <c r="G18" i="44" s="1"/>
  <c r="B18" i="45"/>
  <c r="A34" i="44"/>
  <c r="G34" i="44" s="1"/>
  <c r="B34" i="45"/>
  <c r="A49" i="44"/>
  <c r="G49" i="44" s="1"/>
  <c r="B49" i="45"/>
  <c r="A65" i="44"/>
  <c r="G65" i="44" s="1"/>
  <c r="B65" i="45"/>
  <c r="A20" i="44"/>
  <c r="G20" i="44" s="1"/>
  <c r="B20" i="45"/>
  <c r="A36" i="44"/>
  <c r="G36" i="44" s="1"/>
  <c r="B36" i="45"/>
  <c r="A59" i="44"/>
  <c r="G59" i="44" s="1"/>
  <c r="B59" i="45"/>
  <c r="A15" i="44"/>
  <c r="G15" i="44" s="1"/>
  <c r="B15" i="45"/>
  <c r="A31" i="44"/>
  <c r="G31" i="44" s="1"/>
  <c r="B31" i="45"/>
  <c r="A46" i="44"/>
  <c r="G46" i="44" s="1"/>
  <c r="B46" i="45"/>
  <c r="A62" i="44"/>
  <c r="G62" i="44" s="1"/>
  <c r="B62" i="45"/>
  <c r="A78" i="44"/>
  <c r="G78" i="44" s="1"/>
  <c r="B78" i="45"/>
  <c r="A55" i="44"/>
  <c r="G55" i="44" s="1"/>
  <c r="B55" i="45"/>
  <c r="A17" i="44"/>
  <c r="G17" i="44" s="1"/>
  <c r="B17" i="45"/>
  <c r="A64" i="44"/>
  <c r="G64" i="44" s="1"/>
  <c r="B64" i="45"/>
  <c r="A14" i="44"/>
  <c r="G14" i="44" s="1"/>
  <c r="B14" i="45"/>
  <c r="A61" i="44"/>
  <c r="G61" i="44" s="1"/>
  <c r="B61" i="45"/>
  <c r="A16" i="44"/>
  <c r="G16" i="44" s="1"/>
  <c r="B16" i="45"/>
  <c r="A32" i="44"/>
  <c r="G32" i="44" s="1"/>
  <c r="B32" i="45"/>
  <c r="A27" i="44"/>
  <c r="G27" i="44" s="1"/>
  <c r="B27" i="45"/>
  <c r="A58" i="44"/>
  <c r="G58" i="44" s="1"/>
  <c r="B58" i="45"/>
  <c r="A47" i="44"/>
  <c r="G47" i="44" s="1"/>
  <c r="B47" i="45"/>
  <c r="A9" i="44"/>
  <c r="G9" i="44" s="1"/>
  <c r="B9" i="45"/>
  <c r="A25" i="44"/>
  <c r="G25" i="44" s="1"/>
  <c r="B25" i="45"/>
  <c r="A40" i="44"/>
  <c r="G40" i="44" s="1"/>
  <c r="B40" i="45"/>
  <c r="A56" i="44"/>
  <c r="G56" i="44" s="1"/>
  <c r="B56" i="45"/>
  <c r="A72" i="44"/>
  <c r="G72" i="44" s="1"/>
  <c r="B72" i="45"/>
  <c r="A6" i="44"/>
  <c r="G6" i="44" s="1"/>
  <c r="B6" i="45"/>
  <c r="A22" i="44"/>
  <c r="G22" i="44" s="1"/>
  <c r="B22" i="45"/>
  <c r="A38" i="44"/>
  <c r="G38" i="44" s="1"/>
  <c r="B38" i="45"/>
  <c r="A53" i="44"/>
  <c r="G53" i="44" s="1"/>
  <c r="B53" i="45"/>
  <c r="A69" i="44"/>
  <c r="G69" i="44" s="1"/>
  <c r="B69" i="45"/>
  <c r="A4" i="44"/>
  <c r="B4" i="45"/>
  <c r="A24" i="44"/>
  <c r="G24" i="44" s="1"/>
  <c r="B24" i="45"/>
  <c r="A39" i="44"/>
  <c r="G39" i="44" s="1"/>
  <c r="B39" i="45"/>
  <c r="A67" i="44"/>
  <c r="G67" i="44" s="1"/>
  <c r="B67" i="45"/>
  <c r="A19" i="44"/>
  <c r="G19" i="44" s="1"/>
  <c r="B19" i="45"/>
  <c r="A35" i="44"/>
  <c r="G35" i="44" s="1"/>
  <c r="B35" i="45"/>
  <c r="A50" i="44"/>
  <c r="G50" i="44" s="1"/>
  <c r="B50" i="45"/>
  <c r="A66" i="44"/>
  <c r="G66" i="44" s="1"/>
  <c r="B66" i="45"/>
  <c r="A63" i="44"/>
  <c r="G63" i="44" s="1"/>
  <c r="B63" i="45"/>
  <c r="A33" i="44"/>
  <c r="G33" i="44" s="1"/>
  <c r="B33" i="45"/>
  <c r="A80" i="44"/>
  <c r="G80" i="44" s="1"/>
  <c r="B80" i="45"/>
  <c r="A30" i="44"/>
  <c r="G30" i="44" s="1"/>
  <c r="B30" i="45"/>
  <c r="A77" i="44"/>
  <c r="G77" i="44" s="1"/>
  <c r="B77" i="45"/>
  <c r="A79" i="44"/>
  <c r="G79" i="44" s="1"/>
  <c r="B79" i="45"/>
  <c r="A11" i="44"/>
  <c r="G11" i="44" s="1"/>
  <c r="B11" i="45"/>
  <c r="A74" i="44"/>
  <c r="G74" i="44" s="1"/>
  <c r="B74" i="45"/>
  <c r="A13" i="44"/>
  <c r="G13" i="44" s="1"/>
  <c r="B13" i="45"/>
  <c r="A29" i="44"/>
  <c r="G29" i="44" s="1"/>
  <c r="B29" i="45"/>
  <c r="A44" i="44"/>
  <c r="G44" i="44" s="1"/>
  <c r="B44" i="45"/>
  <c r="A60" i="44"/>
  <c r="G60" i="44" s="1"/>
  <c r="B60" i="45"/>
  <c r="A76" i="44"/>
  <c r="G76" i="44" s="1"/>
  <c r="B76" i="45"/>
  <c r="A10" i="44"/>
  <c r="G10" i="44" s="1"/>
  <c r="B10" i="45"/>
  <c r="A26" i="44"/>
  <c r="G26" i="44" s="1"/>
  <c r="B26" i="45"/>
  <c r="A41" i="44"/>
  <c r="G41" i="44" s="1"/>
  <c r="B41" i="45"/>
  <c r="A57" i="44"/>
  <c r="G57" i="44" s="1"/>
  <c r="B57" i="45"/>
  <c r="A73" i="44"/>
  <c r="G73" i="44" s="1"/>
  <c r="B73" i="45"/>
  <c r="A8" i="44"/>
  <c r="G8" i="44" s="1"/>
  <c r="B8" i="45"/>
  <c r="A28" i="44"/>
  <c r="G28" i="44" s="1"/>
  <c r="B28" i="45"/>
  <c r="A43" i="44"/>
  <c r="G43" i="44" s="1"/>
  <c r="B43" i="45"/>
  <c r="A71" i="44"/>
  <c r="G71" i="44" s="1"/>
  <c r="B71" i="45"/>
  <c r="A7" i="44"/>
  <c r="G7" i="44" s="1"/>
  <c r="B7" i="45"/>
  <c r="A23" i="44"/>
  <c r="G23" i="44" s="1"/>
  <c r="B23" i="45"/>
  <c r="A54" i="44"/>
  <c r="G54" i="44" s="1"/>
  <c r="B54" i="45"/>
  <c r="A70" i="44"/>
  <c r="G70" i="44" s="1"/>
  <c r="B70" i="45"/>
  <c r="A12" i="44"/>
  <c r="G12" i="44" s="1"/>
  <c r="B12" i="45"/>
  <c r="A75" i="44"/>
  <c r="G75" i="44" s="1"/>
  <c r="B75" i="45"/>
  <c r="A5" i="44"/>
  <c r="G5" i="44" s="1"/>
  <c r="B5" i="45"/>
  <c r="G10" i="45" l="1"/>
  <c r="G35" i="45"/>
  <c r="G38" i="45"/>
  <c r="G17" i="45"/>
  <c r="G24" i="45"/>
  <c r="G6" i="45"/>
  <c r="G40" i="45"/>
  <c r="G55" i="45"/>
  <c r="G70" i="45"/>
  <c r="G71" i="45"/>
  <c r="G69" i="45"/>
  <c r="G76" i="45"/>
  <c r="G57" i="45"/>
  <c r="G54" i="45"/>
  <c r="G44" i="45"/>
  <c r="G19" i="45"/>
  <c r="G39" i="45"/>
  <c r="G30" i="45"/>
  <c r="G9" i="45"/>
  <c r="G8" i="45"/>
  <c r="G72" i="45"/>
  <c r="G12" i="45"/>
  <c r="G7" i="45"/>
  <c r="G43" i="45"/>
  <c r="G13" i="45"/>
  <c r="G80" i="45"/>
  <c r="G15" i="45"/>
  <c r="G53" i="45"/>
  <c r="G60" i="45"/>
  <c r="G79" i="45"/>
  <c r="G47" i="45"/>
  <c r="G32" i="45"/>
  <c r="G73" i="45"/>
  <c r="G41" i="45"/>
  <c r="G56" i="45"/>
  <c r="G78" i="45"/>
  <c r="G46" i="45"/>
  <c r="G77" i="45"/>
  <c r="G45" i="45"/>
  <c r="G14" i="45"/>
  <c r="G52" i="45"/>
  <c r="G25" i="45"/>
  <c r="G75" i="45"/>
  <c r="G59" i="45"/>
  <c r="G28" i="45"/>
  <c r="G65" i="45"/>
  <c r="G34" i="45"/>
  <c r="G48" i="45"/>
  <c r="G74" i="45"/>
  <c r="G58" i="45"/>
  <c r="G42" i="45"/>
  <c r="G23" i="45"/>
  <c r="C75" i="45"/>
  <c r="E75" i="45"/>
  <c r="F75" i="45"/>
  <c r="D75" i="45"/>
  <c r="F70" i="45"/>
  <c r="E70" i="45"/>
  <c r="D70" i="45"/>
  <c r="C70" i="45"/>
  <c r="C23" i="45"/>
  <c r="F23" i="45"/>
  <c r="E23" i="45"/>
  <c r="D23" i="45"/>
  <c r="C71" i="45"/>
  <c r="E71" i="45"/>
  <c r="F71" i="45"/>
  <c r="D71" i="45"/>
  <c r="C28" i="45"/>
  <c r="F28" i="45"/>
  <c r="E28" i="45"/>
  <c r="D28" i="45"/>
  <c r="F73" i="45"/>
  <c r="D73" i="45"/>
  <c r="E73" i="45"/>
  <c r="C73" i="45"/>
  <c r="F41" i="45"/>
  <c r="D41" i="45"/>
  <c r="E41" i="45"/>
  <c r="C41" i="45"/>
  <c r="F10" i="45"/>
  <c r="D10" i="45"/>
  <c r="C10" i="45"/>
  <c r="E10" i="45"/>
  <c r="C60" i="45"/>
  <c r="F60" i="45"/>
  <c r="E60" i="45"/>
  <c r="D60" i="45"/>
  <c r="E29" i="45"/>
  <c r="C29" i="45"/>
  <c r="F29" i="45"/>
  <c r="D29" i="45"/>
  <c r="E74" i="45"/>
  <c r="F74" i="45"/>
  <c r="C74" i="45"/>
  <c r="D74" i="45"/>
  <c r="C79" i="45"/>
  <c r="F79" i="45"/>
  <c r="E79" i="45"/>
  <c r="D79" i="45"/>
  <c r="F30" i="45"/>
  <c r="C30" i="45"/>
  <c r="E30" i="45"/>
  <c r="D30" i="45"/>
  <c r="F33" i="45"/>
  <c r="D33" i="45"/>
  <c r="E33" i="45"/>
  <c r="C33" i="45"/>
  <c r="E66" i="45"/>
  <c r="F66" i="45"/>
  <c r="D66" i="45"/>
  <c r="C66" i="45"/>
  <c r="C35" i="45"/>
  <c r="F35" i="45"/>
  <c r="E35" i="45"/>
  <c r="D35" i="45"/>
  <c r="C67" i="45"/>
  <c r="E67" i="45"/>
  <c r="F67" i="45"/>
  <c r="D67" i="45"/>
  <c r="C24" i="45"/>
  <c r="E24" i="45"/>
  <c r="F24" i="45"/>
  <c r="D24" i="45"/>
  <c r="F69" i="45"/>
  <c r="C69" i="45"/>
  <c r="E69" i="45"/>
  <c r="D69" i="45"/>
  <c r="F38" i="45"/>
  <c r="E38" i="45"/>
  <c r="D38" i="45"/>
  <c r="C38" i="45"/>
  <c r="E6" i="45"/>
  <c r="C6" i="45"/>
  <c r="F6" i="45"/>
  <c r="D6" i="45"/>
  <c r="C56" i="45"/>
  <c r="F56" i="45"/>
  <c r="E56" i="45"/>
  <c r="D56" i="45"/>
  <c r="F25" i="45"/>
  <c r="C25" i="45"/>
  <c r="D25" i="45"/>
  <c r="E25" i="45"/>
  <c r="C47" i="45"/>
  <c r="E47" i="45"/>
  <c r="F47" i="45"/>
  <c r="D47" i="45"/>
  <c r="C27" i="45"/>
  <c r="E27" i="45"/>
  <c r="F27" i="45"/>
  <c r="D27" i="45"/>
  <c r="C16" i="45"/>
  <c r="F16" i="45"/>
  <c r="E16" i="45"/>
  <c r="D16" i="45"/>
  <c r="C14" i="45"/>
  <c r="D14" i="45"/>
  <c r="E14" i="45"/>
  <c r="F14" i="45"/>
  <c r="F17" i="45"/>
  <c r="E17" i="45"/>
  <c r="D17" i="45"/>
  <c r="C17" i="45"/>
  <c r="E78" i="45"/>
  <c r="F78" i="45"/>
  <c r="C78" i="45"/>
  <c r="D78" i="45"/>
  <c r="F46" i="45"/>
  <c r="E46" i="45"/>
  <c r="C46" i="45"/>
  <c r="D46" i="45"/>
  <c r="C15" i="45"/>
  <c r="E15" i="45"/>
  <c r="F15" i="45"/>
  <c r="D15" i="45"/>
  <c r="C36" i="45"/>
  <c r="E36" i="45"/>
  <c r="F36" i="45"/>
  <c r="D36" i="45"/>
  <c r="F65" i="45"/>
  <c r="D65" i="45"/>
  <c r="E65" i="45"/>
  <c r="C65" i="45"/>
  <c r="F34" i="45"/>
  <c r="E34" i="45"/>
  <c r="D34" i="45"/>
  <c r="C34" i="45"/>
  <c r="C68" i="45"/>
  <c r="E68" i="45"/>
  <c r="F68" i="45"/>
  <c r="D68" i="45"/>
  <c r="F37" i="45"/>
  <c r="C37" i="45"/>
  <c r="E37" i="45"/>
  <c r="D37" i="45"/>
  <c r="E42" i="45"/>
  <c r="F42" i="45"/>
  <c r="C42" i="45"/>
  <c r="D42" i="45"/>
  <c r="F45" i="45"/>
  <c r="C45" i="45"/>
  <c r="D45" i="45"/>
  <c r="E45" i="45"/>
  <c r="G61" i="45"/>
  <c r="G26" i="45"/>
  <c r="G68" i="45"/>
  <c r="G37" i="45"/>
  <c r="G5" i="45"/>
  <c r="G67" i="45"/>
  <c r="G51" i="45"/>
  <c r="G36" i="45"/>
  <c r="G20" i="45"/>
  <c r="G49" i="45"/>
  <c r="G18" i="45"/>
  <c r="G64" i="45"/>
  <c r="G29" i="45"/>
  <c r="G4" i="44"/>
  <c r="G4" i="45" s="1"/>
  <c r="G66" i="45"/>
  <c r="G50" i="45"/>
  <c r="G31" i="45"/>
  <c r="D5" i="45"/>
  <c r="F5" i="45"/>
  <c r="C5" i="45"/>
  <c r="E5" i="45"/>
  <c r="C12" i="45"/>
  <c r="F12" i="45"/>
  <c r="E12" i="45"/>
  <c r="D12" i="45"/>
  <c r="F54" i="45"/>
  <c r="E54" i="45"/>
  <c r="D54" i="45"/>
  <c r="C54" i="45"/>
  <c r="C7" i="45"/>
  <c r="F7" i="45"/>
  <c r="E7" i="45"/>
  <c r="D7" i="45"/>
  <c r="C43" i="45"/>
  <c r="F43" i="45"/>
  <c r="E43" i="45"/>
  <c r="D43" i="45"/>
  <c r="C8" i="45"/>
  <c r="E8" i="45"/>
  <c r="F8" i="45"/>
  <c r="D8" i="45"/>
  <c r="F57" i="45"/>
  <c r="D57" i="45"/>
  <c r="E57" i="45"/>
  <c r="C57" i="45"/>
  <c r="F26" i="45"/>
  <c r="D26" i="45"/>
  <c r="C26" i="45"/>
  <c r="E26" i="45"/>
  <c r="C76" i="45"/>
  <c r="E76" i="45"/>
  <c r="F76" i="45"/>
  <c r="D76" i="45"/>
  <c r="C44" i="45"/>
  <c r="E44" i="45"/>
  <c r="F44" i="45"/>
  <c r="D44" i="45"/>
  <c r="D13" i="45"/>
  <c r="F13" i="45"/>
  <c r="C13" i="45"/>
  <c r="E13" i="45"/>
  <c r="C11" i="45"/>
  <c r="E11" i="45"/>
  <c r="F11" i="45"/>
  <c r="D11" i="45"/>
  <c r="F77" i="45"/>
  <c r="C77" i="45"/>
  <c r="D77" i="45"/>
  <c r="E77" i="45"/>
  <c r="C80" i="45"/>
  <c r="E80" i="45"/>
  <c r="F80" i="45"/>
  <c r="D80" i="45"/>
  <c r="C63" i="45"/>
  <c r="F63" i="45"/>
  <c r="E63" i="45"/>
  <c r="D63" i="45"/>
  <c r="E50" i="45"/>
  <c r="F50" i="45"/>
  <c r="D50" i="45"/>
  <c r="C50" i="45"/>
  <c r="C19" i="45"/>
  <c r="F19" i="45"/>
  <c r="E19" i="45"/>
  <c r="D19" i="45"/>
  <c r="C39" i="45"/>
  <c r="E39" i="45"/>
  <c r="F39" i="45"/>
  <c r="D39" i="45"/>
  <c r="F4" i="45"/>
  <c r="C4" i="45"/>
  <c r="D4" i="45"/>
  <c r="E4" i="45"/>
  <c r="F53" i="45"/>
  <c r="C53" i="45"/>
  <c r="E53" i="45"/>
  <c r="D53" i="45"/>
  <c r="F22" i="45"/>
  <c r="E22" i="45"/>
  <c r="C22" i="45"/>
  <c r="D22" i="45"/>
  <c r="C72" i="45"/>
  <c r="F72" i="45"/>
  <c r="E72" i="45"/>
  <c r="D72" i="45"/>
  <c r="C40" i="45"/>
  <c r="F40" i="45"/>
  <c r="E40" i="45"/>
  <c r="D40" i="45"/>
  <c r="F9" i="45"/>
  <c r="C9" i="45"/>
  <c r="D9" i="45"/>
  <c r="E9" i="45"/>
  <c r="E58" i="45"/>
  <c r="F58" i="45"/>
  <c r="C58" i="45"/>
  <c r="D58" i="45"/>
  <c r="C32" i="45"/>
  <c r="F32" i="45"/>
  <c r="E32" i="45"/>
  <c r="D32" i="45"/>
  <c r="F61" i="45"/>
  <c r="C61" i="45"/>
  <c r="D61" i="45"/>
  <c r="E61" i="45"/>
  <c r="C64" i="45"/>
  <c r="E64" i="45"/>
  <c r="F64" i="45"/>
  <c r="D64" i="45"/>
  <c r="C55" i="45"/>
  <c r="E55" i="45"/>
  <c r="F55" i="45"/>
  <c r="D55" i="45"/>
  <c r="E62" i="45"/>
  <c r="F62" i="45"/>
  <c r="C62" i="45"/>
  <c r="D62" i="45"/>
  <c r="C31" i="45"/>
  <c r="E31" i="45"/>
  <c r="F31" i="45"/>
  <c r="D31" i="45"/>
  <c r="C59" i="45"/>
  <c r="E59" i="45"/>
  <c r="F59" i="45"/>
  <c r="D59" i="45"/>
  <c r="C20" i="45"/>
  <c r="E20" i="45"/>
  <c r="F20" i="45"/>
  <c r="D20" i="45"/>
  <c r="F49" i="45"/>
  <c r="D49" i="45"/>
  <c r="E49" i="45"/>
  <c r="C49" i="45"/>
  <c r="F18" i="45"/>
  <c r="D18" i="45"/>
  <c r="E18" i="45"/>
  <c r="C18" i="45"/>
  <c r="C52" i="45"/>
  <c r="E52" i="45"/>
  <c r="F52" i="45"/>
  <c r="D52" i="45"/>
  <c r="D21" i="45"/>
  <c r="C21" i="45"/>
  <c r="E21" i="45"/>
  <c r="F21" i="45"/>
  <c r="C51" i="45"/>
  <c r="F51" i="45"/>
  <c r="E51" i="45"/>
  <c r="D51" i="45"/>
  <c r="C48" i="45"/>
  <c r="F48" i="45"/>
  <c r="E48" i="45"/>
  <c r="D48" i="45"/>
  <c r="G22" i="45"/>
  <c r="G33" i="45"/>
  <c r="G63" i="45"/>
  <c r="G16" i="45"/>
  <c r="G21" i="45"/>
  <c r="G62" i="45"/>
  <c r="G27" i="45"/>
  <c r="G11" i="45"/>
  <c r="Q3" i="34"/>
  <c r="R3" i="34" s="1"/>
  <c r="Q4" i="34"/>
  <c r="R4" i="34" s="1"/>
  <c r="Q5" i="34"/>
  <c r="R5" i="34" s="1"/>
  <c r="Q7" i="34"/>
  <c r="R7" i="34" s="1"/>
  <c r="Q8" i="34"/>
  <c r="R8" i="34" s="1"/>
  <c r="Q9" i="34"/>
  <c r="R9" i="34" s="1"/>
  <c r="Q10" i="34"/>
  <c r="R10" i="34" s="1"/>
  <c r="Q11" i="34"/>
  <c r="R11" i="34" s="1"/>
  <c r="Q12" i="34"/>
  <c r="R12" i="34" s="1"/>
  <c r="Q13" i="34"/>
  <c r="R13" i="34" s="1"/>
  <c r="Q15" i="34"/>
  <c r="R15" i="34" s="1"/>
  <c r="Q16" i="34"/>
  <c r="R16" i="34" s="1"/>
  <c r="Q17" i="34"/>
  <c r="R17" i="34" s="1"/>
  <c r="Q18" i="34"/>
  <c r="R18" i="34" s="1"/>
  <c r="Q19" i="34"/>
  <c r="R19" i="34" s="1"/>
  <c r="Q20" i="34"/>
  <c r="R20" i="34" s="1"/>
  <c r="Q21" i="34"/>
  <c r="R21" i="34" s="1"/>
  <c r="Q23" i="34"/>
  <c r="R23" i="34" s="1"/>
  <c r="Q24" i="34"/>
  <c r="R24" i="34" s="1"/>
  <c r="Q25" i="34"/>
  <c r="R25" i="34" s="1"/>
  <c r="Q26" i="34"/>
  <c r="R26" i="34" s="1"/>
  <c r="Q2" i="34"/>
  <c r="R2" i="34" s="1"/>
  <c r="V2" i="1" l="1"/>
  <c r="V3" i="1"/>
  <c r="V4" i="1"/>
  <c r="V5" i="1"/>
  <c r="V6" i="1"/>
  <c r="V7" i="1"/>
  <c r="V8" i="1"/>
  <c r="V9" i="1"/>
  <c r="V10" i="1"/>
  <c r="V14" i="1"/>
  <c r="V15" i="1"/>
  <c r="V17" i="1"/>
  <c r="V18" i="1"/>
  <c r="V19" i="1"/>
  <c r="V20" i="1"/>
  <c r="V22" i="1"/>
  <c r="V23" i="1"/>
  <c r="V25" i="1"/>
  <c r="V26" i="1"/>
  <c r="V27" i="1"/>
  <c r="V29" i="1"/>
  <c r="V30" i="1"/>
  <c r="V34" i="1"/>
  <c r="V36" i="1"/>
  <c r="V37" i="1"/>
  <c r="V38" i="1"/>
  <c r="V39" i="1"/>
  <c r="V44" i="1"/>
  <c r="V53" i="1"/>
  <c r="V54" i="1"/>
  <c r="V58" i="1"/>
  <c r="V59" i="1"/>
  <c r="V61" i="1"/>
  <c r="V62" i="1"/>
  <c r="V63" i="1"/>
  <c r="V65" i="1"/>
  <c r="V69" i="1"/>
  <c r="V70" i="1"/>
  <c r="V71" i="1"/>
  <c r="V72" i="1"/>
  <c r="V73" i="1"/>
  <c r="V74" i="1"/>
  <c r="V76" i="1"/>
  <c r="V77" i="1"/>
  <c r="V78" i="1"/>
  <c r="V79" i="1"/>
  <c r="V80" i="1"/>
  <c r="V81" i="1"/>
  <c r="V82" i="1"/>
  <c r="V83" i="1"/>
  <c r="V84" i="1"/>
  <c r="V85" i="1"/>
  <c r="V86" i="1"/>
  <c r="V87" i="1"/>
  <c r="V88" i="1"/>
  <c r="V89" i="1"/>
  <c r="V90" i="1"/>
  <c r="V91" i="1"/>
  <c r="V92" i="1"/>
  <c r="V93" i="1"/>
  <c r="V94" i="1"/>
  <c r="V95" i="1"/>
  <c r="V96" i="1"/>
  <c r="V97" i="1"/>
  <c r="V98" i="1"/>
  <c r="V99" i="1"/>
  <c r="V100" i="1"/>
  <c r="V101" i="1"/>
  <c r="V103" i="1"/>
  <c r="V104" i="1"/>
  <c r="V105" i="1"/>
  <c r="V106" i="1"/>
  <c r="V107" i="1"/>
  <c r="V108" i="1"/>
  <c r="V109" i="1"/>
  <c r="V110" i="1"/>
  <c r="V111" i="1"/>
  <c r="V112" i="1"/>
  <c r="V113" i="1"/>
  <c r="V115" i="1"/>
  <c r="V116" i="1"/>
  <c r="V117" i="1"/>
  <c r="V118" i="1"/>
  <c r="V119" i="1"/>
  <c r="V120" i="1"/>
  <c r="V121" i="1"/>
  <c r="V122" i="1"/>
  <c r="V123" i="1"/>
  <c r="V124" i="1"/>
  <c r="V125" i="1"/>
  <c r="V126" i="1"/>
  <c r="V127" i="1"/>
  <c r="V128" i="1"/>
  <c r="V129" i="1"/>
  <c r="V130" i="1"/>
  <c r="V131" i="1"/>
  <c r="V132" i="1"/>
  <c r="V133" i="1"/>
  <c r="V134" i="1"/>
  <c r="V135" i="1"/>
  <c r="V136" i="1"/>
  <c r="V137" i="1"/>
  <c r="V139" i="1"/>
  <c r="V140" i="1"/>
  <c r="V141" i="1"/>
  <c r="V142" i="1"/>
  <c r="V143" i="1"/>
  <c r="V144" i="1"/>
  <c r="V145" i="1"/>
  <c r="V146" i="1"/>
  <c r="V147" i="1"/>
  <c r="V158" i="1"/>
  <c r="V159" i="1"/>
  <c r="V160" i="1"/>
  <c r="V161" i="1"/>
  <c r="V162" i="1"/>
  <c r="V167" i="1"/>
  <c r="V166" i="1"/>
  <c r="V163" i="1"/>
  <c r="V155" i="1"/>
  <c r="V165" i="1"/>
  <c r="V151" i="1"/>
  <c r="V164" i="1"/>
  <c r="V149" i="1"/>
  <c r="V157" i="1"/>
  <c r="V150" i="1"/>
  <c r="V154" i="1"/>
  <c r="V152" i="1"/>
  <c r="V153" i="1"/>
  <c r="V156" i="1"/>
  <c r="V148" i="1"/>
  <c r="N41" i="33" l="1"/>
  <c r="M41" i="33"/>
  <c r="N40" i="33"/>
  <c r="M40" i="33"/>
  <c r="N39" i="33"/>
  <c r="M39" i="33"/>
  <c r="N38" i="33"/>
  <c r="M38" i="33"/>
  <c r="N37" i="33"/>
  <c r="M37" i="33"/>
  <c r="N36" i="33"/>
  <c r="M36" i="33"/>
  <c r="N35" i="33"/>
  <c r="M35" i="33"/>
  <c r="C35" i="33"/>
  <c r="N34" i="33"/>
  <c r="M34" i="33"/>
  <c r="C34" i="33"/>
  <c r="N33" i="33"/>
  <c r="C33" i="33"/>
  <c r="N32" i="33"/>
  <c r="C32" i="33"/>
  <c r="N31" i="33"/>
  <c r="C31" i="33"/>
  <c r="N30" i="33"/>
  <c r="M30" i="33"/>
  <c r="C30" i="33"/>
  <c r="N29" i="33"/>
  <c r="M29" i="33"/>
  <c r="C29" i="33"/>
  <c r="N28" i="33"/>
  <c r="M28" i="33"/>
  <c r="C28" i="33"/>
  <c r="N27" i="33"/>
  <c r="C27" i="33"/>
  <c r="N26" i="33"/>
  <c r="C26" i="33"/>
  <c r="N25" i="33"/>
  <c r="C25" i="33"/>
  <c r="N24" i="33"/>
  <c r="M24" i="33"/>
  <c r="C24" i="33"/>
  <c r="N23" i="33"/>
  <c r="C23" i="33"/>
  <c r="N22" i="33"/>
  <c r="M22" i="33"/>
  <c r="C22" i="33"/>
  <c r="N21" i="33"/>
  <c r="M21" i="33"/>
  <c r="C21" i="33"/>
  <c r="N20" i="33"/>
  <c r="M20" i="33"/>
  <c r="C20" i="33"/>
  <c r="N19" i="33"/>
  <c r="M19" i="33"/>
  <c r="C19" i="33"/>
  <c r="N18" i="33"/>
  <c r="M18" i="33"/>
  <c r="C18" i="33"/>
  <c r="N17" i="33"/>
  <c r="M17" i="33"/>
  <c r="C17" i="33"/>
  <c r="N16" i="33"/>
  <c r="M16" i="33"/>
  <c r="C16" i="33"/>
  <c r="N15" i="33"/>
  <c r="M15" i="33"/>
  <c r="C15" i="33"/>
  <c r="N14" i="33"/>
  <c r="M14" i="33"/>
  <c r="C14" i="33"/>
  <c r="N13" i="33"/>
  <c r="M13" i="33"/>
  <c r="C13" i="33"/>
  <c r="N12" i="33"/>
  <c r="M12" i="33"/>
  <c r="C12" i="33"/>
  <c r="N11" i="33"/>
  <c r="M11" i="33"/>
  <c r="C11" i="33"/>
  <c r="N10" i="33"/>
  <c r="M10" i="33"/>
  <c r="C10" i="33"/>
  <c r="N9" i="33"/>
  <c r="M9" i="33"/>
  <c r="C9" i="33"/>
  <c r="N8" i="33"/>
  <c r="M8" i="33"/>
  <c r="C8" i="33"/>
  <c r="N7" i="33"/>
  <c r="M7" i="33"/>
  <c r="C7" i="33"/>
  <c r="N6" i="33"/>
  <c r="M6" i="33"/>
  <c r="C6" i="33"/>
  <c r="N5" i="33"/>
  <c r="M5" i="33"/>
  <c r="C5" i="33"/>
  <c r="N4" i="33"/>
  <c r="M4" i="33"/>
  <c r="C4" i="33"/>
  <c r="N3" i="33"/>
  <c r="M3" i="33"/>
  <c r="C3" i="33"/>
  <c r="N2" i="33"/>
  <c r="M2" i="33"/>
  <c r="C2" i="33"/>
  <c r="U148" i="1" l="1"/>
  <c r="T148" i="1"/>
  <c r="S148" i="1"/>
  <c r="R148" i="1"/>
  <c r="C148" i="1"/>
  <c r="B148" i="1"/>
  <c r="U156" i="1"/>
  <c r="T156" i="1"/>
  <c r="S156" i="1"/>
  <c r="R156" i="1"/>
  <c r="C156" i="1"/>
  <c r="B156" i="1"/>
  <c r="U153" i="1"/>
  <c r="T153" i="1"/>
  <c r="S153" i="1"/>
  <c r="R153" i="1"/>
  <c r="C153" i="1"/>
  <c r="B153" i="1"/>
  <c r="U152" i="1"/>
  <c r="T152" i="1"/>
  <c r="S152" i="1"/>
  <c r="R152" i="1"/>
  <c r="C152" i="1"/>
  <c r="B152" i="1"/>
  <c r="U154" i="1"/>
  <c r="T154" i="1"/>
  <c r="S154" i="1"/>
  <c r="R154" i="1"/>
  <c r="C154" i="1"/>
  <c r="B154" i="1"/>
  <c r="U150" i="1"/>
  <c r="T150" i="1"/>
  <c r="S150" i="1"/>
  <c r="R150" i="1"/>
  <c r="C150" i="1"/>
  <c r="B150" i="1"/>
  <c r="U157" i="1"/>
  <c r="T157" i="1"/>
  <c r="S157" i="1"/>
  <c r="R157" i="1"/>
  <c r="C157" i="1"/>
  <c r="B157" i="1"/>
  <c r="U149" i="1"/>
  <c r="T149" i="1"/>
  <c r="S149" i="1"/>
  <c r="R149" i="1"/>
  <c r="C149" i="1"/>
  <c r="B149" i="1"/>
  <c r="U164" i="1"/>
  <c r="T164" i="1"/>
  <c r="S164" i="1"/>
  <c r="R164" i="1"/>
  <c r="C164" i="1"/>
  <c r="B164" i="1"/>
  <c r="U151" i="1"/>
  <c r="T151" i="1"/>
  <c r="S151" i="1"/>
  <c r="R151" i="1"/>
  <c r="C151" i="1"/>
  <c r="B151" i="1"/>
  <c r="U165" i="1"/>
  <c r="T165" i="1"/>
  <c r="S165" i="1"/>
  <c r="R165" i="1"/>
  <c r="C165" i="1"/>
  <c r="B165" i="1"/>
  <c r="U155" i="1"/>
  <c r="T155" i="1"/>
  <c r="S155" i="1"/>
  <c r="R155" i="1"/>
  <c r="C155" i="1"/>
  <c r="B155" i="1"/>
  <c r="U163" i="1"/>
  <c r="T163" i="1"/>
  <c r="S163" i="1"/>
  <c r="R163" i="1"/>
  <c r="C163" i="1"/>
  <c r="B163" i="1"/>
  <c r="U166" i="1"/>
  <c r="T166" i="1"/>
  <c r="S166" i="1"/>
  <c r="R166" i="1"/>
  <c r="C166" i="1"/>
  <c r="B166" i="1"/>
  <c r="U167" i="1"/>
  <c r="T167" i="1"/>
  <c r="S167" i="1"/>
  <c r="R167" i="1"/>
  <c r="C167" i="1"/>
  <c r="B167" i="1"/>
  <c r="U162" i="1"/>
  <c r="T162" i="1"/>
  <c r="S162" i="1"/>
  <c r="R162" i="1"/>
  <c r="C162" i="1"/>
  <c r="B162" i="1"/>
  <c r="U161" i="1"/>
  <c r="T161" i="1"/>
  <c r="S161" i="1"/>
  <c r="R161" i="1"/>
  <c r="C161" i="1"/>
  <c r="B161" i="1"/>
  <c r="U160" i="1"/>
  <c r="T160" i="1"/>
  <c r="S160" i="1"/>
  <c r="R160" i="1"/>
  <c r="C160" i="1"/>
  <c r="B160" i="1"/>
  <c r="U159" i="1"/>
  <c r="T159" i="1"/>
  <c r="S159" i="1"/>
  <c r="R159" i="1"/>
  <c r="C159" i="1"/>
  <c r="B159" i="1"/>
  <c r="U158" i="1"/>
  <c r="T158" i="1"/>
  <c r="S158" i="1"/>
  <c r="R158" i="1"/>
  <c r="C158" i="1"/>
  <c r="B158" i="1"/>
  <c r="U147" i="1"/>
  <c r="T147" i="1"/>
  <c r="S147" i="1"/>
  <c r="R147" i="1"/>
  <c r="C147" i="1"/>
  <c r="B147" i="1"/>
  <c r="U146" i="1"/>
  <c r="T146" i="1"/>
  <c r="S146" i="1"/>
  <c r="R146" i="1"/>
  <c r="C146" i="1"/>
  <c r="B146" i="1"/>
  <c r="U145" i="1"/>
  <c r="T145" i="1"/>
  <c r="S145" i="1"/>
  <c r="R145" i="1"/>
  <c r="C145" i="1"/>
  <c r="B145" i="1"/>
  <c r="U144" i="1"/>
  <c r="T144" i="1"/>
  <c r="S144" i="1"/>
  <c r="R144" i="1"/>
  <c r="C144" i="1"/>
  <c r="B144" i="1"/>
  <c r="U143" i="1"/>
  <c r="T143" i="1"/>
  <c r="S143" i="1"/>
  <c r="R143" i="1"/>
  <c r="C143" i="1"/>
  <c r="B143" i="1"/>
  <c r="U142" i="1"/>
  <c r="T142" i="1"/>
  <c r="S142" i="1"/>
  <c r="R142" i="1"/>
  <c r="C142" i="1"/>
  <c r="B142" i="1"/>
  <c r="F141" i="1"/>
  <c r="U141" i="1" s="1"/>
  <c r="C141" i="1"/>
  <c r="B141" i="1"/>
  <c r="F140" i="1"/>
  <c r="S140" i="1" s="1"/>
  <c r="C140" i="1"/>
  <c r="B140" i="1"/>
  <c r="F139" i="1"/>
  <c r="U139" i="1" s="1"/>
  <c r="C139" i="1"/>
  <c r="B139" i="1"/>
  <c r="F138" i="1"/>
  <c r="C138" i="1"/>
  <c r="X138" i="1" s="1"/>
  <c r="B138" i="1"/>
  <c r="F137" i="1"/>
  <c r="U137" i="1" s="1"/>
  <c r="C137" i="1"/>
  <c r="B137" i="1"/>
  <c r="F136" i="1"/>
  <c r="R136" i="1" s="1"/>
  <c r="C136" i="1"/>
  <c r="B136" i="1"/>
  <c r="F135" i="1"/>
  <c r="C135" i="1"/>
  <c r="B135" i="1"/>
  <c r="F134" i="1"/>
  <c r="R134" i="1" s="1"/>
  <c r="C134" i="1"/>
  <c r="B134" i="1"/>
  <c r="F133" i="1"/>
  <c r="C133" i="1"/>
  <c r="B133" i="1"/>
  <c r="F132" i="1"/>
  <c r="R132" i="1" s="1"/>
  <c r="C132" i="1"/>
  <c r="B132" i="1"/>
  <c r="F131" i="1"/>
  <c r="U131" i="1" s="1"/>
  <c r="C131" i="1"/>
  <c r="B131" i="1"/>
  <c r="F130" i="1"/>
  <c r="R130" i="1" s="1"/>
  <c r="C130" i="1"/>
  <c r="B130" i="1"/>
  <c r="F129" i="1"/>
  <c r="U129" i="1" s="1"/>
  <c r="C129" i="1"/>
  <c r="B129" i="1"/>
  <c r="F128" i="1"/>
  <c r="R128" i="1" s="1"/>
  <c r="C128" i="1"/>
  <c r="B128" i="1"/>
  <c r="F127" i="1"/>
  <c r="C127" i="1"/>
  <c r="B127" i="1"/>
  <c r="F126" i="1"/>
  <c r="R126" i="1" s="1"/>
  <c r="C126" i="1"/>
  <c r="B126" i="1"/>
  <c r="F125" i="1"/>
  <c r="C125" i="1"/>
  <c r="B125" i="1"/>
  <c r="F124" i="1"/>
  <c r="R124" i="1" s="1"/>
  <c r="C124" i="1"/>
  <c r="B124" i="1"/>
  <c r="F123" i="1"/>
  <c r="U123" i="1" s="1"/>
  <c r="C123" i="1"/>
  <c r="B123" i="1"/>
  <c r="F122" i="1"/>
  <c r="R122" i="1" s="1"/>
  <c r="C122" i="1"/>
  <c r="B122" i="1"/>
  <c r="F121" i="1"/>
  <c r="U121" i="1" s="1"/>
  <c r="C121" i="1"/>
  <c r="B121" i="1"/>
  <c r="F120" i="1"/>
  <c r="R120" i="1" s="1"/>
  <c r="C120" i="1"/>
  <c r="B120" i="1"/>
  <c r="F119" i="1"/>
  <c r="C119" i="1"/>
  <c r="B119" i="1"/>
  <c r="F118" i="1"/>
  <c r="R118" i="1" s="1"/>
  <c r="C118" i="1"/>
  <c r="B118" i="1"/>
  <c r="F117" i="1"/>
  <c r="C117" i="1"/>
  <c r="B117" i="1"/>
  <c r="F116" i="1"/>
  <c r="R116" i="1" s="1"/>
  <c r="C116" i="1"/>
  <c r="B116" i="1"/>
  <c r="F115" i="1"/>
  <c r="U115" i="1" s="1"/>
  <c r="C115" i="1"/>
  <c r="B115" i="1"/>
  <c r="F114" i="1"/>
  <c r="U114" i="1" s="1"/>
  <c r="C114" i="1"/>
  <c r="B114" i="1"/>
  <c r="F113" i="1"/>
  <c r="R113" i="1" s="1"/>
  <c r="C113" i="1"/>
  <c r="B113" i="1"/>
  <c r="F112" i="1"/>
  <c r="U112" i="1" s="1"/>
  <c r="C112" i="1"/>
  <c r="B112" i="1"/>
  <c r="F111" i="1"/>
  <c r="U111" i="1" s="1"/>
  <c r="C111" i="1"/>
  <c r="B111" i="1"/>
  <c r="F110" i="1"/>
  <c r="U110" i="1" s="1"/>
  <c r="C110" i="1"/>
  <c r="B110" i="1"/>
  <c r="F109" i="1"/>
  <c r="U109" i="1" s="1"/>
  <c r="C109" i="1"/>
  <c r="B109" i="1"/>
  <c r="F108" i="1"/>
  <c r="U108" i="1" s="1"/>
  <c r="C108" i="1"/>
  <c r="B108" i="1"/>
  <c r="F107" i="1"/>
  <c r="U107" i="1" s="1"/>
  <c r="C107" i="1"/>
  <c r="B107" i="1"/>
  <c r="F106" i="1"/>
  <c r="U106" i="1" s="1"/>
  <c r="C106" i="1"/>
  <c r="B106" i="1"/>
  <c r="F105" i="1"/>
  <c r="U105" i="1" s="1"/>
  <c r="C105" i="1"/>
  <c r="B105" i="1"/>
  <c r="F104" i="1"/>
  <c r="U104" i="1" s="1"/>
  <c r="C104" i="1"/>
  <c r="B104" i="1"/>
  <c r="F103" i="1"/>
  <c r="S103" i="1" s="1"/>
  <c r="C103" i="1"/>
  <c r="B103" i="1"/>
  <c r="F102" i="1"/>
  <c r="U102" i="1" s="1"/>
  <c r="N27" i="34" s="1"/>
  <c r="C102" i="1"/>
  <c r="B102" i="1"/>
  <c r="F101" i="1"/>
  <c r="C101" i="1"/>
  <c r="B101" i="1"/>
  <c r="F100" i="1"/>
  <c r="U100" i="1" s="1"/>
  <c r="C100" i="1"/>
  <c r="B100" i="1"/>
  <c r="F99" i="1"/>
  <c r="S99" i="1" s="1"/>
  <c r="C99" i="1"/>
  <c r="B99" i="1"/>
  <c r="F98" i="1"/>
  <c r="U98" i="1" s="1"/>
  <c r="C98" i="1"/>
  <c r="B98" i="1"/>
  <c r="F97" i="1"/>
  <c r="S97" i="1" s="1"/>
  <c r="C97" i="1"/>
  <c r="B97" i="1"/>
  <c r="F96" i="1"/>
  <c r="U96" i="1" s="1"/>
  <c r="C96" i="1"/>
  <c r="B96" i="1"/>
  <c r="F95" i="1"/>
  <c r="S95" i="1" s="1"/>
  <c r="C95" i="1"/>
  <c r="B95" i="1"/>
  <c r="F94" i="1"/>
  <c r="U94" i="1" s="1"/>
  <c r="C94" i="1"/>
  <c r="B94" i="1"/>
  <c r="F93" i="1"/>
  <c r="C93" i="1"/>
  <c r="B93" i="1"/>
  <c r="F92" i="1"/>
  <c r="U92" i="1" s="1"/>
  <c r="C92" i="1"/>
  <c r="B92" i="1"/>
  <c r="F91" i="1"/>
  <c r="S91" i="1" s="1"/>
  <c r="C91" i="1"/>
  <c r="B91" i="1"/>
  <c r="F90" i="1"/>
  <c r="U90" i="1" s="1"/>
  <c r="C90" i="1"/>
  <c r="B90" i="1"/>
  <c r="F89" i="1"/>
  <c r="S89" i="1" s="1"/>
  <c r="C89" i="1"/>
  <c r="B89" i="1"/>
  <c r="F88" i="1"/>
  <c r="U88" i="1" s="1"/>
  <c r="C88" i="1"/>
  <c r="B88" i="1"/>
  <c r="F87" i="1"/>
  <c r="U87" i="1" s="1"/>
  <c r="C87" i="1"/>
  <c r="B87" i="1"/>
  <c r="F86" i="1"/>
  <c r="C86" i="1"/>
  <c r="B86" i="1"/>
  <c r="F85" i="1"/>
  <c r="U85" i="1" s="1"/>
  <c r="C85" i="1"/>
  <c r="B85" i="1"/>
  <c r="F84" i="1"/>
  <c r="C84" i="1"/>
  <c r="B84" i="1"/>
  <c r="F83" i="1"/>
  <c r="U83" i="1" s="1"/>
  <c r="C83" i="1"/>
  <c r="B83" i="1"/>
  <c r="F82" i="1"/>
  <c r="U82" i="1" s="1"/>
  <c r="C82" i="1"/>
  <c r="B82" i="1"/>
  <c r="F81" i="1"/>
  <c r="U81" i="1" s="1"/>
  <c r="C81" i="1"/>
  <c r="B81" i="1"/>
  <c r="F80" i="1"/>
  <c r="U80" i="1" s="1"/>
  <c r="C80" i="1"/>
  <c r="B80" i="1"/>
  <c r="F79" i="1"/>
  <c r="U79" i="1" s="1"/>
  <c r="C79" i="1"/>
  <c r="B79" i="1"/>
  <c r="F78" i="1"/>
  <c r="C78" i="1"/>
  <c r="B78" i="1"/>
  <c r="F77" i="1"/>
  <c r="U77" i="1" s="1"/>
  <c r="C77" i="1"/>
  <c r="B77" i="1"/>
  <c r="F76" i="1"/>
  <c r="T76" i="1" s="1"/>
  <c r="C76" i="1"/>
  <c r="B76" i="1"/>
  <c r="F75" i="1"/>
  <c r="U75" i="1" s="1"/>
  <c r="N26" i="34" s="1"/>
  <c r="C75" i="1"/>
  <c r="B75" i="1"/>
  <c r="F74" i="1"/>
  <c r="C74" i="1"/>
  <c r="B74" i="1"/>
  <c r="F73" i="1"/>
  <c r="U73" i="1" s="1"/>
  <c r="C73" i="1"/>
  <c r="B73" i="1"/>
  <c r="F72" i="1"/>
  <c r="C72" i="1"/>
  <c r="B72" i="1"/>
  <c r="F71" i="1"/>
  <c r="U71" i="1" s="1"/>
  <c r="C71" i="1"/>
  <c r="B71" i="1"/>
  <c r="F70" i="1"/>
  <c r="C70" i="1"/>
  <c r="B70" i="1"/>
  <c r="F69" i="1"/>
  <c r="U69" i="1" s="1"/>
  <c r="C69" i="1"/>
  <c r="B69" i="1"/>
  <c r="F68" i="1"/>
  <c r="U68" i="1" s="1"/>
  <c r="C68" i="1"/>
  <c r="B68" i="1"/>
  <c r="F67" i="1"/>
  <c r="T67" i="1" s="1"/>
  <c r="C67" i="1"/>
  <c r="B67" i="1"/>
  <c r="F66" i="1"/>
  <c r="U66" i="1" s="1"/>
  <c r="N25" i="34" s="1"/>
  <c r="C66" i="1"/>
  <c r="B66" i="1"/>
  <c r="F65" i="1"/>
  <c r="S65" i="1" s="1"/>
  <c r="C65" i="1"/>
  <c r="B65" i="1"/>
  <c r="F64" i="1"/>
  <c r="U64" i="1" s="1"/>
  <c r="C64" i="1"/>
  <c r="B64" i="1"/>
  <c r="F63" i="1"/>
  <c r="S63" i="1" s="1"/>
  <c r="C63" i="1"/>
  <c r="B63" i="1"/>
  <c r="F62" i="1"/>
  <c r="U62" i="1" s="1"/>
  <c r="C62" i="1"/>
  <c r="B62" i="1"/>
  <c r="F61" i="1"/>
  <c r="S61" i="1" s="1"/>
  <c r="C61" i="1"/>
  <c r="B61" i="1"/>
  <c r="F60" i="1"/>
  <c r="U60" i="1" s="1"/>
  <c r="N24" i="34" s="1"/>
  <c r="C60" i="1"/>
  <c r="B60" i="1"/>
  <c r="F59" i="1"/>
  <c r="S59" i="1" s="1"/>
  <c r="C59" i="1"/>
  <c r="B59" i="1"/>
  <c r="F58" i="1"/>
  <c r="U58" i="1" s="1"/>
  <c r="C58" i="1"/>
  <c r="B58" i="1"/>
  <c r="F57" i="1"/>
  <c r="S57" i="1" s="1"/>
  <c r="C57" i="1"/>
  <c r="B57" i="1"/>
  <c r="F56" i="1"/>
  <c r="U56" i="1" s="1"/>
  <c r="C56" i="1"/>
  <c r="B56" i="1"/>
  <c r="F55" i="1"/>
  <c r="S55" i="1" s="1"/>
  <c r="C55" i="1"/>
  <c r="B55" i="1"/>
  <c r="F54" i="1"/>
  <c r="U54" i="1" s="1"/>
  <c r="C54" i="1"/>
  <c r="B54" i="1"/>
  <c r="F53" i="1"/>
  <c r="S53" i="1" s="1"/>
  <c r="C53" i="1"/>
  <c r="B53" i="1"/>
  <c r="F52" i="1"/>
  <c r="U52" i="1" s="1"/>
  <c r="N23" i="34" s="1"/>
  <c r="C52" i="1"/>
  <c r="B52" i="1"/>
  <c r="F51" i="1"/>
  <c r="S51" i="1" s="1"/>
  <c r="C51" i="1"/>
  <c r="B51" i="1"/>
  <c r="F50" i="1"/>
  <c r="U50" i="1" s="1"/>
  <c r="N21" i="34" s="1"/>
  <c r="C50" i="1"/>
  <c r="B50" i="1"/>
  <c r="F49" i="1"/>
  <c r="S49" i="1" s="1"/>
  <c r="C49" i="1"/>
  <c r="B49" i="1"/>
  <c r="F48" i="1"/>
  <c r="U48" i="1" s="1"/>
  <c r="N19" i="34" s="1"/>
  <c r="C48" i="1"/>
  <c r="B48" i="1"/>
  <c r="F47" i="1"/>
  <c r="S47" i="1" s="1"/>
  <c r="C47" i="1"/>
  <c r="B47" i="1"/>
  <c r="F46" i="1"/>
  <c r="U46" i="1" s="1"/>
  <c r="N18" i="34" s="1"/>
  <c r="C46" i="1"/>
  <c r="B46" i="1"/>
  <c r="F45" i="1"/>
  <c r="S45" i="1" s="1"/>
  <c r="C45" i="1"/>
  <c r="B45" i="1"/>
  <c r="F44" i="1"/>
  <c r="U44" i="1" s="1"/>
  <c r="C44" i="1"/>
  <c r="B44" i="1"/>
  <c r="F43" i="1"/>
  <c r="S43" i="1" s="1"/>
  <c r="C43" i="1"/>
  <c r="B43" i="1"/>
  <c r="F42" i="1"/>
  <c r="T42" i="1" s="1"/>
  <c r="C42" i="1"/>
  <c r="B42" i="1"/>
  <c r="F41" i="1"/>
  <c r="U41" i="1" s="1"/>
  <c r="N14" i="34" s="1"/>
  <c r="C41" i="1"/>
  <c r="B41" i="1"/>
  <c r="F40" i="1"/>
  <c r="T40" i="1" s="1"/>
  <c r="C40" i="1"/>
  <c r="B40" i="1"/>
  <c r="F39" i="1"/>
  <c r="U39" i="1" s="1"/>
  <c r="C39" i="1"/>
  <c r="B39" i="1"/>
  <c r="F38" i="1"/>
  <c r="T38" i="1" s="1"/>
  <c r="C38" i="1"/>
  <c r="B38" i="1"/>
  <c r="F37" i="1"/>
  <c r="U37" i="1" s="1"/>
  <c r="C37" i="1"/>
  <c r="B37" i="1"/>
  <c r="F36" i="1"/>
  <c r="T36" i="1" s="1"/>
  <c r="C36" i="1"/>
  <c r="B36" i="1"/>
  <c r="F35" i="1"/>
  <c r="U35" i="1" s="1"/>
  <c r="N12" i="34" s="1"/>
  <c r="C35" i="1"/>
  <c r="B35" i="1"/>
  <c r="F34" i="1"/>
  <c r="T34" i="1" s="1"/>
  <c r="C34" i="1"/>
  <c r="B34" i="1"/>
  <c r="F33" i="1"/>
  <c r="U33" i="1" s="1"/>
  <c r="N11" i="34" s="1"/>
  <c r="C33" i="1"/>
  <c r="B33" i="1"/>
  <c r="F32" i="1"/>
  <c r="T32" i="1" s="1"/>
  <c r="C32" i="1"/>
  <c r="B32" i="1"/>
  <c r="F31" i="1"/>
  <c r="U31" i="1" s="1"/>
  <c r="N9" i="34" s="1"/>
  <c r="C31" i="1"/>
  <c r="B31" i="1"/>
  <c r="F30" i="1"/>
  <c r="T30" i="1" s="1"/>
  <c r="C30" i="1"/>
  <c r="B30" i="1"/>
  <c r="F29" i="1"/>
  <c r="U29" i="1" s="1"/>
  <c r="C29" i="1"/>
  <c r="B29" i="1"/>
  <c r="F28" i="1"/>
  <c r="T28" i="1" s="1"/>
  <c r="C28" i="1"/>
  <c r="B28" i="1"/>
  <c r="F27" i="1"/>
  <c r="U27" i="1" s="1"/>
  <c r="C27" i="1"/>
  <c r="B27" i="1"/>
  <c r="F26" i="1"/>
  <c r="T26" i="1" s="1"/>
  <c r="C26" i="1"/>
  <c r="B26" i="1"/>
  <c r="F25" i="1"/>
  <c r="U25" i="1" s="1"/>
  <c r="C25" i="1"/>
  <c r="B25" i="1"/>
  <c r="F24" i="1"/>
  <c r="T24" i="1" s="1"/>
  <c r="C24" i="1"/>
  <c r="B24" i="1"/>
  <c r="F23" i="1"/>
  <c r="U23" i="1" s="1"/>
  <c r="C23" i="1"/>
  <c r="B23" i="1"/>
  <c r="F22" i="1"/>
  <c r="T22" i="1" s="1"/>
  <c r="C22" i="1"/>
  <c r="B22" i="1"/>
  <c r="F21" i="1"/>
  <c r="U21" i="1" s="1"/>
  <c r="N6" i="34" s="1"/>
  <c r="C21" i="1"/>
  <c r="B21" i="1"/>
  <c r="F20" i="1"/>
  <c r="T20" i="1" s="1"/>
  <c r="C20" i="1"/>
  <c r="B20" i="1"/>
  <c r="F19" i="1"/>
  <c r="U19" i="1" s="1"/>
  <c r="C19" i="1"/>
  <c r="B19" i="1"/>
  <c r="F18" i="1"/>
  <c r="T18" i="1" s="1"/>
  <c r="C18" i="1"/>
  <c r="B18" i="1"/>
  <c r="F17" i="1"/>
  <c r="U17" i="1" s="1"/>
  <c r="C17" i="1"/>
  <c r="B17" i="1"/>
  <c r="F16" i="1"/>
  <c r="T16" i="1" s="1"/>
  <c r="C16" i="1"/>
  <c r="B16" i="1"/>
  <c r="F15" i="1"/>
  <c r="U15" i="1" s="1"/>
  <c r="C15" i="1"/>
  <c r="B15" i="1"/>
  <c r="F14" i="1"/>
  <c r="T14" i="1" s="1"/>
  <c r="C14" i="1"/>
  <c r="B14" i="1"/>
  <c r="F13" i="1"/>
  <c r="U13" i="1" s="1"/>
  <c r="N4" i="34" s="1"/>
  <c r="C13" i="1"/>
  <c r="B13" i="1"/>
  <c r="F12" i="1"/>
  <c r="T12" i="1" s="1"/>
  <c r="C12" i="1"/>
  <c r="B12" i="1"/>
  <c r="F11" i="1"/>
  <c r="U11" i="1" s="1"/>
  <c r="N2" i="34" s="1"/>
  <c r="C11" i="1"/>
  <c r="B11" i="1"/>
  <c r="F10" i="1"/>
  <c r="T10" i="1" s="1"/>
  <c r="C10" i="1"/>
  <c r="B10" i="1"/>
  <c r="F9" i="1"/>
  <c r="U9" i="1" s="1"/>
  <c r="C9" i="1"/>
  <c r="B9" i="1"/>
  <c r="F8" i="1"/>
  <c r="T8" i="1" s="1"/>
  <c r="C8" i="1"/>
  <c r="B8" i="1"/>
  <c r="F7" i="1"/>
  <c r="U7" i="1" s="1"/>
  <c r="C7" i="1"/>
  <c r="B7" i="1"/>
  <c r="F6" i="1"/>
  <c r="T6" i="1" s="1"/>
  <c r="C6" i="1"/>
  <c r="B6" i="1"/>
  <c r="F5" i="1"/>
  <c r="U5" i="1" s="1"/>
  <c r="C5" i="1"/>
  <c r="B5" i="1"/>
  <c r="F4" i="1"/>
  <c r="T4" i="1" s="1"/>
  <c r="C4" i="1"/>
  <c r="B4" i="1"/>
  <c r="F3" i="1"/>
  <c r="U3" i="1" s="1"/>
  <c r="C3" i="1"/>
  <c r="B3" i="1"/>
  <c r="F2" i="1"/>
  <c r="T2" i="1" s="1"/>
  <c r="C2" i="1"/>
  <c r="Y2" i="1" s="1"/>
  <c r="B2" i="1"/>
  <c r="C1" i="1"/>
  <c r="B1" i="1"/>
  <c r="R138" i="1" l="1"/>
  <c r="T138" i="1"/>
  <c r="U138" i="1"/>
  <c r="S138" i="1"/>
  <c r="P2" i="46"/>
  <c r="X18" i="1"/>
  <c r="Y18" i="1"/>
  <c r="X26" i="1"/>
  <c r="Y26" i="1"/>
  <c r="X38" i="1"/>
  <c r="Y38" i="1"/>
  <c r="X50" i="1"/>
  <c r="Y50" i="1"/>
  <c r="X54" i="1"/>
  <c r="Y54" i="1"/>
  <c r="X58" i="1"/>
  <c r="Y58" i="1"/>
  <c r="X70" i="1"/>
  <c r="Y70" i="1"/>
  <c r="X82" i="1"/>
  <c r="Y82" i="1"/>
  <c r="X6" i="1"/>
  <c r="Y6" i="1"/>
  <c r="X10" i="1"/>
  <c r="Y10" i="1"/>
  <c r="X146" i="1"/>
  <c r="Y146" i="1"/>
  <c r="X158" i="1"/>
  <c r="Y158" i="1"/>
  <c r="X160" i="1"/>
  <c r="Y160" i="1"/>
  <c r="X162" i="1"/>
  <c r="Y162" i="1"/>
  <c r="X166" i="1"/>
  <c r="Y166" i="1"/>
  <c r="X155" i="1"/>
  <c r="Y155" i="1"/>
  <c r="X151" i="1"/>
  <c r="Y151" i="1"/>
  <c r="X149" i="1"/>
  <c r="Y149" i="1"/>
  <c r="X150" i="1"/>
  <c r="Y150" i="1"/>
  <c r="X152" i="1"/>
  <c r="Y152" i="1"/>
  <c r="X156" i="1"/>
  <c r="Y156" i="1"/>
  <c r="X5" i="1"/>
  <c r="Y5" i="1"/>
  <c r="X9" i="1"/>
  <c r="Y9" i="1"/>
  <c r="X13" i="1"/>
  <c r="Y13" i="1"/>
  <c r="X17" i="1"/>
  <c r="Y17" i="1"/>
  <c r="X21" i="1"/>
  <c r="Y21" i="1"/>
  <c r="X25" i="1"/>
  <c r="Y25" i="1"/>
  <c r="X29" i="1"/>
  <c r="Y29" i="1"/>
  <c r="X33" i="1"/>
  <c r="Y33" i="1"/>
  <c r="X37" i="1"/>
  <c r="Y37" i="1"/>
  <c r="X41" i="1"/>
  <c r="Y41" i="1"/>
  <c r="X45" i="1"/>
  <c r="Y45" i="1"/>
  <c r="X49" i="1"/>
  <c r="Y49" i="1"/>
  <c r="X53" i="1"/>
  <c r="Y53" i="1"/>
  <c r="X57" i="1"/>
  <c r="Y57" i="1"/>
  <c r="X61" i="1"/>
  <c r="Y61" i="1"/>
  <c r="X65" i="1"/>
  <c r="Y65" i="1"/>
  <c r="X69" i="1"/>
  <c r="Y69" i="1"/>
  <c r="X73" i="1"/>
  <c r="Y73" i="1"/>
  <c r="X77" i="1"/>
  <c r="Y77" i="1"/>
  <c r="X81" i="1"/>
  <c r="Y81" i="1"/>
  <c r="X85" i="1"/>
  <c r="Y85" i="1"/>
  <c r="X89" i="1"/>
  <c r="Y89" i="1"/>
  <c r="X93" i="1"/>
  <c r="Y93" i="1"/>
  <c r="X97" i="1"/>
  <c r="Y97" i="1"/>
  <c r="X101" i="1"/>
  <c r="Y101" i="1"/>
  <c r="X105" i="1"/>
  <c r="Y105" i="1"/>
  <c r="X109" i="1"/>
  <c r="Y109" i="1"/>
  <c r="X113" i="1"/>
  <c r="Y113" i="1"/>
  <c r="X117" i="1"/>
  <c r="Y117" i="1"/>
  <c r="X121" i="1"/>
  <c r="Y121" i="1"/>
  <c r="X125" i="1"/>
  <c r="Y125" i="1"/>
  <c r="X129" i="1"/>
  <c r="Y129" i="1"/>
  <c r="X133" i="1"/>
  <c r="Y133" i="1"/>
  <c r="X137" i="1"/>
  <c r="Y137" i="1"/>
  <c r="X141" i="1"/>
  <c r="Y141" i="1"/>
  <c r="X30" i="1"/>
  <c r="Y30" i="1"/>
  <c r="X42" i="1"/>
  <c r="Y42" i="1"/>
  <c r="X62" i="1"/>
  <c r="Y62" i="1"/>
  <c r="X74" i="1"/>
  <c r="Y74" i="1"/>
  <c r="X90" i="1"/>
  <c r="Y90" i="1"/>
  <c r="X98" i="1"/>
  <c r="Y98" i="1"/>
  <c r="X106" i="1"/>
  <c r="Y106" i="1"/>
  <c r="X110" i="1"/>
  <c r="Y110" i="1"/>
  <c r="X126" i="1"/>
  <c r="Y126" i="1"/>
  <c r="X130" i="1"/>
  <c r="Y130" i="1"/>
  <c r="X134" i="1"/>
  <c r="Y134" i="1"/>
  <c r="Y138" i="1"/>
  <c r="X142" i="1"/>
  <c r="Y142" i="1"/>
  <c r="X144" i="1"/>
  <c r="Y144" i="1"/>
  <c r="X4" i="1"/>
  <c r="Y4" i="1"/>
  <c r="X8" i="1"/>
  <c r="Y8" i="1"/>
  <c r="X12" i="1"/>
  <c r="Y12" i="1"/>
  <c r="X16" i="1"/>
  <c r="Y16" i="1"/>
  <c r="X20" i="1"/>
  <c r="Y20" i="1"/>
  <c r="X24" i="1"/>
  <c r="Y24" i="1"/>
  <c r="X28" i="1"/>
  <c r="Y28" i="1"/>
  <c r="X32" i="1"/>
  <c r="Y32" i="1"/>
  <c r="X36" i="1"/>
  <c r="Y36" i="1"/>
  <c r="X40" i="1"/>
  <c r="Y40" i="1"/>
  <c r="X44" i="1"/>
  <c r="Y44" i="1"/>
  <c r="X48" i="1"/>
  <c r="Y48" i="1"/>
  <c r="X52" i="1"/>
  <c r="Y52" i="1"/>
  <c r="X56" i="1"/>
  <c r="Y56" i="1"/>
  <c r="X60" i="1"/>
  <c r="Y60" i="1"/>
  <c r="X64" i="1"/>
  <c r="Y64" i="1"/>
  <c r="X68" i="1"/>
  <c r="Y68" i="1"/>
  <c r="X72" i="1"/>
  <c r="Y72" i="1"/>
  <c r="X76" i="1"/>
  <c r="Y76" i="1"/>
  <c r="X80" i="1"/>
  <c r="Y80" i="1"/>
  <c r="X84" i="1"/>
  <c r="Y84" i="1"/>
  <c r="X88" i="1"/>
  <c r="Y88" i="1"/>
  <c r="X92" i="1"/>
  <c r="Y92" i="1"/>
  <c r="X96" i="1"/>
  <c r="Y96" i="1"/>
  <c r="X100" i="1"/>
  <c r="Y100" i="1"/>
  <c r="X104" i="1"/>
  <c r="Y104" i="1"/>
  <c r="X108" i="1"/>
  <c r="Y108" i="1"/>
  <c r="X112" i="1"/>
  <c r="Y112" i="1"/>
  <c r="X116" i="1"/>
  <c r="Y116" i="1"/>
  <c r="X120" i="1"/>
  <c r="Y120" i="1"/>
  <c r="X124" i="1"/>
  <c r="Y124" i="1"/>
  <c r="X128" i="1"/>
  <c r="Y128" i="1"/>
  <c r="X132" i="1"/>
  <c r="Y132" i="1"/>
  <c r="X136" i="1"/>
  <c r="Y136" i="1"/>
  <c r="X140" i="1"/>
  <c r="Y140" i="1"/>
  <c r="X143" i="1"/>
  <c r="Y143" i="1"/>
  <c r="X145" i="1"/>
  <c r="Y145" i="1"/>
  <c r="X147" i="1"/>
  <c r="Y147" i="1"/>
  <c r="X159" i="1"/>
  <c r="Y159" i="1"/>
  <c r="X161" i="1"/>
  <c r="Y161" i="1"/>
  <c r="X167" i="1"/>
  <c r="Y167" i="1"/>
  <c r="X163" i="1"/>
  <c r="Y163" i="1"/>
  <c r="X165" i="1"/>
  <c r="Y165" i="1"/>
  <c r="X164" i="1"/>
  <c r="Y164" i="1"/>
  <c r="X157" i="1"/>
  <c r="Y157" i="1"/>
  <c r="X154" i="1"/>
  <c r="Y154" i="1"/>
  <c r="X153" i="1"/>
  <c r="Y153" i="1"/>
  <c r="X148" i="1"/>
  <c r="Y148" i="1"/>
  <c r="X14" i="1"/>
  <c r="Y14" i="1"/>
  <c r="X22" i="1"/>
  <c r="Y22" i="1"/>
  <c r="X34" i="1"/>
  <c r="Y34" i="1"/>
  <c r="X46" i="1"/>
  <c r="Y46" i="1"/>
  <c r="X66" i="1"/>
  <c r="Y66" i="1"/>
  <c r="X78" i="1"/>
  <c r="Y78" i="1"/>
  <c r="X86" i="1"/>
  <c r="Y86" i="1"/>
  <c r="X94" i="1"/>
  <c r="Y94" i="1"/>
  <c r="X102" i="1"/>
  <c r="Y102" i="1"/>
  <c r="X114" i="1"/>
  <c r="Y114" i="1"/>
  <c r="X118" i="1"/>
  <c r="Y118" i="1"/>
  <c r="X122" i="1"/>
  <c r="Y122" i="1"/>
  <c r="X3" i="1"/>
  <c r="Y3" i="1"/>
  <c r="X7" i="1"/>
  <c r="Y7" i="1"/>
  <c r="X11" i="1"/>
  <c r="Y11" i="1"/>
  <c r="X15" i="1"/>
  <c r="Y15" i="1"/>
  <c r="X19" i="1"/>
  <c r="Y19" i="1"/>
  <c r="X23" i="1"/>
  <c r="Y23" i="1"/>
  <c r="X27" i="1"/>
  <c r="Y27" i="1"/>
  <c r="X31" i="1"/>
  <c r="Y31" i="1"/>
  <c r="X35" i="1"/>
  <c r="Y35" i="1"/>
  <c r="X39" i="1"/>
  <c r="Y39" i="1"/>
  <c r="X43" i="1"/>
  <c r="Y43" i="1"/>
  <c r="X47" i="1"/>
  <c r="Y47" i="1"/>
  <c r="X51" i="1"/>
  <c r="Y51" i="1"/>
  <c r="X55" i="1"/>
  <c r="Y55" i="1"/>
  <c r="X59" i="1"/>
  <c r="Y59" i="1"/>
  <c r="X63" i="1"/>
  <c r="Y63" i="1"/>
  <c r="X67" i="1"/>
  <c r="Y67" i="1"/>
  <c r="X71" i="1"/>
  <c r="Y71" i="1"/>
  <c r="X75" i="1"/>
  <c r="Y75" i="1"/>
  <c r="X79" i="1"/>
  <c r="Y79" i="1"/>
  <c r="X83" i="1"/>
  <c r="Y83" i="1"/>
  <c r="X87" i="1"/>
  <c r="Y87" i="1"/>
  <c r="X91" i="1"/>
  <c r="Y91" i="1"/>
  <c r="X95" i="1"/>
  <c r="Y95" i="1"/>
  <c r="X99" i="1"/>
  <c r="Y99" i="1"/>
  <c r="X103" i="1"/>
  <c r="Y103" i="1"/>
  <c r="X107" i="1"/>
  <c r="Y107" i="1"/>
  <c r="X111" i="1"/>
  <c r="Y111" i="1"/>
  <c r="X115" i="1"/>
  <c r="Y115" i="1"/>
  <c r="X119" i="1"/>
  <c r="Y119" i="1"/>
  <c r="X123" i="1"/>
  <c r="Y123" i="1"/>
  <c r="X127" i="1"/>
  <c r="Y127" i="1"/>
  <c r="X131" i="1"/>
  <c r="Y131" i="1"/>
  <c r="X135" i="1"/>
  <c r="Y135" i="1"/>
  <c r="X139" i="1"/>
  <c r="Y139" i="1"/>
  <c r="X2" i="1"/>
  <c r="S83" i="1"/>
  <c r="S90" i="1"/>
  <c r="U28" i="1"/>
  <c r="N8" i="34" s="1"/>
  <c r="R31" i="1"/>
  <c r="S66" i="1"/>
  <c r="R68" i="1"/>
  <c r="R77" i="1"/>
  <c r="R121" i="1"/>
  <c r="T61" i="1"/>
  <c r="S112" i="1"/>
  <c r="S126" i="1"/>
  <c r="U12" i="1"/>
  <c r="N3" i="34" s="1"/>
  <c r="R15" i="1"/>
  <c r="S52" i="1"/>
  <c r="T89" i="1"/>
  <c r="R66" i="1"/>
  <c r="S17" i="1"/>
  <c r="S33" i="1"/>
  <c r="R51" i="1"/>
  <c r="U67" i="1"/>
  <c r="S77" i="1"/>
  <c r="T96" i="1"/>
  <c r="T103" i="1"/>
  <c r="T112" i="1"/>
  <c r="T51" i="1"/>
  <c r="R61" i="1"/>
  <c r="R89" i="1"/>
  <c r="T108" i="1"/>
  <c r="U113" i="1"/>
  <c r="T134" i="1"/>
  <c r="U10" i="1"/>
  <c r="R50" i="1"/>
  <c r="R54" i="1"/>
  <c r="R105" i="1"/>
  <c r="R107" i="1"/>
  <c r="S124" i="1"/>
  <c r="R25" i="1"/>
  <c r="R41" i="1"/>
  <c r="U42" i="1"/>
  <c r="N15" i="34" s="1"/>
  <c r="R45" i="1"/>
  <c r="T95" i="1"/>
  <c r="R9" i="1"/>
  <c r="U26" i="1"/>
  <c r="R64" i="1"/>
  <c r="R73" i="1"/>
  <c r="T132" i="1"/>
  <c r="U4" i="1"/>
  <c r="R7" i="1"/>
  <c r="S9" i="1"/>
  <c r="U20" i="1"/>
  <c r="R23" i="1"/>
  <c r="S25" i="1"/>
  <c r="U36" i="1"/>
  <c r="R39" i="1"/>
  <c r="S41" i="1"/>
  <c r="T45" i="1"/>
  <c r="R48" i="1"/>
  <c r="S50" i="1"/>
  <c r="S54" i="1"/>
  <c r="S73" i="1"/>
  <c r="T97" i="1"/>
  <c r="R99" i="1"/>
  <c r="R102" i="1"/>
  <c r="S104" i="1"/>
  <c r="R109" i="1"/>
  <c r="R111" i="1"/>
  <c r="S120" i="1"/>
  <c r="U2" i="1"/>
  <c r="R17" i="1"/>
  <c r="U18" i="1"/>
  <c r="R33" i="1"/>
  <c r="U34" i="1"/>
  <c r="R52" i="1"/>
  <c r="R53" i="1"/>
  <c r="U57" i="1"/>
  <c r="R69" i="1"/>
  <c r="R81" i="1"/>
  <c r="R83" i="1"/>
  <c r="R90" i="1"/>
  <c r="R91" i="1"/>
  <c r="R94" i="1"/>
  <c r="S96" i="1"/>
  <c r="U97" i="1"/>
  <c r="T104" i="1"/>
  <c r="S108" i="1"/>
  <c r="R3" i="1"/>
  <c r="U6" i="1"/>
  <c r="R11" i="1"/>
  <c r="U14" i="1"/>
  <c r="R19" i="1"/>
  <c r="U22" i="1"/>
  <c r="R27" i="1"/>
  <c r="U30" i="1"/>
  <c r="R35" i="1"/>
  <c r="U38" i="1"/>
  <c r="R43" i="1"/>
  <c r="R44" i="1"/>
  <c r="R46" i="1"/>
  <c r="U49" i="1"/>
  <c r="N20" i="34" s="1"/>
  <c r="T50" i="1"/>
  <c r="U51" i="1"/>
  <c r="N22" i="34" s="1"/>
  <c r="T52" i="1"/>
  <c r="T53" i="1"/>
  <c r="T54" i="1"/>
  <c r="R56" i="1"/>
  <c r="R58" i="1"/>
  <c r="R59" i="1"/>
  <c r="R60" i="1"/>
  <c r="R62" i="1"/>
  <c r="U65" i="1"/>
  <c r="T66" i="1"/>
  <c r="S69" i="1"/>
  <c r="R87" i="1"/>
  <c r="U89" i="1"/>
  <c r="T90" i="1"/>
  <c r="S94" i="1"/>
  <c r="U95" i="1"/>
  <c r="S98" i="1"/>
  <c r="S102" i="1"/>
  <c r="U103" i="1"/>
  <c r="S106" i="1"/>
  <c r="S110" i="1"/>
  <c r="S114" i="1"/>
  <c r="T118" i="1"/>
  <c r="T120" i="1"/>
  <c r="T124" i="1"/>
  <c r="R141" i="1"/>
  <c r="S3" i="1"/>
  <c r="S11" i="1"/>
  <c r="S19" i="1"/>
  <c r="S27" i="1"/>
  <c r="S35" i="1"/>
  <c r="T43" i="1"/>
  <c r="S44" i="1"/>
  <c r="S46" i="1"/>
  <c r="S58" i="1"/>
  <c r="T59" i="1"/>
  <c r="S60" i="1"/>
  <c r="S62" i="1"/>
  <c r="S87" i="1"/>
  <c r="T94" i="1"/>
  <c r="T98" i="1"/>
  <c r="T102" i="1"/>
  <c r="T106" i="1"/>
  <c r="T110" i="1"/>
  <c r="T114" i="1"/>
  <c r="R137" i="1"/>
  <c r="S141" i="1"/>
  <c r="T3" i="1"/>
  <c r="T11" i="1"/>
  <c r="T19" i="1"/>
  <c r="T27" i="1"/>
  <c r="T35" i="1"/>
  <c r="U43" i="1"/>
  <c r="N16" i="34" s="1"/>
  <c r="T44" i="1"/>
  <c r="T46" i="1"/>
  <c r="T58" i="1"/>
  <c r="U59" i="1"/>
  <c r="T60" i="1"/>
  <c r="T62" i="1"/>
  <c r="S130" i="1"/>
  <c r="S134" i="1"/>
  <c r="S136" i="1"/>
  <c r="R5" i="1"/>
  <c r="S7" i="1"/>
  <c r="U8" i="1"/>
  <c r="T9" i="1"/>
  <c r="R13" i="1"/>
  <c r="S15" i="1"/>
  <c r="U16" i="1"/>
  <c r="N5" i="34" s="1"/>
  <c r="T17" i="1"/>
  <c r="R21" i="1"/>
  <c r="S23" i="1"/>
  <c r="U24" i="1"/>
  <c r="N7" i="34" s="1"/>
  <c r="T25" i="1"/>
  <c r="R29" i="1"/>
  <c r="S31" i="1"/>
  <c r="U32" i="1"/>
  <c r="N10" i="34" s="1"/>
  <c r="T33" i="1"/>
  <c r="R37" i="1"/>
  <c r="S39" i="1"/>
  <c r="U40" i="1"/>
  <c r="N13" i="34" s="1"/>
  <c r="T41" i="1"/>
  <c r="S48" i="1"/>
  <c r="S56" i="1"/>
  <c r="S64" i="1"/>
  <c r="T69" i="1"/>
  <c r="R71" i="1"/>
  <c r="T73" i="1"/>
  <c r="R75" i="1"/>
  <c r="T77" i="1"/>
  <c r="R79" i="1"/>
  <c r="S81" i="1"/>
  <c r="T83" i="1"/>
  <c r="R85" i="1"/>
  <c r="T87" i="1"/>
  <c r="R92" i="1"/>
  <c r="R100" i="1"/>
  <c r="S116" i="1"/>
  <c r="S122" i="1"/>
  <c r="T126" i="1"/>
  <c r="S128" i="1"/>
  <c r="R129" i="1"/>
  <c r="T130" i="1"/>
  <c r="T136" i="1"/>
  <c r="T140" i="1"/>
  <c r="S5" i="1"/>
  <c r="T7" i="1"/>
  <c r="S13" i="1"/>
  <c r="T15" i="1"/>
  <c r="S21" i="1"/>
  <c r="T23" i="1"/>
  <c r="S29" i="1"/>
  <c r="T31" i="1"/>
  <c r="S37" i="1"/>
  <c r="T39" i="1"/>
  <c r="T48" i="1"/>
  <c r="T56" i="1"/>
  <c r="T64" i="1"/>
  <c r="S71" i="1"/>
  <c r="S75" i="1"/>
  <c r="S79" i="1"/>
  <c r="T81" i="1"/>
  <c r="S85" i="1"/>
  <c r="S92" i="1"/>
  <c r="R96" i="1"/>
  <c r="R97" i="1"/>
  <c r="R98" i="1"/>
  <c r="S100" i="1"/>
  <c r="R104" i="1"/>
  <c r="R106" i="1"/>
  <c r="R108" i="1"/>
  <c r="R110" i="1"/>
  <c r="R112" i="1"/>
  <c r="R114" i="1"/>
  <c r="T116" i="1"/>
  <c r="S118" i="1"/>
  <c r="T122" i="1"/>
  <c r="T128" i="1"/>
  <c r="S132" i="1"/>
  <c r="R139" i="1"/>
  <c r="T5" i="1"/>
  <c r="T13" i="1"/>
  <c r="T21" i="1"/>
  <c r="T29" i="1"/>
  <c r="T37" i="1"/>
  <c r="T71" i="1"/>
  <c r="T75" i="1"/>
  <c r="T79" i="1"/>
  <c r="T85" i="1"/>
  <c r="T92" i="1"/>
  <c r="T100" i="1"/>
  <c r="S139" i="1"/>
  <c r="S70" i="1"/>
  <c r="R70" i="1"/>
  <c r="S72" i="1"/>
  <c r="R72" i="1"/>
  <c r="T78" i="1"/>
  <c r="S78" i="1"/>
  <c r="R78" i="1"/>
  <c r="S74" i="1"/>
  <c r="R74" i="1"/>
  <c r="T86" i="1"/>
  <c r="S86" i="1"/>
  <c r="R86" i="1"/>
  <c r="R2" i="1"/>
  <c r="R8" i="1"/>
  <c r="R10" i="1"/>
  <c r="R12" i="1"/>
  <c r="R14" i="1"/>
  <c r="R24" i="1"/>
  <c r="R26" i="1"/>
  <c r="R28" i="1"/>
  <c r="R30" i="1"/>
  <c r="R32" i="1"/>
  <c r="R34" i="1"/>
  <c r="R36" i="1"/>
  <c r="R38" i="1"/>
  <c r="R40" i="1"/>
  <c r="R42" i="1"/>
  <c r="R47" i="1"/>
  <c r="R55" i="1"/>
  <c r="R63" i="1"/>
  <c r="T70" i="1"/>
  <c r="T72" i="1"/>
  <c r="T74" i="1"/>
  <c r="U78" i="1"/>
  <c r="T84" i="1"/>
  <c r="S84" i="1"/>
  <c r="R84" i="1"/>
  <c r="U86" i="1"/>
  <c r="S93" i="1"/>
  <c r="U93" i="1"/>
  <c r="T93" i="1"/>
  <c r="R93" i="1"/>
  <c r="S101" i="1"/>
  <c r="U101" i="1"/>
  <c r="T101" i="1"/>
  <c r="R101" i="1"/>
  <c r="T119" i="1"/>
  <c r="S119" i="1"/>
  <c r="U119" i="1"/>
  <c r="R119" i="1"/>
  <c r="S76" i="1"/>
  <c r="R76" i="1"/>
  <c r="R4" i="1"/>
  <c r="R6" i="1"/>
  <c r="R16" i="1"/>
  <c r="R18" i="1"/>
  <c r="R20" i="1"/>
  <c r="R22" i="1"/>
  <c r="S2" i="1"/>
  <c r="S4" i="1"/>
  <c r="S6" i="1"/>
  <c r="S8" i="1"/>
  <c r="S10" i="1"/>
  <c r="S12" i="1"/>
  <c r="S14" i="1"/>
  <c r="S16" i="1"/>
  <c r="S18" i="1"/>
  <c r="S20" i="1"/>
  <c r="S22" i="1"/>
  <c r="S24" i="1"/>
  <c r="S26" i="1"/>
  <c r="S28" i="1"/>
  <c r="S30" i="1"/>
  <c r="S32" i="1"/>
  <c r="S34" i="1"/>
  <c r="S36" i="1"/>
  <c r="S38" i="1"/>
  <c r="S40" i="1"/>
  <c r="S42" i="1"/>
  <c r="U45" i="1"/>
  <c r="N17" i="34" s="1"/>
  <c r="T47" i="1"/>
  <c r="R49" i="1"/>
  <c r="U53" i="1"/>
  <c r="T55" i="1"/>
  <c r="R57" i="1"/>
  <c r="U61" i="1"/>
  <c r="T63" i="1"/>
  <c r="R65" i="1"/>
  <c r="S67" i="1"/>
  <c r="R67" i="1"/>
  <c r="U70" i="1"/>
  <c r="U72" i="1"/>
  <c r="U74" i="1"/>
  <c r="U76" i="1"/>
  <c r="T82" i="1"/>
  <c r="S82" i="1"/>
  <c r="R82" i="1"/>
  <c r="U84" i="1"/>
  <c r="T135" i="1"/>
  <c r="S135" i="1"/>
  <c r="U135" i="1"/>
  <c r="R135" i="1"/>
  <c r="U47" i="1"/>
  <c r="T49" i="1"/>
  <c r="U55" i="1"/>
  <c r="T57" i="1"/>
  <c r="U63" i="1"/>
  <c r="T65" i="1"/>
  <c r="T68" i="1"/>
  <c r="S68" i="1"/>
  <c r="T80" i="1"/>
  <c r="S80" i="1"/>
  <c r="R80" i="1"/>
  <c r="T88" i="1"/>
  <c r="S88" i="1"/>
  <c r="R88" i="1"/>
  <c r="T127" i="1"/>
  <c r="S127" i="1"/>
  <c r="U127" i="1"/>
  <c r="R127" i="1"/>
  <c r="T91" i="1"/>
  <c r="T99" i="1"/>
  <c r="T117" i="1"/>
  <c r="S117" i="1"/>
  <c r="T125" i="1"/>
  <c r="S125" i="1"/>
  <c r="T133" i="1"/>
  <c r="S133" i="1"/>
  <c r="U91" i="1"/>
  <c r="R95" i="1"/>
  <c r="U99" i="1"/>
  <c r="R103" i="1"/>
  <c r="T105" i="1"/>
  <c r="S105" i="1"/>
  <c r="T107" i="1"/>
  <c r="S107" i="1"/>
  <c r="T109" i="1"/>
  <c r="S109" i="1"/>
  <c r="T111" i="1"/>
  <c r="S111" i="1"/>
  <c r="T113" i="1"/>
  <c r="S113" i="1"/>
  <c r="T115" i="1"/>
  <c r="S115" i="1"/>
  <c r="R117" i="1"/>
  <c r="T123" i="1"/>
  <c r="S123" i="1"/>
  <c r="R125" i="1"/>
  <c r="T131" i="1"/>
  <c r="S131" i="1"/>
  <c r="R133" i="1"/>
  <c r="R115" i="1"/>
  <c r="U117" i="1"/>
  <c r="T121" i="1"/>
  <c r="S121" i="1"/>
  <c r="R123" i="1"/>
  <c r="U125" i="1"/>
  <c r="T129" i="1"/>
  <c r="S129" i="1"/>
  <c r="R131" i="1"/>
  <c r="U133" i="1"/>
  <c r="T137" i="1"/>
  <c r="S137" i="1"/>
  <c r="U116" i="1"/>
  <c r="U118" i="1"/>
  <c r="U120" i="1"/>
  <c r="U122" i="1"/>
  <c r="U124" i="1"/>
  <c r="U126" i="1"/>
  <c r="U128" i="1"/>
  <c r="U130" i="1"/>
  <c r="U132" i="1"/>
  <c r="U134" i="1"/>
  <c r="U136" i="1"/>
  <c r="U140" i="1"/>
  <c r="T139" i="1"/>
  <c r="R140" i="1"/>
  <c r="T141" i="1"/>
  <c r="O5" i="60" l="1"/>
  <c r="O23" i="60"/>
  <c r="O19" i="60"/>
  <c r="O8" i="60"/>
  <c r="O9" i="60"/>
  <c r="O10" i="60"/>
  <c r="O7" i="60"/>
  <c r="O6" i="60"/>
  <c r="O3" i="60"/>
  <c r="O13" i="60"/>
  <c r="O14" i="60"/>
  <c r="O11" i="60"/>
  <c r="O16" i="60"/>
  <c r="O12" i="60"/>
  <c r="O18" i="60"/>
  <c r="O15" i="60"/>
  <c r="O20" i="60"/>
  <c r="O22" i="60"/>
  <c r="O17" i="60"/>
  <c r="O2" i="60"/>
  <c r="O21" i="60"/>
  <c r="O4" i="60"/>
  <c r="P82" i="46"/>
  <c r="P23" i="46"/>
  <c r="P4" i="46"/>
  <c r="P68" i="46"/>
  <c r="P53" i="46"/>
  <c r="P38" i="46"/>
  <c r="P27" i="46"/>
  <c r="P8" i="46"/>
  <c r="P72" i="46"/>
  <c r="P57" i="46"/>
  <c r="P42" i="46"/>
  <c r="P31" i="46"/>
  <c r="P12" i="46"/>
  <c r="P76" i="46"/>
  <c r="P61" i="46"/>
  <c r="P46" i="46"/>
  <c r="P19" i="46"/>
  <c r="P64" i="46"/>
  <c r="P49" i="46"/>
  <c r="P34" i="46"/>
  <c r="P39" i="46"/>
  <c r="P20" i="46"/>
  <c r="P5" i="46"/>
  <c r="P69" i="46"/>
  <c r="P54" i="46"/>
  <c r="P43" i="46"/>
  <c r="P24" i="46"/>
  <c r="P9" i="46"/>
  <c r="P73" i="46"/>
  <c r="P58" i="46"/>
  <c r="P47" i="46"/>
  <c r="P28" i="46"/>
  <c r="P13" i="46"/>
  <c r="P77" i="46"/>
  <c r="P62" i="46"/>
  <c r="P35" i="46"/>
  <c r="P16" i="46"/>
  <c r="P80" i="46"/>
  <c r="P65" i="46"/>
  <c r="P50" i="46"/>
  <c r="P55" i="46"/>
  <c r="P36" i="46"/>
  <c r="P21" i="46"/>
  <c r="P6" i="46"/>
  <c r="P70" i="46"/>
  <c r="P59" i="46"/>
  <c r="P40" i="46"/>
  <c r="P25" i="46"/>
  <c r="P10" i="46"/>
  <c r="P74" i="46"/>
  <c r="P63" i="46"/>
  <c r="P44" i="46"/>
  <c r="P29" i="46"/>
  <c r="P14" i="46"/>
  <c r="P78" i="46"/>
  <c r="P51" i="46"/>
  <c r="P32" i="46"/>
  <c r="P17" i="46"/>
  <c r="P81" i="46"/>
  <c r="P66" i="46"/>
  <c r="P7" i="46"/>
  <c r="P71" i="46"/>
  <c r="P52" i="46"/>
  <c r="P37" i="46"/>
  <c r="P22" i="46"/>
  <c r="P11" i="46"/>
  <c r="P75" i="46"/>
  <c r="P56" i="46"/>
  <c r="P41" i="46"/>
  <c r="P26" i="46"/>
  <c r="P15" i="46"/>
  <c r="P79" i="46"/>
  <c r="P60" i="46"/>
  <c r="P45" i="46"/>
  <c r="P30" i="46"/>
  <c r="P3" i="46"/>
  <c r="P67" i="46"/>
  <c r="P48" i="46"/>
  <c r="P33" i="46"/>
  <c r="P18" i="46"/>
</calcChain>
</file>

<file path=xl/comments1.xml><?xml version="1.0" encoding="utf-8"?>
<comments xmlns="http://schemas.openxmlformats.org/spreadsheetml/2006/main">
  <authors>
    <author>Gustavo Salas</author>
  </authors>
  <commentList>
    <comment ref="N96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Hasta el 20-Agosto-2019, estuvo asignado a la Coordinación de Zona 20</t>
        </r>
      </text>
    </comment>
    <comment ref="O96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Hasta el 20-Agosto-2019, estuvo asignado a la Coordinación de Zona 20</t>
        </r>
      </text>
    </comment>
    <comment ref="AC96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Hasta el 20-Agosto-2019, estuvo asignado a la Coordinación de Zona 20</t>
        </r>
      </text>
    </comment>
    <comment ref="AD96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Hasta el 20-Agosto-2019, estuvo asignado a la Coordinación de Zona 20</t>
        </r>
      </text>
    </comment>
    <comment ref="E149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Número de matrícula originalmente recibida: </t>
        </r>
        <r>
          <rPr>
            <b/>
            <sz val="9"/>
            <color indexed="81"/>
            <rFont val="Tahoma"/>
            <family val="2"/>
          </rPr>
          <t>NFT6195</t>
        </r>
        <r>
          <rPr>
            <sz val="9"/>
            <color indexed="81"/>
            <rFont val="Tahoma"/>
            <family val="2"/>
          </rPr>
          <t xml:space="preserve">, placa frontal perdida en accidente.
Número de matrícula sustituto: </t>
        </r>
        <r>
          <rPr>
            <b/>
            <sz val="9"/>
            <color indexed="10"/>
            <rFont val="Tahoma"/>
            <family val="2"/>
          </rPr>
          <t>NMP8850</t>
        </r>
        <r>
          <rPr>
            <sz val="9"/>
            <color indexed="81"/>
            <rFont val="Tahoma"/>
            <family val="2"/>
          </rPr>
          <t>, y transferido a SGyRM, 29-8-2019</t>
        </r>
      </text>
    </comment>
  </commentList>
</comments>
</file>

<file path=xl/comments2.xml><?xml version="1.0" encoding="utf-8"?>
<comments xmlns="http://schemas.openxmlformats.org/spreadsheetml/2006/main">
  <authors>
    <author>Gustavo Salas</author>
  </authors>
  <commentList>
    <comment ref="C22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Número de matrícula originalmente recibida: </t>
        </r>
        <r>
          <rPr>
            <b/>
            <sz val="9"/>
            <color indexed="81"/>
            <rFont val="Tahoma"/>
            <family val="2"/>
          </rPr>
          <t>NFT6195</t>
        </r>
        <r>
          <rPr>
            <sz val="9"/>
            <color indexed="81"/>
            <rFont val="Tahoma"/>
            <family val="2"/>
          </rPr>
          <t xml:space="preserve">, placa frontal perdida en accidente.
Número de matrícula sustituto: </t>
        </r>
        <r>
          <rPr>
            <b/>
            <sz val="9"/>
            <color indexed="10"/>
            <rFont val="Tahoma"/>
            <family val="2"/>
          </rPr>
          <t>NMP8850</t>
        </r>
        <r>
          <rPr>
            <sz val="9"/>
            <color indexed="81"/>
            <rFont val="Tahoma"/>
            <family val="2"/>
          </rPr>
          <t>, y transferido a SGyRM, 29-8-2019</t>
        </r>
      </text>
    </comment>
  </commentList>
</comments>
</file>

<file path=xl/comments3.xml><?xml version="1.0" encoding="utf-8"?>
<comments xmlns="http://schemas.openxmlformats.org/spreadsheetml/2006/main">
  <authors>
    <author>Gustavo Salas</author>
  </authors>
  <commentList>
    <comment ref="G2" authorId="0" shapeId="0">
      <text>
        <r>
          <rPr>
            <b/>
            <sz val="9"/>
            <color indexed="81"/>
            <rFont val="Tahoma"/>
            <family val="2"/>
          </rPr>
          <t>Gustavo Salas:</t>
        </r>
        <r>
          <rPr>
            <sz val="9"/>
            <color indexed="81"/>
            <rFont val="Tahoma"/>
            <family val="2"/>
          </rPr>
          <t xml:space="preserve">
El número de serie impreso en la factura es: 3N1UCA21VK001118
El número anotado en la celda, corresponde al que tiene la Secretaría de Transporte y la aseguradora</t>
        </r>
      </text>
    </comment>
  </commentList>
</comments>
</file>

<file path=xl/sharedStrings.xml><?xml version="1.0" encoding="utf-8"?>
<sst xmlns="http://schemas.openxmlformats.org/spreadsheetml/2006/main" count="4141" uniqueCount="1033">
  <si>
    <t>Modelo</t>
  </si>
  <si>
    <t>Origen</t>
  </si>
  <si>
    <t>Resguardante</t>
  </si>
  <si>
    <t>1GNFG15T641133156</t>
  </si>
  <si>
    <t>S/N</t>
  </si>
  <si>
    <t>ESTATAL</t>
  </si>
  <si>
    <t>IEEAJ-09036-1203-01</t>
  </si>
  <si>
    <t>3GCJC44K2SM127055</t>
  </si>
  <si>
    <t>SM-127055</t>
  </si>
  <si>
    <t>FEDERAL</t>
  </si>
  <si>
    <t>I-480800032-00003-95</t>
  </si>
  <si>
    <t>YS164736</t>
  </si>
  <si>
    <t>I-480800014-00021-99</t>
  </si>
  <si>
    <t>3FEKF37HSMA01075</t>
  </si>
  <si>
    <t>M02946</t>
  </si>
  <si>
    <t>I-480800072-00009-97</t>
  </si>
  <si>
    <t>3FTDF1728YMA65233</t>
  </si>
  <si>
    <t>HECHO EN MEXICO</t>
  </si>
  <si>
    <t>I-480800052-00004-00</t>
  </si>
  <si>
    <t>3N1EB31S22K386310</t>
  </si>
  <si>
    <t>I-480800016-0002-01</t>
  </si>
  <si>
    <t>3N1UCAD21VK00110</t>
  </si>
  <si>
    <t>BAJA DE MOTOR</t>
  </si>
  <si>
    <t>I-480800052-00014-96</t>
  </si>
  <si>
    <t>KA24505200M</t>
  </si>
  <si>
    <t>I-480800052-00018-97</t>
  </si>
  <si>
    <t>KA24-505096M</t>
  </si>
  <si>
    <t>I-480800052-00016-97</t>
  </si>
  <si>
    <t>3N1UCAD21VK00111</t>
  </si>
  <si>
    <t>KA24-440639M</t>
  </si>
  <si>
    <t>I-480800052-00013-96</t>
  </si>
  <si>
    <t>3N1CD13S7WK004507</t>
  </si>
  <si>
    <t>KA24-616575M</t>
  </si>
  <si>
    <t>I-480800052-00148-97</t>
  </si>
  <si>
    <t>3N1CD13SXWK004601</t>
  </si>
  <si>
    <t>KA24-619527M</t>
  </si>
  <si>
    <t>I-480800052-00146-97</t>
  </si>
  <si>
    <t>3N1CD13S9WK004637</t>
  </si>
  <si>
    <t>KA24-621451M</t>
  </si>
  <si>
    <t>I-480800052-00147-97</t>
  </si>
  <si>
    <t>3VWZZZ113VM514274</t>
  </si>
  <si>
    <t>ACD 241715</t>
  </si>
  <si>
    <t>I-480800014-00034-96</t>
  </si>
  <si>
    <t>3VWS1E1B6WM504624</t>
  </si>
  <si>
    <t>ACD264716</t>
  </si>
  <si>
    <t>I-480800014-00037-97</t>
  </si>
  <si>
    <t>3VWS1E1B5WM504582</t>
  </si>
  <si>
    <t>ACD264674</t>
  </si>
  <si>
    <t>I-480800014-00043-97</t>
  </si>
  <si>
    <t>3VWS1E1B5WM504632</t>
  </si>
  <si>
    <t>ACD264724</t>
  </si>
  <si>
    <t>I-480800014-00040-97</t>
  </si>
  <si>
    <t>KA24848956</t>
  </si>
  <si>
    <t>IEEAJ-4815-1202-01</t>
  </si>
  <si>
    <t>3N6CD13S53K048009</t>
  </si>
  <si>
    <t>KA24104125A</t>
  </si>
  <si>
    <t>IEEAJ-4826-1202-01</t>
  </si>
  <si>
    <t>3N6CD13S13K048010</t>
  </si>
  <si>
    <t>KA24100353A</t>
  </si>
  <si>
    <t>IEEAJ-4827-1202-01</t>
  </si>
  <si>
    <t>3N1JH01S43L030738</t>
  </si>
  <si>
    <t>Q004571</t>
  </si>
  <si>
    <t>IEEAJ-4825-1202-01</t>
  </si>
  <si>
    <t>3N1JH01S43L030500</t>
  </si>
  <si>
    <t>Q003445</t>
  </si>
  <si>
    <t>IEEAJ-4828-1202-01</t>
  </si>
  <si>
    <t>3N1JH01S23L030737</t>
  </si>
  <si>
    <t>Q003362</t>
  </si>
  <si>
    <t>IEEAJ-4829-1202-01</t>
  </si>
  <si>
    <t>3N1JH01S93L024756</t>
  </si>
  <si>
    <t>Q002160</t>
  </si>
  <si>
    <t>IEEAJ-25941-1202-01</t>
  </si>
  <si>
    <t>3N1JH01S23L034352</t>
  </si>
  <si>
    <t>Q004826</t>
  </si>
  <si>
    <t>IEEAJ-25943-1202-01</t>
  </si>
  <si>
    <t>3N1JH01S23L023254</t>
  </si>
  <si>
    <t>Q001773</t>
  </si>
  <si>
    <t>IEEAJ-26017-1202-01</t>
  </si>
  <si>
    <t>3N6CD13S23K047836</t>
  </si>
  <si>
    <t>KA24109516A</t>
  </si>
  <si>
    <t>IEEAJ-25981-1202-01</t>
  </si>
  <si>
    <t>3N6CD13S03K047835</t>
  </si>
  <si>
    <t>KA24109416A</t>
  </si>
  <si>
    <t>IEEAJ-25982-1202--01</t>
  </si>
  <si>
    <t>3N6CD13S93K047834</t>
  </si>
  <si>
    <t>KA24109410A</t>
  </si>
  <si>
    <t>IEEAJ-25983-1202-01</t>
  </si>
  <si>
    <t>3VWS1A1B83M912305</t>
  </si>
  <si>
    <t>ACD458709</t>
  </si>
  <si>
    <t>IEEAJ-2380-1202-01</t>
  </si>
  <si>
    <t>3VWS1A1BX3M912306</t>
  </si>
  <si>
    <t>ACD458710</t>
  </si>
  <si>
    <t>IEEAJ-2381-1202-01</t>
  </si>
  <si>
    <t>3VWS1A1B93M912328</t>
  </si>
  <si>
    <t>ACD458732</t>
  </si>
  <si>
    <t>IEEAJ-2383-1202-01</t>
  </si>
  <si>
    <t>3VWS1A1BX3M912323</t>
  </si>
  <si>
    <t>ACD458727</t>
  </si>
  <si>
    <t>IEEAJ-2384-1202-01</t>
  </si>
  <si>
    <t>3VWS1A1B53M912665</t>
  </si>
  <si>
    <t>ACD459069</t>
  </si>
  <si>
    <t>IEEAJ-2385-1202-01</t>
  </si>
  <si>
    <t>3VWS1A1B53M912312</t>
  </si>
  <si>
    <t>ACD458716</t>
  </si>
  <si>
    <t>IEEAJ-2386-1202-01</t>
  </si>
  <si>
    <t>3VWS1A1B63M912304</t>
  </si>
  <si>
    <t>ACD458708</t>
  </si>
  <si>
    <t>IEEAJ-2387-1202-01</t>
  </si>
  <si>
    <t>3VWS1A1B53M912309</t>
  </si>
  <si>
    <t>ACD458713</t>
  </si>
  <si>
    <t>IEEAJ-2388-1202-01</t>
  </si>
  <si>
    <t>3VWS1A1B43M912303</t>
  </si>
  <si>
    <t>ACD458707</t>
  </si>
  <si>
    <t>IEEAJ-2389-1202-01</t>
  </si>
  <si>
    <t>3VWS1A1B33M912311</t>
  </si>
  <si>
    <t>ACD458715</t>
  </si>
  <si>
    <t>IEEAJ-2390-1202-01</t>
  </si>
  <si>
    <t>3VWS1A1B43M912690</t>
  </si>
  <si>
    <t>ACD459094</t>
  </si>
  <si>
    <t>IEEAJ-2396-1202-01</t>
  </si>
  <si>
    <t>3VWS1A1B53M912679</t>
  </si>
  <si>
    <t>ACD459083</t>
  </si>
  <si>
    <t>IEEAJ-2397-1202-01</t>
  </si>
  <si>
    <t>JDV3822</t>
  </si>
  <si>
    <t>3VWS1A1B53M912696</t>
  </si>
  <si>
    <t>ACD459100</t>
  </si>
  <si>
    <t>IEEAJ-2398-1202-01</t>
  </si>
  <si>
    <t>3VWS1A1B63M912674</t>
  </si>
  <si>
    <t>ACD459078</t>
  </si>
  <si>
    <t>IEEAJ-2400-1202-01</t>
  </si>
  <si>
    <t>JKM1243</t>
  </si>
  <si>
    <t>3VWS1A1B93M912314</t>
  </si>
  <si>
    <t>ACD458718</t>
  </si>
  <si>
    <t>IEEAJ-2401-1202-01</t>
  </si>
  <si>
    <t>3VWS1A1B53M912682</t>
  </si>
  <si>
    <t>ACD459086</t>
  </si>
  <si>
    <t>IEEAJ-2402-1202-01</t>
  </si>
  <si>
    <t>3FTEF17W63MB09259</t>
  </si>
  <si>
    <t>I-480800052-00050-02</t>
  </si>
  <si>
    <t>3G1SF21664S135738</t>
  </si>
  <si>
    <t>IEEAJ-15414-1203-01</t>
  </si>
  <si>
    <t>3G1SF21624S135543</t>
  </si>
  <si>
    <t>IEEAJ-15415-1203-01</t>
  </si>
  <si>
    <t>8GGTFRC104A132508</t>
  </si>
  <si>
    <t>IEEAJ-09032-1203-01</t>
  </si>
  <si>
    <t>8GGTFRC104A132511</t>
  </si>
  <si>
    <t>HECHO EN CHILE</t>
  </si>
  <si>
    <t>IEEAJ-09033-1203-01</t>
  </si>
  <si>
    <t>8GGTFRC104A132539</t>
  </si>
  <si>
    <t>IEEAJ-09034-1203-01</t>
  </si>
  <si>
    <t>3GBKC34G84M100895</t>
  </si>
  <si>
    <t>IEEAJ-09035-1203-01</t>
  </si>
  <si>
    <t>SUBURBAN</t>
  </si>
  <si>
    <t>3GCEC26K8WG134891</t>
  </si>
  <si>
    <t>I-480800156-00004-98</t>
  </si>
  <si>
    <t>3G1SE51694S137181</t>
  </si>
  <si>
    <t>I-480800016-00028-03</t>
  </si>
  <si>
    <t>3G1SE51674S138216</t>
  </si>
  <si>
    <t>I-480800016-00027-03</t>
  </si>
  <si>
    <t>3MBAA1CN33M005009</t>
  </si>
  <si>
    <t>904-932-00-325-114</t>
  </si>
  <si>
    <t>8GGTFRC125A148680</t>
  </si>
  <si>
    <t>IEEAJ-03610-0905-09</t>
  </si>
  <si>
    <t xml:space="preserve">VEHÍCULO SINIESTRADO No. DE MEMORANDUM DE ADMINISTRACION 1221/14. </t>
  </si>
  <si>
    <t>8GGTFRC135A148946</t>
  </si>
  <si>
    <t>IEEAJ-03610-0905-10</t>
  </si>
  <si>
    <t>8GGTFRC145A148678</t>
  </si>
  <si>
    <t>IEEAJ-03611-0905-01</t>
  </si>
  <si>
    <t>8GGTFRC155A148947</t>
  </si>
  <si>
    <t>IEEAJ-03612-0905-01</t>
  </si>
  <si>
    <t>8GGTFRC165A148679</t>
  </si>
  <si>
    <t>IEEAJ-03613-0905-01</t>
  </si>
  <si>
    <t>3N6DD13S96K015460</t>
  </si>
  <si>
    <t>KA24282328A</t>
  </si>
  <si>
    <t>I-480800052-00024-05</t>
  </si>
  <si>
    <t>3N6DD13S57K006272</t>
  </si>
  <si>
    <t>KA24318272A</t>
  </si>
  <si>
    <t>I-480800052-00065-06</t>
  </si>
  <si>
    <t>PLATINA</t>
  </si>
  <si>
    <t>3N1JH01SX6L240670</t>
  </si>
  <si>
    <t>Q217688</t>
  </si>
  <si>
    <t>SNTEA</t>
  </si>
  <si>
    <t>I-480800014-00010-06</t>
  </si>
  <si>
    <t>CHEVY SEDAN</t>
  </si>
  <si>
    <t>3G1SE51X78S100595</t>
  </si>
  <si>
    <t>IEEAJ-08553-0707-01</t>
  </si>
  <si>
    <t>LC6PCJK6370801203</t>
  </si>
  <si>
    <t>F461-P0004714</t>
  </si>
  <si>
    <t>I-480800132-00019-07</t>
  </si>
  <si>
    <t>F4S1P0004723</t>
  </si>
  <si>
    <t>I-480800132-00027-07</t>
  </si>
  <si>
    <t>3N6DD13S58K002997</t>
  </si>
  <si>
    <t>KA24357689A</t>
  </si>
  <si>
    <t>IEEAJ-38060-1207-01</t>
  </si>
  <si>
    <t>3N6DD13S18K012040</t>
  </si>
  <si>
    <t>3N6DD13S68K009814</t>
  </si>
  <si>
    <t>KA24365068</t>
  </si>
  <si>
    <t>IEEAJ-38061-1207-01</t>
  </si>
  <si>
    <t>3N6DD13S18K002043</t>
  </si>
  <si>
    <t>KA24356602A</t>
  </si>
  <si>
    <t>IEEAJ-38062-1207-01</t>
  </si>
  <si>
    <t>3N6DD13S48K003123</t>
  </si>
  <si>
    <t>KA24357794A</t>
  </si>
  <si>
    <t>IEEAJ-38063-1207-01</t>
  </si>
  <si>
    <t>3N1AB61D48L670798</t>
  </si>
  <si>
    <t>MR20195843H</t>
  </si>
  <si>
    <t>IEEAJ-11892-1207-01</t>
  </si>
  <si>
    <t>3N6DD13S58K014535</t>
  </si>
  <si>
    <t>KA24370665A</t>
  </si>
  <si>
    <t>IEEAJ-38095-1207-01</t>
  </si>
  <si>
    <t>3GNDA13P88S541306</t>
  </si>
  <si>
    <t>I-480800014-00020-07</t>
  </si>
  <si>
    <t>8AFDT50D796202328</t>
  </si>
  <si>
    <t>I-4 2.3LDOHC</t>
  </si>
  <si>
    <t>IEEAJ-46536-1108-01</t>
  </si>
  <si>
    <t>9BFBT10N498321478</t>
  </si>
  <si>
    <t>IEEAJ-46465-1108-01</t>
  </si>
  <si>
    <t>8AFDT50D496202318</t>
  </si>
  <si>
    <t>8AFDT50D596202330</t>
  </si>
  <si>
    <t>IEEAJ-46535-1108-01</t>
  </si>
  <si>
    <t>8AFDT50D196199412</t>
  </si>
  <si>
    <t xml:space="preserve">NO ESPECIFICA </t>
  </si>
  <si>
    <t>IEEAJ-46532-1108-01</t>
  </si>
  <si>
    <t>8AFDT50D396199413</t>
  </si>
  <si>
    <t>IEEAJ-46533-1108-01</t>
  </si>
  <si>
    <t>8AFDT50D496202321</t>
  </si>
  <si>
    <t>IEEAJ-46534-1108-01</t>
  </si>
  <si>
    <t>8AFDT50D396199539</t>
  </si>
  <si>
    <t>IMPORTADO</t>
  </si>
  <si>
    <t>I-48080005200141-08</t>
  </si>
  <si>
    <t>8AFDT50D196211218</t>
  </si>
  <si>
    <t>I-480800052-00140-08</t>
  </si>
  <si>
    <t>8AFDT50DX96211220</t>
  </si>
  <si>
    <t>I-480800052-00102-08</t>
  </si>
  <si>
    <t>8AFDT50D396211222</t>
  </si>
  <si>
    <t>I-480800052-00142-08</t>
  </si>
  <si>
    <t>8AFDT50D996215453</t>
  </si>
  <si>
    <t>I-480800052-00103-08</t>
  </si>
  <si>
    <t>8AFDT50D396216579</t>
  </si>
  <si>
    <t>I-480800052-00104-08</t>
  </si>
  <si>
    <t>EXPRESS VAN</t>
  </si>
  <si>
    <t>1GNFG154581225616</t>
  </si>
  <si>
    <t>HECHO EN E.U.</t>
  </si>
  <si>
    <t>I-480800156-0009-08</t>
  </si>
  <si>
    <t>3FEMF46R49MA20301</t>
  </si>
  <si>
    <t>I-480800028-0013-08</t>
  </si>
  <si>
    <t>3N6DD23TX9K012702</t>
  </si>
  <si>
    <t>KA24-403913-A</t>
  </si>
  <si>
    <t>IEEAJ-9428-1208-01</t>
  </si>
  <si>
    <t>3N6DD23T19K016332</t>
  </si>
  <si>
    <t>IEEAJ-9425-1208-01</t>
  </si>
  <si>
    <t>3N6DD23T99K024047</t>
  </si>
  <si>
    <t>KA24413892A</t>
  </si>
  <si>
    <t>IEEAJ-9427-1208-01</t>
  </si>
  <si>
    <t>3N6DD23T99K012982</t>
  </si>
  <si>
    <t>KA24-404133-A</t>
  </si>
  <si>
    <t>IEEAJ-9426-12-08-01</t>
  </si>
  <si>
    <t>3N6DD23T49K024196</t>
  </si>
  <si>
    <t>KA24-414018-A</t>
  </si>
  <si>
    <t>IEEAJ-9429-1208-01</t>
  </si>
  <si>
    <t>REMOLQUE</t>
  </si>
  <si>
    <t>3AZAF202X9G3AZ144</t>
  </si>
  <si>
    <t>IEEAJ-4332-1208-01</t>
  </si>
  <si>
    <t>DINA</t>
  </si>
  <si>
    <t>3ADBXBJN59S010288</t>
  </si>
  <si>
    <t>IEEAJ-0045-1208-01</t>
  </si>
  <si>
    <t>I-480800052-00077-10</t>
  </si>
  <si>
    <t>I-480800052-00074-10</t>
  </si>
  <si>
    <t>I-480800052-00073-10</t>
  </si>
  <si>
    <t>I-480800052-00078-10</t>
  </si>
  <si>
    <t>VEHÍCULO SINIESTRADO, TRAMITE EN INEA No. DE OFICIO INEEJAD/DA/056/2015.</t>
  </si>
  <si>
    <t>8AFER5AD4B6376736</t>
  </si>
  <si>
    <t>I-480800052-00076-10</t>
  </si>
  <si>
    <t>3ADBYBJN0CS010848</t>
  </si>
  <si>
    <t>IEEAJ-3AA763-1211-01</t>
  </si>
  <si>
    <t>8AFER5AD7B6377315</t>
  </si>
  <si>
    <t>I-480800052-00100-10</t>
  </si>
  <si>
    <t>93CCL8004EB243847</t>
  </si>
  <si>
    <t>HECHO EN BRASIL</t>
  </si>
  <si>
    <t>INEEJAD-6091-0914-01</t>
  </si>
  <si>
    <t>JU11127</t>
  </si>
  <si>
    <t>93CCL8003FB109249</t>
  </si>
  <si>
    <t>INEEJAD-6096-0914-01</t>
  </si>
  <si>
    <t>JU11130</t>
  </si>
  <si>
    <t>93CCL8005FB109950</t>
  </si>
  <si>
    <t>INEEJAD-6099-0914-01</t>
  </si>
  <si>
    <t>JU11109</t>
  </si>
  <si>
    <t>JTFPX22P0E0049987</t>
  </si>
  <si>
    <t>2TR8668953</t>
  </si>
  <si>
    <t>JU11131</t>
  </si>
  <si>
    <t>93CCL8007FB109268</t>
  </si>
  <si>
    <t>INEEJAD-6100-0914-01</t>
  </si>
  <si>
    <t>JU11128</t>
  </si>
  <si>
    <t>93CCL8004FB109681</t>
  </si>
  <si>
    <t>INEEJAD-6097-0914-01</t>
  </si>
  <si>
    <t>JU11133</t>
  </si>
  <si>
    <t>93CCL8008FB109943</t>
  </si>
  <si>
    <t>INEEJAD-6102-0914-01</t>
  </si>
  <si>
    <t>JU11132</t>
  </si>
  <si>
    <t>93CCL8008FB109389</t>
  </si>
  <si>
    <t>INEEJAD-6101-0914-01</t>
  </si>
  <si>
    <t>JU11125</t>
  </si>
  <si>
    <t>93CCL8000FB109905</t>
  </si>
  <si>
    <t>INEEJAD-6094-0914-01</t>
  </si>
  <si>
    <t>JU11118</t>
  </si>
  <si>
    <t>93CCL8009EB243925</t>
  </si>
  <si>
    <t>INEEJAD-6087-0914-01</t>
  </si>
  <si>
    <t>93CCL8006EB243865</t>
  </si>
  <si>
    <t>INEEJAD-6090-0914-01</t>
  </si>
  <si>
    <t>93CCL8002EB243880</t>
  </si>
  <si>
    <t>INEEJAD-6092-0914-01</t>
  </si>
  <si>
    <t>93CCL8006EB243932</t>
  </si>
  <si>
    <t>INEEJAD-6089-0914-01</t>
  </si>
  <si>
    <t>JU11129</t>
  </si>
  <si>
    <t>93CCL8004FB110023</t>
  </si>
  <si>
    <t>INEEJAD-6098-0914-01</t>
  </si>
  <si>
    <t>93CCL8008EB243852</t>
  </si>
  <si>
    <t>INEEJAD-6088-0914-01</t>
  </si>
  <si>
    <t>JU11124</t>
  </si>
  <si>
    <t>JU11126</t>
  </si>
  <si>
    <t>93CCL8002FB110067</t>
  </si>
  <si>
    <t>INEEJAD-6095-0914-01</t>
  </si>
  <si>
    <t>JU11110</t>
  </si>
  <si>
    <t>JTFPX22P1E0049786</t>
  </si>
  <si>
    <t>2TR8667165</t>
  </si>
  <si>
    <t>INEEJAD-FK006763-0914-01</t>
  </si>
  <si>
    <t>JU11116</t>
  </si>
  <si>
    <t>JTFPX22P1E0049383</t>
  </si>
  <si>
    <t>2TR8663483</t>
  </si>
  <si>
    <t>INEEJAD-FK006769-0914-01</t>
  </si>
  <si>
    <t>JU11113</t>
  </si>
  <si>
    <t>JTFPX22P0E0049889</t>
  </si>
  <si>
    <t>2TR8668041</t>
  </si>
  <si>
    <t>INEEJAD-FK006766-0914-01</t>
  </si>
  <si>
    <t>JU11112</t>
  </si>
  <si>
    <t>JTFPX22P4E0049474</t>
  </si>
  <si>
    <t>2TR8664475</t>
  </si>
  <si>
    <t>INEEJAD-FK006765-0914-01</t>
  </si>
  <si>
    <t>JU11115</t>
  </si>
  <si>
    <t>JTFPX22P5E0049936</t>
  </si>
  <si>
    <t>2TR8668435</t>
  </si>
  <si>
    <t>INEEJAD-FK006768-0914-01</t>
  </si>
  <si>
    <t>JU11111</t>
  </si>
  <si>
    <t>JTFPX22P6E0049802</t>
  </si>
  <si>
    <t>2TR8667303</t>
  </si>
  <si>
    <t>INEEJAD-FK006764-0914-01</t>
  </si>
  <si>
    <t>JU11114</t>
  </si>
  <si>
    <t>JTFPX22P2E0049991</t>
  </si>
  <si>
    <t>2TR8668974</t>
  </si>
  <si>
    <t>INEEJAD-FK006767-0914-01</t>
  </si>
  <si>
    <t>JU11117</t>
  </si>
  <si>
    <t>JTFPX22P5E0048544</t>
  </si>
  <si>
    <t>2TR8650383</t>
  </si>
  <si>
    <t>INEEJAD-FK006778-0914-01</t>
  </si>
  <si>
    <t>JU13098</t>
  </si>
  <si>
    <t>JTFPX22P1E0050033</t>
  </si>
  <si>
    <t>2TR-8669346</t>
  </si>
  <si>
    <t>RENTA</t>
  </si>
  <si>
    <t>8AFER5AD3C6019274</t>
  </si>
  <si>
    <t>8AFER5AD6C6013775</t>
  </si>
  <si>
    <t>8AFER5AD9C6018758</t>
  </si>
  <si>
    <t>8AFER5AD5C6019275</t>
  </si>
  <si>
    <t>891ZWZ</t>
  </si>
  <si>
    <t>MMBMG46H8FD032157</t>
  </si>
  <si>
    <t>UCAW7425</t>
  </si>
  <si>
    <t>MSV4498</t>
  </si>
  <si>
    <t>MMBMG46H9FD032474</t>
  </si>
  <si>
    <t>UCAW7640</t>
  </si>
  <si>
    <t>1FDEF3G68CEA36070</t>
  </si>
  <si>
    <t>MSV9907</t>
  </si>
  <si>
    <t>MMBMG46H4FD032480</t>
  </si>
  <si>
    <t>UCAW7420</t>
  </si>
  <si>
    <t>3G1TA5AF7DL107851</t>
  </si>
  <si>
    <t>1C4AJPAB8CD640268</t>
  </si>
  <si>
    <t>HECHO EN USA</t>
  </si>
  <si>
    <t>518ZVV</t>
  </si>
  <si>
    <t>MMBMG46HXDO32175</t>
  </si>
  <si>
    <t>UCAW7418</t>
  </si>
  <si>
    <t>8AFER5AD0C6018843</t>
  </si>
  <si>
    <t>ECONOLINE WAGON 150</t>
  </si>
  <si>
    <t>1FMNE1BW8CDA61944</t>
  </si>
  <si>
    <t>MOTOR IMPORTADO</t>
  </si>
  <si>
    <t>JNFE56S23X501505</t>
  </si>
  <si>
    <t>ARRENDOMOVIL DE MEX</t>
  </si>
  <si>
    <t>INEEJAD-FK006095-0914-01</t>
  </si>
  <si>
    <t>INEEJAD-6762-0914-01</t>
  </si>
  <si>
    <t>El seguro pago por el robo a fecha 19/12/2016</t>
  </si>
  <si>
    <t>VEHÍCULO ROBADO EN EVENTO DE ENTREGA DE CERTIFICADOS EN EL CODE/ SE COBRO EL CHEQUE 27/ ENERO/2017 POR MONTO DE $24,480°°</t>
  </si>
  <si>
    <t>3N1UCAD21VK001910</t>
  </si>
  <si>
    <t>3N1UCAS21VK001930</t>
  </si>
  <si>
    <t>INEA-54103-I-480800156-00027-15</t>
  </si>
  <si>
    <t>INEA-54103-I-480800028-00006-15</t>
  </si>
  <si>
    <t>INEA-54103-I-480800052-00047-15</t>
  </si>
  <si>
    <t>INEA-54103-I-480800052-00048-15</t>
  </si>
  <si>
    <t>INEA-54103-I-480800052-00049-15</t>
  </si>
  <si>
    <t>INEA-54103-I-480800052-00050-15</t>
  </si>
  <si>
    <t>INEA-54103-I-480800052-00051-15</t>
  </si>
  <si>
    <t>INEA-54103-I-480800156-00028-15</t>
  </si>
  <si>
    <t>JN93825</t>
  </si>
  <si>
    <t>JP82753</t>
  </si>
  <si>
    <t>93CCL8000FB109449</t>
  </si>
  <si>
    <t>JP82755</t>
  </si>
  <si>
    <t>JF47318</t>
  </si>
  <si>
    <t>JDE4822</t>
  </si>
  <si>
    <t>JKF1435</t>
  </si>
  <si>
    <t>JDE4821</t>
  </si>
  <si>
    <t>JKF9539</t>
  </si>
  <si>
    <t>JCL1186</t>
  </si>
  <si>
    <t>JDD1989</t>
  </si>
  <si>
    <t>JGC5503</t>
  </si>
  <si>
    <t xml:space="preserve">Dado de Baja por Peticion por Oficio Circular Ref. DAyF/002/17 </t>
  </si>
  <si>
    <t>Dado de Baja por Peticion por Oficio Circular Ref. DAyF/002/18</t>
  </si>
  <si>
    <t>Dado de Baja por Peticion por Oficio Circular Ref. DAyF/002/19</t>
  </si>
  <si>
    <t>Dado de Baja por Peticion por Oficio Circular Ref. DAyF/002/20</t>
  </si>
  <si>
    <t>Dado de Baja por Peticion por Oficio Circular Ref. DAyF/002/21</t>
  </si>
  <si>
    <t>VEHÍCULO ENTREGADO EN DONACION A SEPAF CON FECHA 22/06/2017</t>
  </si>
  <si>
    <t>GA16801608R</t>
  </si>
  <si>
    <t>3GNAL7EKXFS538101</t>
  </si>
  <si>
    <t>C14ASA</t>
  </si>
  <si>
    <t>MMBML45G6HH034425</t>
  </si>
  <si>
    <t>En Ciruelo</t>
  </si>
  <si>
    <t>En Zuno</t>
  </si>
  <si>
    <t>TRANFERIDA EN OCTUBRE 2017</t>
  </si>
  <si>
    <t>NúmeroEconómico</t>
  </si>
  <si>
    <t>NúmeroMatrícula</t>
  </si>
  <si>
    <t>CHEVROLET</t>
  </si>
  <si>
    <t>NISSAN</t>
  </si>
  <si>
    <t>PICKUP</t>
  </si>
  <si>
    <t>PICKUP DOBLE CABINA</t>
  </si>
  <si>
    <t>AVEO</t>
  </si>
  <si>
    <t>CAPTIVA</t>
  </si>
  <si>
    <t>HHR</t>
  </si>
  <si>
    <t>LUV PICKUP</t>
  </si>
  <si>
    <t>TORNADO AC</t>
  </si>
  <si>
    <t>FORD</t>
  </si>
  <si>
    <t>FIESTA SEDAN</t>
  </si>
  <si>
    <t>RANGER</t>
  </si>
  <si>
    <t>RANGER XL</t>
  </si>
  <si>
    <t>GMC</t>
  </si>
  <si>
    <t>JEEP</t>
  </si>
  <si>
    <t>PATRIOT</t>
  </si>
  <si>
    <t>MITSUBISHI</t>
  </si>
  <si>
    <t>L200 AC</t>
  </si>
  <si>
    <t>MOTOCICLETA</t>
  </si>
  <si>
    <t>SUZUKI</t>
  </si>
  <si>
    <t>TOYOTA</t>
  </si>
  <si>
    <t>HIACE</t>
  </si>
  <si>
    <t>VOLKSWAGEN</t>
  </si>
  <si>
    <t>URVAN</t>
  </si>
  <si>
    <t>SEDAN</t>
  </si>
  <si>
    <t>F-150 PICKUP</t>
  </si>
  <si>
    <t>250 PICKUP</t>
  </si>
  <si>
    <t>F-450 SD</t>
  </si>
  <si>
    <t>F-350 SD</t>
  </si>
  <si>
    <t>3500 HD</t>
  </si>
  <si>
    <t>TSURU</t>
  </si>
  <si>
    <t>SENTRA</t>
  </si>
  <si>
    <t>Marca</t>
  </si>
  <si>
    <t>Tipo</t>
  </si>
  <si>
    <t>CHEVY</t>
  </si>
  <si>
    <t>CHEVY C2 SEDAN</t>
  </si>
  <si>
    <t>NúmeroSerie</t>
  </si>
  <si>
    <t>NúmeroMotor</t>
  </si>
  <si>
    <t>Adscripción</t>
  </si>
  <si>
    <t>NúmeroInventario</t>
  </si>
  <si>
    <t>Observaciones</t>
  </si>
  <si>
    <t>CZ 06 Mazamitla</t>
  </si>
  <si>
    <t>CZ 10 Grullo</t>
  </si>
  <si>
    <t>CZ 11 Guadalajara</t>
  </si>
  <si>
    <t>CZ 12 Ameca</t>
  </si>
  <si>
    <t>CZ 13 Mascota</t>
  </si>
  <si>
    <t>CZ 18 Zapopan</t>
  </si>
  <si>
    <t>CZ 19 Tlaquepaque</t>
  </si>
  <si>
    <t>CZ 23 Tlajomulco</t>
  </si>
  <si>
    <t>CZ 01 Colotlán</t>
  </si>
  <si>
    <t>CZ 02 Lagos de Moreno</t>
  </si>
  <si>
    <t>CZ 05 Ocotlán</t>
  </si>
  <si>
    <t>CZ 07 Ciudad Guzmán</t>
  </si>
  <si>
    <t>CZ 09 Autlán</t>
  </si>
  <si>
    <t>CZ 14 Puerto Vallarta</t>
  </si>
  <si>
    <t>CZ 15 Guadalajara Sur</t>
  </si>
  <si>
    <t>CZ 17 Guadalajara Norte</t>
  </si>
  <si>
    <t>CZ 20 Tepatitlán</t>
  </si>
  <si>
    <t>CZ 21 Tonalá</t>
  </si>
  <si>
    <t>Dirección General</t>
  </si>
  <si>
    <t>Departamento de Servicios Generales y Recursos Materiales</t>
  </si>
  <si>
    <t>SITEJAD</t>
  </si>
  <si>
    <t>Baja</t>
  </si>
  <si>
    <t>José Osorio Lomelí</t>
  </si>
  <si>
    <t>Laura Verónica Lambarén Verdín</t>
  </si>
  <si>
    <t>María de los Remedios Serrano Gómez</t>
  </si>
  <si>
    <t>Fernando Gómez Gómez</t>
  </si>
  <si>
    <t>Leonardo Sánchez Saldivar</t>
  </si>
  <si>
    <t>David Torres Tello</t>
  </si>
  <si>
    <t>Noelia Plasencia Martinez</t>
  </si>
  <si>
    <t>JP62281</t>
  </si>
  <si>
    <t>JT20423</t>
  </si>
  <si>
    <t>XYW98</t>
  </si>
  <si>
    <t>JH99594</t>
  </si>
  <si>
    <t>JM52176</t>
  </si>
  <si>
    <t>JT20425</t>
  </si>
  <si>
    <t>JS24356</t>
  </si>
  <si>
    <t>JN93827</t>
  </si>
  <si>
    <t>JS24352</t>
  </si>
  <si>
    <t>JF46014</t>
  </si>
  <si>
    <t>JN13350</t>
  </si>
  <si>
    <t>JP62284</t>
  </si>
  <si>
    <t>JP82765</t>
  </si>
  <si>
    <t>JT20422</t>
  </si>
  <si>
    <t>JH07553</t>
  </si>
  <si>
    <t>JU11119</t>
  </si>
  <si>
    <t>JP40489</t>
  </si>
  <si>
    <t>JS23366</t>
  </si>
  <si>
    <t>JL04136</t>
  </si>
  <si>
    <t>JU11120</t>
  </si>
  <si>
    <t>JR71675</t>
  </si>
  <si>
    <t>JT20421</t>
  </si>
  <si>
    <t>JF46252</t>
  </si>
  <si>
    <t>JP40490</t>
  </si>
  <si>
    <t>XYW97</t>
  </si>
  <si>
    <t>JP82742</t>
  </si>
  <si>
    <t>JS24351</t>
  </si>
  <si>
    <t>JDY1151</t>
  </si>
  <si>
    <t>JL04137</t>
  </si>
  <si>
    <t>JP40488</t>
  </si>
  <si>
    <t>JN13147</t>
  </si>
  <si>
    <t>JP62286</t>
  </si>
  <si>
    <t>JR49550</t>
  </si>
  <si>
    <t>JCL1189</t>
  </si>
  <si>
    <t>JM52178</t>
  </si>
  <si>
    <t>JS24353</t>
  </si>
  <si>
    <t>JS24355</t>
  </si>
  <si>
    <t>JN93904</t>
  </si>
  <si>
    <t>JE34235</t>
  </si>
  <si>
    <t>JJ88303</t>
  </si>
  <si>
    <t>6HG1673</t>
  </si>
  <si>
    <t>JP82754</t>
  </si>
  <si>
    <t>JU11123</t>
  </si>
  <si>
    <t>JN93824</t>
  </si>
  <si>
    <t>JDV3801</t>
  </si>
  <si>
    <t>JP82756</t>
  </si>
  <si>
    <t>JM52179</t>
  </si>
  <si>
    <t>JS24354</t>
  </si>
  <si>
    <t>JM52177</t>
  </si>
  <si>
    <t>JU11121</t>
  </si>
  <si>
    <t>JCP2822</t>
  </si>
  <si>
    <t>JH99605</t>
  </si>
  <si>
    <t>JN93823</t>
  </si>
  <si>
    <t>JGS2620</t>
  </si>
  <si>
    <t>JNB1546</t>
  </si>
  <si>
    <t>JL04138</t>
  </si>
  <si>
    <t>JT20465</t>
  </si>
  <si>
    <t>JP40492</t>
  </si>
  <si>
    <t>JM11608</t>
  </si>
  <si>
    <t>JFX1631</t>
  </si>
  <si>
    <t>JGU4377</t>
  </si>
  <si>
    <t>JP62283</t>
  </si>
  <si>
    <t>JT62641</t>
  </si>
  <si>
    <t>JP82757</t>
  </si>
  <si>
    <t>HZR7536</t>
  </si>
  <si>
    <t>JGF6032</t>
  </si>
  <si>
    <t>JL04135</t>
  </si>
  <si>
    <t>JM52180</t>
  </si>
  <si>
    <t>JU11122</t>
  </si>
  <si>
    <t>JDD1753</t>
  </si>
  <si>
    <t>5GPC71</t>
  </si>
  <si>
    <t>9GPD67</t>
  </si>
  <si>
    <t>JKF9506</t>
  </si>
  <si>
    <t>JGT5796</t>
  </si>
  <si>
    <t>JF46016</t>
  </si>
  <si>
    <t>JH99211</t>
  </si>
  <si>
    <t>JP62285</t>
  </si>
  <si>
    <t>JP40491</t>
  </si>
  <si>
    <t>JP40487</t>
  </si>
  <si>
    <t>JS93646</t>
  </si>
  <si>
    <t>JN20661</t>
  </si>
  <si>
    <t>JF47319</t>
  </si>
  <si>
    <t>JCR3478</t>
  </si>
  <si>
    <t>JCP2507</t>
  </si>
  <si>
    <t>JCP2509</t>
  </si>
  <si>
    <t>JCP2510</t>
  </si>
  <si>
    <t>JCP2513</t>
  </si>
  <si>
    <t>HZR7704</t>
  </si>
  <si>
    <t>JCP2508</t>
  </si>
  <si>
    <t>JDV3821</t>
  </si>
  <si>
    <t>JCL1185</t>
  </si>
  <si>
    <t>JEY9158</t>
  </si>
  <si>
    <t>JDV3867</t>
  </si>
  <si>
    <t>JCP2506</t>
  </si>
  <si>
    <t>JGP3772</t>
  </si>
  <si>
    <t>JCP2820</t>
  </si>
  <si>
    <t>HYY3827</t>
  </si>
  <si>
    <t>HZA9327</t>
  </si>
  <si>
    <t>HZA9329</t>
  </si>
  <si>
    <t>JCP2511</t>
  </si>
  <si>
    <t>JFK1881</t>
  </si>
  <si>
    <t>JP71341</t>
  </si>
  <si>
    <t>JM11607</t>
  </si>
  <si>
    <t>JDD1754</t>
  </si>
  <si>
    <t>JCP2512</t>
  </si>
  <si>
    <t>JCL1188</t>
  </si>
  <si>
    <t>TerminaciónMatrícula</t>
  </si>
  <si>
    <t>Afinación1erSem2018</t>
  </si>
  <si>
    <t>Afinación2doSem2018</t>
  </si>
  <si>
    <t>N/A</t>
  </si>
  <si>
    <t>Status</t>
  </si>
  <si>
    <t>Regresado a cambio del 43, a partir del 17/Oct/2016</t>
  </si>
  <si>
    <t>Vehiculo dado de baja de los inventarios OF. INEEJAD/04/924/2016</t>
  </si>
  <si>
    <t>8AFER5ADXB6376692</t>
  </si>
  <si>
    <t>3G1SF2426YS164736</t>
  </si>
  <si>
    <t>8AFER5AD6B6371764</t>
  </si>
  <si>
    <t>8AFER5AD2B6376282</t>
  </si>
  <si>
    <t>8AFER5AD7B6374964</t>
  </si>
  <si>
    <t>8AFER5AD0B6376748</t>
  </si>
  <si>
    <t>Almacén General</t>
  </si>
  <si>
    <t>I-480800052-00075-10</t>
  </si>
  <si>
    <t>Mantenimiento1erSem2018</t>
  </si>
  <si>
    <t>Mantenimiento2doSem2018</t>
  </si>
  <si>
    <t>889ZVU</t>
  </si>
  <si>
    <t>LlaveBuscar_DaciónSEPAF</t>
  </si>
  <si>
    <t>En estado regular, falta reparación del aire acondicionado y loslimpiaparabrisas</t>
  </si>
  <si>
    <t>Mal estado</t>
  </si>
  <si>
    <t>LC6PCJK6370801282</t>
  </si>
  <si>
    <t>NFP4339</t>
  </si>
  <si>
    <t>NFP4320</t>
  </si>
  <si>
    <t>NEH6554</t>
  </si>
  <si>
    <t>NEH6564</t>
  </si>
  <si>
    <t>NEH6569</t>
  </si>
  <si>
    <t>NFP4416</t>
  </si>
  <si>
    <t>NEF4879</t>
  </si>
  <si>
    <t>NFT6177</t>
  </si>
  <si>
    <t>NEH6560</t>
  </si>
  <si>
    <t>NFP6891</t>
  </si>
  <si>
    <t>NFT6278</t>
  </si>
  <si>
    <t>NFT6089</t>
  </si>
  <si>
    <t>NFT6097</t>
  </si>
  <si>
    <t>NFT6085</t>
  </si>
  <si>
    <t>NFT6279</t>
  </si>
  <si>
    <t>NFP6988</t>
  </si>
  <si>
    <t>Vento StarLine</t>
  </si>
  <si>
    <t>RAM 1500 Crew</t>
  </si>
  <si>
    <t>Equinox 1.5l</t>
  </si>
  <si>
    <t>Hiace</t>
  </si>
  <si>
    <t>NP300 Frontier</t>
  </si>
  <si>
    <t>DODGE</t>
  </si>
  <si>
    <t>MEX5G2605JT089768</t>
  </si>
  <si>
    <t>3C6SRBDG1JG199131</t>
  </si>
  <si>
    <t>3C6SRBDG0JG220115</t>
  </si>
  <si>
    <t>3C6SRBDG7JG220029</t>
  </si>
  <si>
    <t>3GNAX9EV2JS503247</t>
  </si>
  <si>
    <t>3N6AD33A4JK862756</t>
  </si>
  <si>
    <t>3N6AD33A8JK876188</t>
  </si>
  <si>
    <t>3N6AD33A8JK861643</t>
  </si>
  <si>
    <t>3N6AD33AXJK884776</t>
  </si>
  <si>
    <t>3N6AD33A4JK861364</t>
  </si>
  <si>
    <t>3N6AD33AXJK862874</t>
  </si>
  <si>
    <t>3N6AD33AXJK863376</t>
  </si>
  <si>
    <t>3N6AD33A8JK862310</t>
  </si>
  <si>
    <t>3N6AD33A9JK873395</t>
  </si>
  <si>
    <t>3N6AD33A9JK868911</t>
  </si>
  <si>
    <t>3N6AD33A7JK891328</t>
  </si>
  <si>
    <t>3N6AD33AXJK861241</t>
  </si>
  <si>
    <t>LUMO FINANCIERA DEL CENTRO S.A. de C.V.</t>
  </si>
  <si>
    <t>QR25218966H</t>
  </si>
  <si>
    <t>QR25246352H</t>
  </si>
  <si>
    <t>QR25231940H</t>
  </si>
  <si>
    <t>QR25226347H</t>
  </si>
  <si>
    <t>QR25220793H</t>
  </si>
  <si>
    <t>QR25222732H</t>
  </si>
  <si>
    <t>QR25240364H</t>
  </si>
  <si>
    <t>QR25222333H</t>
  </si>
  <si>
    <t>QR25222443H</t>
  </si>
  <si>
    <t>QR25222629H</t>
  </si>
  <si>
    <t>QR25234027H</t>
  </si>
  <si>
    <t>QR25222140H</t>
  </si>
  <si>
    <t>2TR9153848</t>
  </si>
  <si>
    <t>HECHO EN MÉXICO</t>
  </si>
  <si>
    <t>CLS629972</t>
  </si>
  <si>
    <t>CLS629046</t>
  </si>
  <si>
    <t>Sin número de inventario</t>
  </si>
  <si>
    <t>En Almacén Central</t>
  </si>
  <si>
    <t>BLANCO</t>
  </si>
  <si>
    <t>AZUL</t>
  </si>
  <si>
    <t>KA24407165A</t>
  </si>
  <si>
    <t>KA24367729A</t>
  </si>
  <si>
    <t>Dirección de Administración</t>
  </si>
  <si>
    <t>Color</t>
  </si>
  <si>
    <t>EstadoUnidad</t>
  </si>
  <si>
    <t>Malo</t>
  </si>
  <si>
    <t>MERCEDES BENZ</t>
  </si>
  <si>
    <t>Bueno</t>
  </si>
  <si>
    <t>AUTOBUS URBANO</t>
  </si>
  <si>
    <t>HTQ 94-F</t>
  </si>
  <si>
    <t>Coordinación de Asuntos Jurídicos</t>
  </si>
  <si>
    <t>Entregado Abril 2018</t>
  </si>
  <si>
    <t>Solicitada para baja, DAFyF/462/2018, 9-5-2018.</t>
  </si>
  <si>
    <t>NFT6235</t>
  </si>
  <si>
    <t>3N6AD33A8JK860704</t>
  </si>
  <si>
    <t>Entregada el 14-6-2018</t>
  </si>
  <si>
    <t>Entregada el 21-6-2018</t>
  </si>
  <si>
    <t>Entregada el 18-6-2018</t>
  </si>
  <si>
    <t>NAP3316</t>
  </si>
  <si>
    <t>Solicitada para baja, DAFyF/462/2018, 9-5-2018. Improcedente por falta de reemplazo.</t>
  </si>
  <si>
    <t>Entregada el 10-8-2018</t>
  </si>
  <si>
    <t>Entregada el 6-8-2018</t>
  </si>
  <si>
    <t>Entregada el 9-8-2018</t>
  </si>
  <si>
    <t>Regresado a cambio del 94, a partir del 9/8/2018</t>
  </si>
  <si>
    <t>Entregado el 10-8-2018</t>
  </si>
  <si>
    <t>Transferido a la CZ23 el 17/8/2018</t>
  </si>
  <si>
    <t>Transferido para baja el 17/8/2017</t>
  </si>
  <si>
    <t>Regresado para baja, a partir del 17/Agos/2018</t>
  </si>
  <si>
    <t>Entregado el 29-8-2018</t>
  </si>
  <si>
    <t>ROJO</t>
  </si>
  <si>
    <t>GRIS</t>
  </si>
  <si>
    <t>Resasignada al Director General, 1-9-2018</t>
  </si>
  <si>
    <t>Unidades entregadas por vencimiento de contrato</t>
  </si>
  <si>
    <t>I-480800136-00002-03</t>
  </si>
  <si>
    <t>CHASIS ARAÑA</t>
  </si>
  <si>
    <t>Resasignada al Director General, 1-9-2018. Con logos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</si>
  <si>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</si>
  <si>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En proceso de baja</t>
  </si>
  <si>
    <t>INEA-54103-I-480800014-00014-15</t>
  </si>
  <si>
    <t>Refrendo Enero 2019</t>
  </si>
  <si>
    <t>Tasa descuento Enero 2019</t>
  </si>
  <si>
    <t>Refrendo neto Enero 2019</t>
  </si>
  <si>
    <t>Descuento Enero 2020</t>
  </si>
  <si>
    <t>Aportaciones 2019</t>
  </si>
  <si>
    <t>JGF6032 3GNDA13P88S541306</t>
  </si>
  <si>
    <t>JGT5796 1GNFG154581225616</t>
  </si>
  <si>
    <t>Luis Enrique Gándara Alcántar</t>
  </si>
  <si>
    <t>Humberto Acevedo Trinidad</t>
  </si>
  <si>
    <t>Camilo Cocula Castillo</t>
  </si>
  <si>
    <t>Francisco Edén Flores Ramírez</t>
  </si>
  <si>
    <t>Cesar Octavio Salazar Murillo</t>
  </si>
  <si>
    <t>Jesús Damián Vázquez Barajas</t>
  </si>
  <si>
    <t>Diego Armando Hernández González</t>
  </si>
  <si>
    <t>Miroslava Genoveva Janet Díaz Hernández</t>
  </si>
  <si>
    <t>Alan Israel Carrillo Macías</t>
  </si>
  <si>
    <t>Dirección de Tesorería</t>
  </si>
  <si>
    <t>Sonia Zermeño Rayas</t>
  </si>
  <si>
    <t>Abraham Fernando Lozano Morales</t>
  </si>
  <si>
    <t>R-20</t>
  </si>
  <si>
    <t>R-19</t>
  </si>
  <si>
    <t>R-18</t>
  </si>
  <si>
    <t>R-17</t>
  </si>
  <si>
    <t>R-16</t>
  </si>
  <si>
    <t>R-15</t>
  </si>
  <si>
    <t>R-14</t>
  </si>
  <si>
    <t>R-13</t>
  </si>
  <si>
    <t>R-12</t>
  </si>
  <si>
    <t>R-11</t>
  </si>
  <si>
    <t>R-10</t>
  </si>
  <si>
    <t>R-9</t>
  </si>
  <si>
    <t>R-8</t>
  </si>
  <si>
    <t>R-7</t>
  </si>
  <si>
    <t>R-6</t>
  </si>
  <si>
    <t>R-5</t>
  </si>
  <si>
    <t>R-4</t>
  </si>
  <si>
    <t>R-3</t>
  </si>
  <si>
    <t>R-2</t>
  </si>
  <si>
    <t>R-1</t>
  </si>
  <si>
    <t>JU11118 93CCL8009EB243925</t>
  </si>
  <si>
    <t>Marcos Godínez Montes</t>
  </si>
  <si>
    <t>Dirección de Estructuras Regionales</t>
  </si>
  <si>
    <t>MARCA</t>
  </si>
  <si>
    <t>TIPO</t>
  </si>
  <si>
    <t>MODELO</t>
  </si>
  <si>
    <t>MOTOR</t>
  </si>
  <si>
    <t>SERIE</t>
  </si>
  <si>
    <t>SOLICITUD DE COMBUSTIBLE</t>
  </si>
  <si>
    <t>Ubicación</t>
  </si>
  <si>
    <t>Zona Metropolitana de Guadalajara</t>
  </si>
  <si>
    <t>SERVICIO QUE SOLICITAN</t>
  </si>
  <si>
    <t>OBSERVACIONES</t>
  </si>
  <si>
    <t>NO. ECONÓMICO</t>
  </si>
  <si>
    <t>• Revisión, cambio e instalación de bujías en caso de ser necesario.</t>
  </si>
  <si>
    <t>• Cambio de aceite, debe ser de buena calidad y de viscosidad especificada por el fabricante.</t>
  </si>
  <si>
    <t>• Lavado de inyectores con producto especializado para remover impurezas, depósitos de carbón, residuos en el sistema de inyección, cámara de combustión, válvulas y múltiple de admisión.</t>
  </si>
  <si>
    <t>• Lavado de cuerpo de aceleración para una limpieza y lubricación del sistema.</t>
  </si>
  <si>
    <t>• Ajustar la presión de las llantas</t>
  </si>
  <si>
    <t>• Tiempo básico de encendido</t>
  </si>
  <si>
    <t>• Llantas por rotación alineación y balanceo</t>
  </si>
  <si>
    <t>• Bandas del alternador, el ventilador y el sistema de enfriamiento</t>
  </si>
  <si>
    <t>• Frenos y líneas de combustible</t>
  </si>
  <si>
    <t>• Sistema de suspensión</t>
  </si>
  <si>
    <t>SERVICIO DE TALLERES EXTERNOS</t>
  </si>
  <si>
    <r>
      <t>Servicio de mantenimiento</t>
    </r>
    <r>
      <rPr>
        <b/>
        <sz val="10"/>
        <rFont val="Arial Narrow"/>
        <family val="2"/>
      </rPr>
      <t>*</t>
    </r>
  </si>
  <si>
    <r>
      <rPr>
        <i/>
        <u/>
        <sz val="10"/>
        <color rgb="FF3B3B3B"/>
        <rFont val="Arial Rounded MT Bold"/>
        <family val="2"/>
      </rPr>
      <t>* "Servicio Mantenimiento"</t>
    </r>
    <r>
      <rPr>
        <sz val="10"/>
        <color rgb="FF3B3B3B"/>
        <rFont val="Arial Rounded MT Bold"/>
        <family val="2"/>
      </rPr>
      <t xml:space="preserve"> comprende de los siguientes puntos:</t>
    </r>
  </si>
  <si>
    <r>
      <t xml:space="preserve">Por seguridad y prevención, incluye la </t>
    </r>
    <r>
      <rPr>
        <i/>
        <u/>
        <sz val="10"/>
        <color rgb="FF383838"/>
        <rFont val="Arial Rounded MT Bold"/>
        <family val="2"/>
      </rPr>
      <t>revisión</t>
    </r>
    <r>
      <rPr>
        <sz val="10"/>
        <color rgb="FF383838"/>
        <rFont val="Arial Rounded MT Bold"/>
        <family val="2"/>
      </rPr>
      <t xml:space="preserve"> de los s</t>
    </r>
    <r>
      <rPr>
        <i/>
        <u/>
        <sz val="10"/>
        <color rgb="FF383838"/>
        <rFont val="Arial Rounded MT Bold"/>
        <family val="2"/>
      </rPr>
      <t>iguientes conceptos</t>
    </r>
    <r>
      <rPr>
        <sz val="10"/>
        <color rgb="FF383838"/>
        <rFont val="Arial Rounded MT Bold"/>
        <family val="2"/>
      </rPr>
      <t>:</t>
    </r>
  </si>
  <si>
    <r>
      <rPr>
        <sz val="11"/>
        <color rgb="FF3B3B3B"/>
        <rFont val="Arial Narrow"/>
        <family val="2"/>
      </rPr>
      <t xml:space="preserve">• </t>
    </r>
    <r>
      <rPr>
        <sz val="10"/>
        <color rgb="FF3B3B3B"/>
        <rFont val="Arial Narrow"/>
        <family val="2"/>
      </rPr>
      <t>Cambio de filtro de aceite de motor, filtro de aire y filtro de gasolina</t>
    </r>
    <r>
      <rPr>
        <sz val="10"/>
        <color rgb="FF5D5D5D"/>
        <rFont val="Arial Narrow"/>
        <family val="2"/>
      </rPr>
      <t xml:space="preserve">, </t>
    </r>
    <r>
      <rPr>
        <sz val="10"/>
        <color rgb="FF3B3B3B"/>
        <rFont val="Arial Narrow"/>
        <family val="2"/>
      </rPr>
      <t>que ayudan a reducir el consumo de gasolina</t>
    </r>
    <r>
      <rPr>
        <sz val="10"/>
        <color rgb="FF5D5D5D"/>
        <rFont val="Arial Narrow"/>
        <family val="2"/>
      </rPr>
      <t xml:space="preserve">, </t>
    </r>
    <r>
      <rPr>
        <sz val="10"/>
        <color rgb="FF3B3B3B"/>
        <rFont val="Arial Narrow"/>
        <family val="2"/>
      </rPr>
      <t>generan mayor potencia y alarga el tiempo de vida del motor.</t>
    </r>
  </si>
  <si>
    <t>VEHÍCULO SINIESTRADO, TRAMITE EN INEA Oficio DAyF/SRMyS/DCP/1066/2018</t>
  </si>
  <si>
    <t>Dictámen IJCF Oficio: IJCF /40017  /2019/12CEN A/0 @6-2-2019</t>
  </si>
  <si>
    <t>Por recibir carta poder y pago de multas</t>
  </si>
  <si>
    <t>GENERALMOTORS</t>
  </si>
  <si>
    <t>AMPLIA</t>
  </si>
  <si>
    <t>AUTOBUS</t>
  </si>
  <si>
    <t>ESPECIALES</t>
  </si>
  <si>
    <t>REMOLQUES</t>
  </si>
  <si>
    <t>En PólizaEstatal</t>
  </si>
  <si>
    <t>NúmeroPóliza</t>
  </si>
  <si>
    <t>GO39300053</t>
  </si>
  <si>
    <t>Inciso</t>
  </si>
  <si>
    <t>Descripción</t>
  </si>
  <si>
    <t>Placas</t>
  </si>
  <si>
    <t>Serie</t>
  </si>
  <si>
    <t>Paquete</t>
  </si>
  <si>
    <t>PrimaNetaAnual</t>
  </si>
  <si>
    <t>InicioVigenciaPóliza</t>
  </si>
  <si>
    <t>FinVigenciaPóliza</t>
  </si>
  <si>
    <t>Impresos al:</t>
  </si>
  <si>
    <t>Betbirai González Cajides</t>
  </si>
  <si>
    <t>S/N [ListadoGeneral]</t>
  </si>
  <si>
    <t>NumPlacas [ListadoGeneral]</t>
  </si>
  <si>
    <t>S/N &amp; NumPlacas [Listado General]</t>
  </si>
  <si>
    <t>NúmeroSerie &amp; NúmeroMatrícula</t>
  </si>
  <si>
    <t>José Manuel Del Río Rosales</t>
  </si>
  <si>
    <t>Dirección de Planeación</t>
  </si>
  <si>
    <t>JTFSX23P5J6189419</t>
  </si>
  <si>
    <t>MEX5G2606JT090587</t>
  </si>
  <si>
    <t>Compañía</t>
  </si>
  <si>
    <t>CHUBB/ABBA</t>
  </si>
  <si>
    <t>Comparativo</t>
  </si>
  <si>
    <t>Adscripición</t>
  </si>
  <si>
    <t>Tranferida el 1-2-19, Of: INEEJAD/CZ19/025/19</t>
  </si>
  <si>
    <t>José Guadalupe Hernández Torres</t>
  </si>
  <si>
    <t>Hugo Adrián Cerda Aguilar</t>
  </si>
  <si>
    <t>Alfonso Pineda Meraz</t>
  </si>
  <si>
    <t>Karolina Edwur Rosales Barrera</t>
  </si>
  <si>
    <t>Jesús Alesio González Huerta</t>
  </si>
  <si>
    <t>Entregado para reubicación</t>
  </si>
  <si>
    <t>Adscripción_s/Yeyo</t>
  </si>
  <si>
    <t>Resguardante_s/Yeyo</t>
  </si>
  <si>
    <t>ACADEMICA</t>
  </si>
  <si>
    <t>Juan José Torres Martínez</t>
  </si>
  <si>
    <t xml:space="preserve">RENTA-15 </t>
  </si>
  <si>
    <t>DODGE RAM-1500 CREW</t>
  </si>
  <si>
    <t>ADMINISTRADOR</t>
  </si>
  <si>
    <t>Jose Cruz Sanchez Ortega</t>
  </si>
  <si>
    <t>RENTA-14</t>
  </si>
  <si>
    <t>NAP3329</t>
  </si>
  <si>
    <t>DODGE RAM-1500</t>
  </si>
  <si>
    <t>PLANEACIÓN</t>
  </si>
  <si>
    <t>Jose Manuel Del Río Rosales</t>
  </si>
  <si>
    <t>GENERAL MOTORS TORNADO PICK UP</t>
  </si>
  <si>
    <t>CHEVROLET AVEO</t>
  </si>
  <si>
    <t>DIRECCION GENERAL</t>
  </si>
  <si>
    <t>FEDERL</t>
  </si>
  <si>
    <t>R20</t>
  </si>
  <si>
    <t>CHEVROLET EQUINOX</t>
  </si>
  <si>
    <t>CHRYSLER RAM 1500</t>
  </si>
  <si>
    <t>SGYRM</t>
  </si>
  <si>
    <t>David Josafat López Polanco</t>
  </si>
  <si>
    <t>CHEVROLET LUV PICKUP</t>
  </si>
  <si>
    <t xml:space="preserve">CHEVROLET </t>
  </si>
  <si>
    <t>V. WAGEN</t>
  </si>
  <si>
    <t>JKM1242</t>
  </si>
  <si>
    <t>NISSAN PICK UP</t>
  </si>
  <si>
    <t>JEEP PATRIOT</t>
  </si>
  <si>
    <t>TOYOTA HIACE</t>
  </si>
  <si>
    <t>FORD RANGER</t>
  </si>
  <si>
    <t>R5</t>
  </si>
  <si>
    <t>NISSAN NP300</t>
  </si>
  <si>
    <t>VW  SEDAN BCO</t>
  </si>
  <si>
    <t>ECONOLINE WAGON 150 -PASAJEROS (7)</t>
  </si>
  <si>
    <t>FORD RANGER XL</t>
  </si>
  <si>
    <t xml:space="preserve"> DOBLE CABINA NISSAN PICKUP</t>
  </si>
  <si>
    <t>CHEVY C2 BCO SEDAN</t>
  </si>
  <si>
    <t>EXPRESS VAN AZUL</t>
  </si>
  <si>
    <t>ALMACEN</t>
  </si>
  <si>
    <t>Jose Osorio Lomelí</t>
  </si>
  <si>
    <t xml:space="preserve">  NISSAN PICKUP</t>
  </si>
  <si>
    <t xml:space="preserve">NISSAN PICKUP </t>
  </si>
  <si>
    <t>VW SEDAN</t>
  </si>
  <si>
    <t>CHEVROLEL LUV</t>
  </si>
  <si>
    <t>19-RENTA</t>
  </si>
  <si>
    <t>TOYOTA HICE(15 pasajeros)</t>
  </si>
  <si>
    <t>NISSAN PICKUP BCO</t>
  </si>
  <si>
    <t>FORD 350-2 PUERTAS</t>
  </si>
  <si>
    <t>TOYOTA HICE</t>
  </si>
  <si>
    <t>FORD 4 TONELADAS</t>
  </si>
  <si>
    <t>CHEVROLET 3500</t>
  </si>
  <si>
    <t xml:space="preserve">NISSAN PICK UP </t>
  </si>
  <si>
    <t>SNTEA FEDERAL</t>
  </si>
  <si>
    <t>SINDICATO ESTATAL</t>
  </si>
  <si>
    <t>Noelia Plascencia Martinez</t>
  </si>
  <si>
    <t>FOR FIESTA SEDAN</t>
  </si>
  <si>
    <t>COORD. VINCULACION</t>
  </si>
  <si>
    <t>Lucio Gabriel Sedano Anguiano</t>
  </si>
  <si>
    <t>NACIONAL</t>
  </si>
  <si>
    <t>INFORMATICA</t>
  </si>
  <si>
    <t>Israel Guizar Lomeli</t>
  </si>
  <si>
    <t>COORD. A. JURÍDICOS</t>
  </si>
  <si>
    <t>SENTRA CUSTOM</t>
  </si>
  <si>
    <t>DIRECCION ESTRUCTURAS REGIONALES</t>
  </si>
  <si>
    <t>Abrahan Fernando Lozano Morales</t>
  </si>
  <si>
    <t>RENTA-11</t>
  </si>
  <si>
    <t>VOLSWAGEN VENTO</t>
  </si>
  <si>
    <t>23 TLAJOMULCO</t>
  </si>
  <si>
    <t>Alfonzo Pineda Meraz</t>
  </si>
  <si>
    <t>CHEVROLET TORNADO</t>
  </si>
  <si>
    <t>21 TONALA</t>
  </si>
  <si>
    <t>Jesus Alesio González Huerta</t>
  </si>
  <si>
    <t>20 TEPATITLAN</t>
  </si>
  <si>
    <t>R006-RENTA</t>
  </si>
  <si>
    <t>CHEVROLET TORNADO AC</t>
  </si>
  <si>
    <t>19 TLAQUEPAQUE</t>
  </si>
  <si>
    <t>RENTA-3</t>
  </si>
  <si>
    <t>18 ZAPOPAN</t>
  </si>
  <si>
    <t>RENTA-001</t>
  </si>
  <si>
    <t xml:space="preserve">17 GUADALAJARA </t>
  </si>
  <si>
    <t>17 GUADALAJARA</t>
  </si>
  <si>
    <t xml:space="preserve">15 GUADALAJARA  </t>
  </si>
  <si>
    <t xml:space="preserve">FORD RANGER </t>
  </si>
  <si>
    <t>14 VALLARTA</t>
  </si>
  <si>
    <t>Claudia Gómez Becerra</t>
  </si>
  <si>
    <t>RENTA7</t>
  </si>
  <si>
    <t>NISSAN URBAN</t>
  </si>
  <si>
    <t>13 MASCOTA</t>
  </si>
  <si>
    <t>Jesus Damián Vázquez Barajas</t>
  </si>
  <si>
    <t>NISSAN DOBLE CABINA</t>
  </si>
  <si>
    <t>12 AMECA</t>
  </si>
  <si>
    <t>RENTA-10</t>
  </si>
  <si>
    <t>11 GUADALAJARA</t>
  </si>
  <si>
    <t>RENTA-16</t>
  </si>
  <si>
    <t>10 GRULLO</t>
  </si>
  <si>
    <t>09 AUTLAN</t>
  </si>
  <si>
    <t>Ramon Gómez Macedo</t>
  </si>
  <si>
    <t>07 CIUDAD GUZMAN</t>
  </si>
  <si>
    <t>RENTA-2</t>
  </si>
  <si>
    <t>06 MAZAMITLA</t>
  </si>
  <si>
    <t>RENTA-18</t>
  </si>
  <si>
    <t>05 OCOTLAN</t>
  </si>
  <si>
    <t>RENTA-4</t>
  </si>
  <si>
    <t>02 LAGOS</t>
  </si>
  <si>
    <t>RENTA-9</t>
  </si>
  <si>
    <t>01 COLOTLAN</t>
  </si>
  <si>
    <t>Luis Enrique Gándara Alcantar</t>
  </si>
  <si>
    <t>RENTA-8</t>
  </si>
  <si>
    <t>NISSAN NP300 RENTA</t>
  </si>
  <si>
    <t>FORD RANGER (RENTA)</t>
  </si>
  <si>
    <t>COORDINACIÓN DE ZONA</t>
  </si>
  <si>
    <t>RESGUARDANTE</t>
  </si>
  <si>
    <t>ORIGEN</t>
  </si>
  <si>
    <t>No.  ECONÓMICO</t>
  </si>
  <si>
    <t>PLACAS</t>
  </si>
  <si>
    <t>VEHÍCULO</t>
  </si>
  <si>
    <t>Cobrado con cheque No. 0062487 emitido por HSBC, por cuenta de CHUBB Seguros México, S. A.</t>
  </si>
  <si>
    <t>Dirección de Contraloría Interna</t>
  </si>
  <si>
    <t>Raul Torres Martínez</t>
  </si>
  <si>
    <t>Ángel Israel Carrillo Macías</t>
  </si>
  <si>
    <t>KAROLINA EDWUR ROSALES BARRERA</t>
  </si>
  <si>
    <t>Dirección Académica</t>
  </si>
  <si>
    <t>José Cruz Sanchez Ortega</t>
  </si>
  <si>
    <t>Departamento de Informática</t>
  </si>
  <si>
    <t>Activo</t>
  </si>
  <si>
    <t>15 GUADALAJARA</t>
  </si>
  <si>
    <t>NúmeroCilindros</t>
  </si>
  <si>
    <t>N/D</t>
  </si>
  <si>
    <t>Salvador Jephte Navarro</t>
  </si>
  <si>
    <t>Slavador Jephte Navarro</t>
  </si>
  <si>
    <t>no determinado</t>
  </si>
  <si>
    <t>KilometrajeFinal</t>
  </si>
  <si>
    <t>ValorComercial</t>
  </si>
  <si>
    <t>PrecioReparación</t>
  </si>
  <si>
    <t>Israel Guizar Lomelí</t>
  </si>
  <si>
    <t>David Josafath López Polanco</t>
  </si>
  <si>
    <t>NMP8850</t>
  </si>
  <si>
    <t>Entregada el 14-6-2018, fecha cambio placas 29-8-2019</t>
  </si>
  <si>
    <t>465-196203-77</t>
  </si>
  <si>
    <t>HDI Seguros</t>
  </si>
  <si>
    <t>CHEVROLET, AVEO</t>
  </si>
  <si>
    <t>AMPLIA AUTOS RESIDENTES</t>
  </si>
  <si>
    <t>JEEP, PATRIOT</t>
  </si>
  <si>
    <t>FORD ECONOLINE</t>
  </si>
  <si>
    <t>465-196203-78</t>
  </si>
  <si>
    <t>465-196203-79</t>
  </si>
  <si>
    <t>465-196203-80</t>
  </si>
  <si>
    <t>465-196198-220</t>
  </si>
  <si>
    <t>465-196198-221</t>
  </si>
  <si>
    <t>465-196198-222</t>
  </si>
  <si>
    <t>465-196198-223</t>
  </si>
  <si>
    <t>465-196198-224</t>
  </si>
  <si>
    <t>465-196198-225</t>
  </si>
  <si>
    <t>FORD F.350</t>
  </si>
  <si>
    <t>465-196198-226</t>
  </si>
  <si>
    <t>465-196198-227</t>
  </si>
  <si>
    <t>465-196198-228</t>
  </si>
  <si>
    <t>465-196198-229</t>
  </si>
  <si>
    <t>FORD F.450</t>
  </si>
  <si>
    <t>465-196198-230</t>
  </si>
  <si>
    <t>465-196198-231</t>
  </si>
  <si>
    <t>465-196198-232</t>
  </si>
  <si>
    <t>465-196198-233</t>
  </si>
  <si>
    <t>465-196198-234</t>
  </si>
  <si>
    <t>465-196198-235</t>
  </si>
  <si>
    <t>465-196198-236</t>
  </si>
  <si>
    <t>AMPLIA PICKS UP</t>
  </si>
  <si>
    <t>AMPLIO CAMIONES HASTA 4.5 TON</t>
  </si>
  <si>
    <t>NISSAN PLATINA</t>
  </si>
  <si>
    <t>NumFactura</t>
  </si>
  <si>
    <t>EmisorFactura</t>
  </si>
  <si>
    <t>FechaFactura</t>
  </si>
  <si>
    <t>NISHI, S. A. DE C. V.</t>
  </si>
  <si>
    <t>Automotríz Kyoto, S. A. de C. V.</t>
  </si>
  <si>
    <t>3576 A</t>
  </si>
  <si>
    <t>Tlapaln Motors, S. A. de C. V.</t>
  </si>
  <si>
    <t>B 4827</t>
  </si>
  <si>
    <t>DAOSA GUADALAJARA,S. A. DE C. V.</t>
  </si>
  <si>
    <t>B 4829</t>
  </si>
  <si>
    <t>VEHÍCULOS AUTOMOTRICES Y MARINOS, S. A. DE C. V.</t>
  </si>
  <si>
    <t>Euro Alemana, S. A. de C. V.</t>
  </si>
  <si>
    <t>A 15414</t>
  </si>
  <si>
    <t>AUTOMOTORES FLOVA</t>
  </si>
  <si>
    <t>A 15415</t>
  </si>
  <si>
    <t>MILENIO MOTORS, S. A. DE C. V.</t>
  </si>
  <si>
    <t>FLOSOL MOTORS, S. A. DE C. V.</t>
  </si>
  <si>
    <t>8553 U</t>
  </si>
  <si>
    <t>GABA AUTOMOTORES</t>
  </si>
  <si>
    <t>E 38095</t>
  </si>
  <si>
    <t>AUTOMOTORES DE GUADALAJARA, S. A. DE C. V.</t>
  </si>
  <si>
    <t>AdeudoVehicular</t>
  </si>
  <si>
    <t>EstacionómetrosGuadalajara</t>
  </si>
  <si>
    <t>EstacionómetrosZapopan</t>
  </si>
  <si>
    <t>EstacionómetrosZapopan y ExcesoVelocidad</t>
  </si>
  <si>
    <t>No existe adeudo</t>
  </si>
  <si>
    <t>ExcesoVelocidad</t>
  </si>
  <si>
    <t>Coordinación de Vinculación</t>
  </si>
  <si>
    <t>Entregado el 17-9-2019</t>
  </si>
  <si>
    <t>465-196198-237</t>
  </si>
  <si>
    <t>Asignada el 1-10-2019</t>
  </si>
  <si>
    <t>Entregado el 22-9-2019</t>
  </si>
  <si>
    <t>José Cruz Sánchez Ortega</t>
  </si>
  <si>
    <t>Entregado el 21 de Agosto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</si>
</sst>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rgb="FFFF0000"/>
      <name val="Arial"/>
      <family val="2"/>
    </font>
    <font>
      <sz val="10"/>
      <color theme="0"/>
      <name val="Arial"/>
      <family val="2"/>
    </font>
    <font>
      <sz val="11"/>
      <color rgb="FF006100"/>
      <name val="Calibri"/>
      <family val="2"/>
      <scheme val="minor"/>
    </font>
    <font>
      <sz val="10"/>
      <color rgb="FF006100"/>
      <name val="Arial"/>
      <family val="2"/>
    </font>
    <font>
      <sz val="10"/>
      <color rgb="FF000000"/>
      <name val="Times New Roman"/>
      <family val="1"/>
    </font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0"/>
      <name val="Arial"/>
      <family val="2"/>
    </font>
    <font>
      <sz val="11"/>
      <color rgb="FF3F3F76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color rgb="FF3B3B3B"/>
      <name val="Arial Narrow"/>
      <family val="2"/>
    </font>
    <font>
      <sz val="10"/>
      <color rgb="FF5D5D5D"/>
      <name val="Arial Narrow"/>
      <family val="2"/>
    </font>
    <font>
      <sz val="10"/>
      <color theme="1"/>
      <name val="Arial Narrow"/>
      <family val="2"/>
    </font>
    <font>
      <sz val="10"/>
      <color rgb="FF383838"/>
      <name val="Arial Narrow"/>
      <family val="2"/>
    </font>
    <font>
      <b/>
      <sz val="10"/>
      <color rgb="FF3F3B36"/>
      <name val="Arial Rounded MT Bold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0"/>
      <color rgb="FF3B3B3B"/>
      <name val="Arial Rounded MT Bold"/>
      <family val="2"/>
    </font>
    <font>
      <i/>
      <u/>
      <sz val="10"/>
      <color rgb="FF3B3B3B"/>
      <name val="Arial Rounded MT Bold"/>
      <family val="2"/>
    </font>
    <font>
      <sz val="10"/>
      <color rgb="FF383838"/>
      <name val="Arial Rounded MT Bold"/>
      <family val="2"/>
    </font>
    <font>
      <i/>
      <u/>
      <sz val="10"/>
      <color rgb="FF383838"/>
      <name val="Arial Rounded MT Bold"/>
      <family val="2"/>
    </font>
    <font>
      <sz val="11"/>
      <color rgb="FF3B3B3B"/>
      <name val="Arial Narrow"/>
      <family val="2"/>
    </font>
    <font>
      <b/>
      <sz val="11"/>
      <color rgb="FFFF0000"/>
      <name val="Berlin Sans FB Demi"/>
      <family val="2"/>
    </font>
    <font>
      <sz val="11"/>
      <color theme="1" tint="0.249977111117893"/>
      <name val="Arial"/>
      <family val="2"/>
    </font>
    <font>
      <b/>
      <sz val="11"/>
      <color rgb="FF7030A0"/>
      <name val="Berlin Sans FB Dem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9"/>
      <color indexed="10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CC99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EF5F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6EFCE"/>
        <bgColor indexed="64"/>
      </patternFill>
    </fill>
  </fills>
  <borders count="4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rgb="FF000000"/>
      </right>
      <top style="medium">
        <color indexed="64"/>
      </top>
      <bottom style="medium">
        <color indexed="64"/>
      </bottom>
      <diagonal/>
    </border>
    <border>
      <left/>
      <right style="thick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8">
    <xf numFmtId="0" fontId="0" fillId="0" borderId="0"/>
    <xf numFmtId="0" fontId="2" fillId="0" borderId="0"/>
    <xf numFmtId="0" fontId="6" fillId="2" borderId="0" applyNumberFormat="0" applyBorder="0" applyAlignment="0" applyProtection="0"/>
    <xf numFmtId="0" fontId="8" fillId="0" borderId="0"/>
    <xf numFmtId="0" fontId="10" fillId="3" borderId="0" applyNumberFormat="0" applyBorder="0" applyAlignment="0" applyProtection="0"/>
    <xf numFmtId="0" fontId="9" fillId="4" borderId="3" applyNumberFormat="0" applyFont="0" applyAlignment="0" applyProtection="0"/>
    <xf numFmtId="0" fontId="12" fillId="5" borderId="4" applyNumberFormat="0" applyAlignment="0" applyProtection="0"/>
    <xf numFmtId="9" fontId="9" fillId="0" borderId="0" applyFont="0" applyFill="0" applyBorder="0" applyAlignment="0" applyProtection="0"/>
  </cellStyleXfs>
  <cellXfs count="117">
    <xf numFmtId="0" fontId="0" fillId="0" borderId="0" xfId="0"/>
    <xf numFmtId="0" fontId="2" fillId="0" borderId="0" xfId="1" applyFont="1" applyFill="1" applyBorder="1" applyAlignment="1"/>
    <xf numFmtId="49" fontId="2" fillId="0" borderId="0" xfId="1" applyNumberFormat="1" applyFont="1" applyFill="1" applyBorder="1" applyAlignment="1"/>
    <xf numFmtId="0" fontId="1" fillId="0" borderId="0" xfId="0" applyFont="1" applyFill="1" applyBorder="1" applyAlignment="1"/>
    <xf numFmtId="0" fontId="3" fillId="0" borderId="0" xfId="0" applyFont="1" applyFill="1" applyBorder="1" applyAlignment="1"/>
    <xf numFmtId="0" fontId="2" fillId="0" borderId="0" xfId="0" applyFont="1" applyFill="1" applyBorder="1" applyAlignment="1"/>
    <xf numFmtId="0" fontId="4" fillId="0" borderId="0" xfId="0" applyFont="1" applyFill="1" applyBorder="1" applyAlignment="1"/>
    <xf numFmtId="0" fontId="5" fillId="0" borderId="0" xfId="0" applyFont="1" applyFill="1" applyBorder="1" applyAlignment="1"/>
    <xf numFmtId="1" fontId="2" fillId="0" borderId="0" xfId="0" applyNumberFormat="1" applyFont="1" applyFill="1" applyBorder="1" applyAlignment="1"/>
    <xf numFmtId="0" fontId="7" fillId="0" borderId="0" xfId="2" applyFont="1" applyFill="1" applyBorder="1" applyAlignment="1"/>
    <xf numFmtId="0" fontId="1" fillId="0" borderId="0" xfId="0" applyFont="1" applyFill="1" applyBorder="1" applyAlignment="1"/>
    <xf numFmtId="0" fontId="6" fillId="2" borderId="0" xfId="2" applyBorder="1" applyAlignment="1"/>
    <xf numFmtId="0" fontId="6" fillId="0" borderId="0" xfId="2" applyFill="1" applyBorder="1" applyAlignment="1"/>
    <xf numFmtId="0" fontId="11" fillId="4" borderId="3" xfId="5" applyFont="1" applyBorder="1" applyAlignment="1"/>
    <xf numFmtId="0" fontId="13" fillId="5" borderId="4" xfId="6" applyFont="1" applyBorder="1" applyAlignment="1"/>
    <xf numFmtId="0" fontId="10" fillId="3" borderId="3" xfId="4" applyBorder="1" applyAlignment="1"/>
    <xf numFmtId="0" fontId="10" fillId="3" borderId="0" xfId="4" applyBorder="1" applyAlignment="1"/>
    <xf numFmtId="9" fontId="1" fillId="0" borderId="0" xfId="7" applyFont="1" applyFill="1" applyBorder="1" applyAlignment="1"/>
    <xf numFmtId="0" fontId="1" fillId="0" borderId="0" xfId="0" applyFont="1" applyFill="1" applyBorder="1" applyAlignment="1">
      <alignment horizontal="right"/>
    </xf>
    <xf numFmtId="0" fontId="2" fillId="0" borderId="0" xfId="0" applyFont="1"/>
    <xf numFmtId="0" fontId="19" fillId="0" borderId="10" xfId="0" applyFont="1" applyBorder="1" applyAlignment="1">
      <alignment horizontal="center" wrapText="1"/>
    </xf>
    <xf numFmtId="0" fontId="19" fillId="0" borderId="11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6" fillId="0" borderId="18" xfId="0" applyFont="1" applyBorder="1" applyAlignment="1">
      <alignment vertical="center"/>
    </xf>
    <xf numFmtId="0" fontId="16" fillId="0" borderId="19" xfId="0" applyFont="1" applyBorder="1" applyAlignment="1">
      <alignment vertical="center"/>
    </xf>
    <xf numFmtId="0" fontId="16" fillId="0" borderId="20" xfId="0" applyFont="1" applyBorder="1" applyAlignment="1">
      <alignment vertical="center"/>
    </xf>
    <xf numFmtId="0" fontId="16" fillId="0" borderId="21" xfId="0" applyFont="1" applyBorder="1" applyAlignment="1">
      <alignment vertical="center"/>
    </xf>
    <xf numFmtId="0" fontId="16" fillId="0" borderId="22" xfId="0" applyFont="1" applyBorder="1" applyAlignment="1">
      <alignment vertical="center"/>
    </xf>
    <xf numFmtId="0" fontId="16" fillId="0" borderId="23" xfId="0" applyFont="1" applyBorder="1" applyAlignment="1">
      <alignment vertical="center"/>
    </xf>
    <xf numFmtId="0" fontId="16" fillId="0" borderId="24" xfId="0" applyFont="1" applyBorder="1" applyAlignment="1">
      <alignment vertical="center"/>
    </xf>
    <xf numFmtId="0" fontId="16" fillId="0" borderId="25" xfId="0" applyFont="1" applyBorder="1" applyAlignment="1">
      <alignment vertical="center"/>
    </xf>
    <xf numFmtId="0" fontId="16" fillId="0" borderId="26" xfId="0" applyFont="1" applyBorder="1" applyAlignment="1">
      <alignment vertical="center"/>
    </xf>
    <xf numFmtId="0" fontId="19" fillId="0" borderId="16" xfId="0" applyFont="1" applyBorder="1" applyAlignment="1">
      <alignment horizontal="center" wrapText="1"/>
    </xf>
    <xf numFmtId="0" fontId="19" fillId="0" borderId="16" xfId="0" applyFont="1" applyBorder="1" applyAlignment="1">
      <alignment horizontal="center"/>
    </xf>
    <xf numFmtId="0" fontId="19" fillId="0" borderId="9" xfId="0" applyFont="1" applyBorder="1" applyAlignment="1">
      <alignment horizontal="center"/>
    </xf>
    <xf numFmtId="0" fontId="19" fillId="0" borderId="14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20" fillId="0" borderId="17" xfId="0" applyFont="1" applyBorder="1" applyAlignment="1">
      <alignment wrapText="1"/>
    </xf>
    <xf numFmtId="0" fontId="20" fillId="0" borderId="17" xfId="0" applyFont="1" applyBorder="1" applyAlignment="1"/>
    <xf numFmtId="0" fontId="19" fillId="0" borderId="15" xfId="0" applyFont="1" applyBorder="1" applyAlignment="1">
      <alignment horizontal="center" wrapText="1"/>
    </xf>
    <xf numFmtId="0" fontId="20" fillId="0" borderId="1" xfId="0" applyFont="1" applyBorder="1" applyAlignment="1"/>
    <xf numFmtId="0" fontId="20" fillId="0" borderId="7" xfId="0" applyFont="1" applyBorder="1" applyAlignment="1">
      <alignment wrapText="1"/>
    </xf>
    <xf numFmtId="0" fontId="20" fillId="0" borderId="7" xfId="0" applyFont="1" applyBorder="1" applyAlignment="1"/>
    <xf numFmtId="0" fontId="20" fillId="0" borderId="2" xfId="0" applyFont="1" applyBorder="1" applyAlignment="1"/>
    <xf numFmtId="0" fontId="20" fillId="0" borderId="8" xfId="0" applyFont="1" applyBorder="1" applyAlignment="1"/>
    <xf numFmtId="0" fontId="20" fillId="0" borderId="36" xfId="0" applyFont="1" applyBorder="1" applyAlignment="1"/>
    <xf numFmtId="0" fontId="20" fillId="0" borderId="37" xfId="0" applyFont="1" applyBorder="1" applyAlignment="1"/>
    <xf numFmtId="0" fontId="20" fillId="0" borderId="38" xfId="0" applyFont="1" applyBorder="1" applyAlignment="1">
      <alignment wrapText="1"/>
    </xf>
    <xf numFmtId="0" fontId="20" fillId="0" borderId="38" xfId="0" applyFont="1" applyBorder="1" applyAlignment="1"/>
    <xf numFmtId="0" fontId="20" fillId="0" borderId="39" xfId="0" applyFont="1" applyBorder="1" applyAlignment="1"/>
    <xf numFmtId="0" fontId="1" fillId="0" borderId="0" xfId="0" applyFont="1"/>
    <xf numFmtId="0" fontId="1" fillId="0" borderId="0" xfId="0" applyFont="1" applyBorder="1" applyAlignment="1"/>
    <xf numFmtId="0" fontId="1" fillId="0" borderId="0" xfId="0" applyFont="1" applyAlignment="1"/>
    <xf numFmtId="0" fontId="1" fillId="0" borderId="0" xfId="0" applyFont="1" applyAlignment="1"/>
    <xf numFmtId="0" fontId="1" fillId="7" borderId="0" xfId="0" applyFont="1" applyFill="1" applyAlignment="1"/>
    <xf numFmtId="0" fontId="1" fillId="7" borderId="0" xfId="0" applyFont="1" applyFill="1"/>
    <xf numFmtId="0" fontId="1" fillId="0" borderId="0" xfId="0" applyFont="1" applyAlignment="1"/>
    <xf numFmtId="0" fontId="1" fillId="0" borderId="0" xfId="0" applyFont="1" applyAlignment="1"/>
    <xf numFmtId="14" fontId="1" fillId="0" borderId="0" xfId="0" applyNumberFormat="1" applyFont="1"/>
    <xf numFmtId="0" fontId="1" fillId="8" borderId="0" xfId="0" applyFont="1" applyFill="1" applyAlignment="1"/>
    <xf numFmtId="0" fontId="1" fillId="8" borderId="0" xfId="0" applyFont="1" applyFill="1"/>
    <xf numFmtId="0" fontId="1" fillId="8" borderId="0" xfId="0" applyFont="1" applyFill="1" applyBorder="1" applyAlignment="1"/>
    <xf numFmtId="0" fontId="1" fillId="6" borderId="0" xfId="0" applyFont="1" applyFill="1" applyAlignment="1"/>
    <xf numFmtId="0" fontId="1" fillId="6" borderId="0" xfId="0" applyFont="1" applyFill="1"/>
    <xf numFmtId="0" fontId="1" fillId="9" borderId="0" xfId="0" applyFont="1" applyFill="1" applyAlignment="1"/>
    <xf numFmtId="0" fontId="1" fillId="9" borderId="0" xfId="0" applyFont="1" applyFill="1"/>
    <xf numFmtId="0" fontId="6" fillId="2" borderId="0" xfId="2"/>
    <xf numFmtId="0" fontId="6" fillId="2" borderId="0" xfId="2" applyAlignment="1"/>
    <xf numFmtId="0" fontId="6" fillId="2" borderId="0" xfId="2" applyAlignment="1"/>
    <xf numFmtId="0" fontId="6" fillId="2" borderId="0" xfId="2" applyAlignment="1"/>
    <xf numFmtId="0" fontId="6" fillId="2" borderId="0" xfId="2" applyAlignment="1"/>
    <xf numFmtId="0" fontId="26" fillId="0" borderId="0" xfId="0" applyFont="1" applyFill="1" applyBorder="1" applyAlignment="1"/>
    <xf numFmtId="0" fontId="27" fillId="0" borderId="0" xfId="0" applyFont="1" applyFill="1" applyBorder="1" applyAlignment="1"/>
    <xf numFmtId="49" fontId="27" fillId="0" borderId="0" xfId="0" applyNumberFormat="1" applyFont="1" applyFill="1" applyBorder="1" applyAlignment="1"/>
    <xf numFmtId="0" fontId="28" fillId="10" borderId="0" xfId="0" applyFont="1" applyFill="1" applyBorder="1" applyAlignment="1"/>
    <xf numFmtId="0" fontId="2" fillId="0" borderId="0" xfId="0" applyFont="1" applyFill="1" applyBorder="1" applyAlignment="1"/>
    <xf numFmtId="3" fontId="1" fillId="0" borderId="0" xfId="0" applyNumberFormat="1" applyFont="1" applyFill="1" applyBorder="1" applyAlignment="1"/>
    <xf numFmtId="0" fontId="0" fillId="0" borderId="0" xfId="0"/>
    <xf numFmtId="22" fontId="1" fillId="0" borderId="0" xfId="0" applyNumberFormat="1" applyFont="1"/>
    <xf numFmtId="0" fontId="2" fillId="0" borderId="0" xfId="1"/>
    <xf numFmtId="0" fontId="1" fillId="0" borderId="0" xfId="0" applyFont="1" applyBorder="1" applyAlignment="1"/>
    <xf numFmtId="14" fontId="1" fillId="0" borderId="0" xfId="0" applyNumberFormat="1" applyFont="1" applyFill="1" applyBorder="1" applyAlignment="1"/>
    <xf numFmtId="0" fontId="1" fillId="7" borderId="0" xfId="0" applyFont="1" applyFill="1" applyBorder="1" applyAlignment="1"/>
    <xf numFmtId="0" fontId="2" fillId="7" borderId="0" xfId="0" applyFont="1" applyFill="1" applyBorder="1" applyAlignment="1"/>
    <xf numFmtId="0" fontId="3" fillId="4" borderId="3" xfId="5" applyFont="1" applyAlignment="1"/>
    <xf numFmtId="0" fontId="18" fillId="0" borderId="0" xfId="0" applyFont="1" applyAlignment="1">
      <alignment horizontal="center"/>
    </xf>
    <xf numFmtId="0" fontId="18" fillId="0" borderId="13" xfId="0" applyFont="1" applyBorder="1" applyAlignment="1">
      <alignment horizontal="center"/>
    </xf>
    <xf numFmtId="0" fontId="17" fillId="0" borderId="27" xfId="0" applyFont="1" applyBorder="1" applyAlignment="1">
      <alignment horizontal="left" indent="2"/>
    </xf>
    <xf numFmtId="0" fontId="17" fillId="0" borderId="28" xfId="0" applyFont="1" applyBorder="1" applyAlignment="1">
      <alignment horizontal="left" indent="2"/>
    </xf>
    <xf numFmtId="0" fontId="17" fillId="0" borderId="29" xfId="0" applyFont="1" applyBorder="1" applyAlignment="1">
      <alignment horizontal="left" indent="2"/>
    </xf>
    <xf numFmtId="0" fontId="17" fillId="0" borderId="30" xfId="0" applyFont="1" applyBorder="1" applyAlignment="1">
      <alignment horizontal="left" wrapText="1" indent="2"/>
    </xf>
    <xf numFmtId="0" fontId="17" fillId="0" borderId="31" xfId="0" applyFont="1" applyBorder="1" applyAlignment="1">
      <alignment horizontal="left" wrapText="1" indent="2"/>
    </xf>
    <xf numFmtId="0" fontId="17" fillId="0" borderId="32" xfId="0" applyFont="1" applyBorder="1" applyAlignment="1">
      <alignment horizontal="left" wrapText="1" indent="2"/>
    </xf>
    <xf numFmtId="0" fontId="17" fillId="0" borderId="30" xfId="0" applyFont="1" applyBorder="1" applyAlignment="1">
      <alignment horizontal="left" vertical="center" indent="2"/>
    </xf>
    <xf numFmtId="0" fontId="17" fillId="0" borderId="31" xfId="0" applyFont="1" applyBorder="1" applyAlignment="1">
      <alignment horizontal="left" vertical="center" indent="2"/>
    </xf>
    <xf numFmtId="0" fontId="17" fillId="0" borderId="32" xfId="0" applyFont="1" applyBorder="1" applyAlignment="1">
      <alignment horizontal="left" vertical="center" indent="2"/>
    </xf>
    <xf numFmtId="0" fontId="17" fillId="0" borderId="30" xfId="0" applyFont="1" applyBorder="1" applyAlignment="1">
      <alignment horizontal="left" indent="2"/>
    </xf>
    <xf numFmtId="0" fontId="17" fillId="0" borderId="31" xfId="0" applyFont="1" applyBorder="1" applyAlignment="1">
      <alignment horizontal="left" indent="2"/>
    </xf>
    <xf numFmtId="0" fontId="17" fillId="0" borderId="32" xfId="0" applyFont="1" applyBorder="1" applyAlignment="1">
      <alignment horizontal="left" indent="2"/>
    </xf>
    <xf numFmtId="0" fontId="17" fillId="0" borderId="33" xfId="0" applyFont="1" applyBorder="1" applyAlignment="1">
      <alignment horizontal="left" indent="2"/>
    </xf>
    <xf numFmtId="0" fontId="17" fillId="0" borderId="34" xfId="0" applyFont="1" applyBorder="1" applyAlignment="1">
      <alignment horizontal="left" indent="2"/>
    </xf>
    <xf numFmtId="0" fontId="17" fillId="0" borderId="35" xfId="0" applyFont="1" applyBorder="1" applyAlignment="1">
      <alignment horizontal="left" indent="2"/>
    </xf>
    <xf numFmtId="0" fontId="23" fillId="0" borderId="5" xfId="0" applyFont="1" applyBorder="1" applyAlignment="1"/>
    <xf numFmtId="0" fontId="23" fillId="0" borderId="9" xfId="0" applyFont="1" applyBorder="1" applyAlignment="1"/>
    <xf numFmtId="0" fontId="23" fillId="0" borderId="6" xfId="0" applyFont="1" applyBorder="1" applyAlignment="1"/>
    <xf numFmtId="0" fontId="21" fillId="0" borderId="5" xfId="0" applyFont="1" applyBorder="1" applyAlignment="1"/>
    <xf numFmtId="0" fontId="21" fillId="0" borderId="9" xfId="0" applyFont="1" applyBorder="1" applyAlignment="1"/>
    <xf numFmtId="0" fontId="21" fillId="0" borderId="6" xfId="0" applyFont="1" applyBorder="1" applyAlignment="1"/>
    <xf numFmtId="0" fontId="14" fillId="0" borderId="27" xfId="0" applyFont="1" applyBorder="1" applyAlignment="1">
      <alignment horizontal="left" vertical="center" indent="2"/>
    </xf>
    <xf numFmtId="0" fontId="14" fillId="0" borderId="28" xfId="0" applyFont="1" applyBorder="1" applyAlignment="1">
      <alignment horizontal="left" vertical="center" indent="2"/>
    </xf>
    <xf numFmtId="0" fontId="14" fillId="0" borderId="29" xfId="0" applyFont="1" applyBorder="1" applyAlignment="1">
      <alignment horizontal="left" vertical="center" indent="2"/>
    </xf>
    <xf numFmtId="0" fontId="14" fillId="0" borderId="30" xfId="0" applyFont="1" applyBorder="1" applyAlignment="1">
      <alignment horizontal="left" indent="2"/>
    </xf>
    <xf numFmtId="0" fontId="14" fillId="0" borderId="31" xfId="0" applyFont="1" applyBorder="1" applyAlignment="1">
      <alignment horizontal="left" indent="2"/>
    </xf>
    <xf numFmtId="0" fontId="14" fillId="0" borderId="32" xfId="0" applyFont="1" applyBorder="1" applyAlignment="1">
      <alignment horizontal="left" indent="2"/>
    </xf>
    <xf numFmtId="0" fontId="14" fillId="0" borderId="30" xfId="0" applyFont="1" applyBorder="1" applyAlignment="1">
      <alignment horizontal="left" vertical="center" indent="2"/>
    </xf>
    <xf numFmtId="0" fontId="14" fillId="0" borderId="31" xfId="0" applyFont="1" applyBorder="1" applyAlignment="1">
      <alignment horizontal="left" vertical="center" indent="2"/>
    </xf>
    <xf numFmtId="0" fontId="14" fillId="0" borderId="32" xfId="0" applyFont="1" applyBorder="1" applyAlignment="1">
      <alignment horizontal="left" vertical="center" indent="2"/>
    </xf>
  </cellXfs>
  <cellStyles count="8">
    <cellStyle name="Bueno" xfId="2" builtinId="26"/>
    <cellStyle name="Entrada" xfId="6" builtinId="20"/>
    <cellStyle name="Incorrecto" xfId="4" builtinId="27"/>
    <cellStyle name="Normal" xfId="0" builtinId="0"/>
    <cellStyle name="Normal 2" xfId="1"/>
    <cellStyle name="Normal 3" xfId="3"/>
    <cellStyle name="Notas" xfId="5" builtinId="10"/>
    <cellStyle name="Porcentaje" xfId="7" builtinId="5"/>
  </cellStyles>
  <dxfs count="4">
    <dxf>
      <fill>
        <gradientFill type="path" left="1" right="1" top="1" bottom="1">
          <stop position="0">
            <color theme="0"/>
          </stop>
          <stop position="1">
            <color rgb="FFFFCCCC"/>
          </stop>
        </gradientFill>
      </fill>
    </dxf>
    <dxf>
      <fill>
        <gradientFill type="path" left="1" right="1" top="1" bottom="1">
          <stop position="0">
            <color theme="0"/>
          </stop>
          <stop position="1">
            <color rgb="FFFFCCCC"/>
          </stop>
        </gradientFill>
      </fill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3" defaultTableStyle="TableStyleMedium2" defaultPivotStyle="PivotStyleLight16">
    <tableStyle name="Estilo de tabla dinámica 1" table="0" count="1">
      <tableStyleElement type="wholeTable" dxfId="3"/>
    </tableStyle>
    <tableStyle name="Estilo de tabla dinámica 2" table="0" count="1">
      <tableStyleElement type="firstColumnStripe" dxfId="2"/>
    </tableStyle>
    <tableStyle name="EstiloGASF_TblDin" table="0" count="2">
      <tableStyleElement type="pageFieldLabels" dxfId="1"/>
      <tableStyleElement type="pageFieldValues" dxfId="0"/>
    </tableStyle>
  </tableStyles>
  <colors>
    <mruColors>
      <color rgb="FFC6EFCE"/>
      <color rgb="FFFEF5F0"/>
      <color rgb="FF0000FF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2205975</xdr:colOff>
      <xdr:row>0</xdr:row>
      <xdr:rowOff>15225</xdr:rowOff>
    </xdr:from>
    <xdr:to>
      <xdr:col>6</xdr:col>
      <xdr:colOff>2918775</xdr:colOff>
      <xdr:row>1</xdr:row>
      <xdr:rowOff>347025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92375" y="15225"/>
          <a:ext cx="712800" cy="7128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2228850</xdr:colOff>
      <xdr:row>0</xdr:row>
      <xdr:rowOff>19050</xdr:rowOff>
    </xdr:from>
    <xdr:to>
      <xdr:col>6</xdr:col>
      <xdr:colOff>2941650</xdr:colOff>
      <xdr:row>1</xdr:row>
      <xdr:rowOff>350850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72400" y="19050"/>
          <a:ext cx="712800" cy="712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</xdr:row>
      <xdr:rowOff>38100</xdr:rowOff>
    </xdr:from>
    <xdr:to>
      <xdr:col>3</xdr:col>
      <xdr:colOff>247650</xdr:colOff>
      <xdr:row>1</xdr:row>
      <xdr:rowOff>133350</xdr:rowOff>
    </xdr:to>
    <xdr:sp macro="" textlink="">
      <xdr:nvSpPr>
        <xdr:cNvPr id="2" name="Multiplicar 1"/>
        <xdr:cNvSpPr/>
      </xdr:nvSpPr>
      <xdr:spPr>
        <a:xfrm>
          <a:off x="2409825" y="2000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866775</xdr:colOff>
      <xdr:row>9</xdr:row>
      <xdr:rowOff>9525</xdr:rowOff>
    </xdr:from>
    <xdr:to>
      <xdr:col>3</xdr:col>
      <xdr:colOff>238125</xdr:colOff>
      <xdr:row>9</xdr:row>
      <xdr:rowOff>104775</xdr:rowOff>
    </xdr:to>
    <xdr:sp macro="" textlink="">
      <xdr:nvSpPr>
        <xdr:cNvPr id="4" name="Multiplicar 3"/>
        <xdr:cNvSpPr/>
      </xdr:nvSpPr>
      <xdr:spPr>
        <a:xfrm>
          <a:off x="2400300" y="4953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10</xdr:row>
      <xdr:rowOff>0</xdr:rowOff>
    </xdr:from>
    <xdr:to>
      <xdr:col>3</xdr:col>
      <xdr:colOff>247650</xdr:colOff>
      <xdr:row>10</xdr:row>
      <xdr:rowOff>95250</xdr:rowOff>
    </xdr:to>
    <xdr:sp macro="" textlink="">
      <xdr:nvSpPr>
        <xdr:cNvPr id="5" name="Multiplicar 4"/>
        <xdr:cNvSpPr/>
      </xdr:nvSpPr>
      <xdr:spPr>
        <a:xfrm>
          <a:off x="2409825" y="6477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11</xdr:row>
      <xdr:rowOff>0</xdr:rowOff>
    </xdr:from>
    <xdr:to>
      <xdr:col>3</xdr:col>
      <xdr:colOff>247650</xdr:colOff>
      <xdr:row>11</xdr:row>
      <xdr:rowOff>95250</xdr:rowOff>
    </xdr:to>
    <xdr:sp macro="" textlink="">
      <xdr:nvSpPr>
        <xdr:cNvPr id="6" name="Multiplicar 5"/>
        <xdr:cNvSpPr/>
      </xdr:nvSpPr>
      <xdr:spPr>
        <a:xfrm>
          <a:off x="2409825" y="8096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876299</xdr:colOff>
      <xdr:row>11</xdr:row>
      <xdr:rowOff>152400</xdr:rowOff>
    </xdr:from>
    <xdr:to>
      <xdr:col>3</xdr:col>
      <xdr:colOff>257174</xdr:colOff>
      <xdr:row>13</xdr:row>
      <xdr:rowOff>9525</xdr:rowOff>
    </xdr:to>
    <xdr:sp macro="" textlink="">
      <xdr:nvSpPr>
        <xdr:cNvPr id="7" name="Multiplicar 6"/>
        <xdr:cNvSpPr/>
      </xdr:nvSpPr>
      <xdr:spPr>
        <a:xfrm>
          <a:off x="2409824" y="1933575"/>
          <a:ext cx="257175" cy="18097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17</xdr:row>
      <xdr:rowOff>0</xdr:rowOff>
    </xdr:from>
    <xdr:to>
      <xdr:col>3</xdr:col>
      <xdr:colOff>247650</xdr:colOff>
      <xdr:row>17</xdr:row>
      <xdr:rowOff>95250</xdr:rowOff>
    </xdr:to>
    <xdr:sp macro="" textlink="">
      <xdr:nvSpPr>
        <xdr:cNvPr id="8" name="Multiplicar 7"/>
        <xdr:cNvSpPr/>
      </xdr:nvSpPr>
      <xdr:spPr>
        <a:xfrm>
          <a:off x="2409825" y="113347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18</xdr:row>
      <xdr:rowOff>0</xdr:rowOff>
    </xdr:from>
    <xdr:to>
      <xdr:col>3</xdr:col>
      <xdr:colOff>247650</xdr:colOff>
      <xdr:row>18</xdr:row>
      <xdr:rowOff>95250</xdr:rowOff>
    </xdr:to>
    <xdr:sp macro="" textlink="">
      <xdr:nvSpPr>
        <xdr:cNvPr id="9" name="Multiplicar 8"/>
        <xdr:cNvSpPr/>
      </xdr:nvSpPr>
      <xdr:spPr>
        <a:xfrm>
          <a:off x="2409825" y="12954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19</xdr:row>
      <xdr:rowOff>0</xdr:rowOff>
    </xdr:from>
    <xdr:to>
      <xdr:col>3</xdr:col>
      <xdr:colOff>247650</xdr:colOff>
      <xdr:row>19</xdr:row>
      <xdr:rowOff>95250</xdr:rowOff>
    </xdr:to>
    <xdr:sp macro="" textlink="">
      <xdr:nvSpPr>
        <xdr:cNvPr id="10" name="Multiplicar 9"/>
        <xdr:cNvSpPr/>
      </xdr:nvSpPr>
      <xdr:spPr>
        <a:xfrm>
          <a:off x="2409825" y="14573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876299</xdr:colOff>
      <xdr:row>20</xdr:row>
      <xdr:rowOff>0</xdr:rowOff>
    </xdr:from>
    <xdr:to>
      <xdr:col>3</xdr:col>
      <xdr:colOff>257174</xdr:colOff>
      <xdr:row>20</xdr:row>
      <xdr:rowOff>142875</xdr:rowOff>
    </xdr:to>
    <xdr:sp macro="" textlink="">
      <xdr:nvSpPr>
        <xdr:cNvPr id="11" name="Multiplicar 10"/>
        <xdr:cNvSpPr/>
      </xdr:nvSpPr>
      <xdr:spPr>
        <a:xfrm>
          <a:off x="2409824" y="3238500"/>
          <a:ext cx="257175" cy="142875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34</xdr:row>
      <xdr:rowOff>19050</xdr:rowOff>
    </xdr:from>
    <xdr:to>
      <xdr:col>3</xdr:col>
      <xdr:colOff>247650</xdr:colOff>
      <xdr:row>34</xdr:row>
      <xdr:rowOff>114300</xdr:rowOff>
    </xdr:to>
    <xdr:sp macro="" textlink="">
      <xdr:nvSpPr>
        <xdr:cNvPr id="12" name="Multiplicar 11"/>
        <xdr:cNvSpPr/>
      </xdr:nvSpPr>
      <xdr:spPr>
        <a:xfrm>
          <a:off x="2409825" y="18002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35</xdr:row>
      <xdr:rowOff>0</xdr:rowOff>
    </xdr:from>
    <xdr:to>
      <xdr:col>3</xdr:col>
      <xdr:colOff>247650</xdr:colOff>
      <xdr:row>35</xdr:row>
      <xdr:rowOff>95250</xdr:rowOff>
    </xdr:to>
    <xdr:sp macro="" textlink="">
      <xdr:nvSpPr>
        <xdr:cNvPr id="13" name="Multiplicar 12"/>
        <xdr:cNvSpPr/>
      </xdr:nvSpPr>
      <xdr:spPr>
        <a:xfrm>
          <a:off x="2409825" y="19431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36</xdr:row>
      <xdr:rowOff>0</xdr:rowOff>
    </xdr:from>
    <xdr:to>
      <xdr:col>3</xdr:col>
      <xdr:colOff>247650</xdr:colOff>
      <xdr:row>36</xdr:row>
      <xdr:rowOff>95250</xdr:rowOff>
    </xdr:to>
    <xdr:sp macro="" textlink="">
      <xdr:nvSpPr>
        <xdr:cNvPr id="14" name="Multiplicar 13"/>
        <xdr:cNvSpPr/>
      </xdr:nvSpPr>
      <xdr:spPr>
        <a:xfrm>
          <a:off x="2409825" y="21050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37</xdr:row>
      <xdr:rowOff>0</xdr:rowOff>
    </xdr:from>
    <xdr:to>
      <xdr:col>3</xdr:col>
      <xdr:colOff>247650</xdr:colOff>
      <xdr:row>37</xdr:row>
      <xdr:rowOff>95250</xdr:rowOff>
    </xdr:to>
    <xdr:sp macro="" textlink="">
      <xdr:nvSpPr>
        <xdr:cNvPr id="15" name="Multiplicar 14"/>
        <xdr:cNvSpPr/>
      </xdr:nvSpPr>
      <xdr:spPr>
        <a:xfrm>
          <a:off x="2409825" y="226695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38</xdr:row>
      <xdr:rowOff>0</xdr:rowOff>
    </xdr:from>
    <xdr:to>
      <xdr:col>3</xdr:col>
      <xdr:colOff>247650</xdr:colOff>
      <xdr:row>38</xdr:row>
      <xdr:rowOff>95250</xdr:rowOff>
    </xdr:to>
    <xdr:sp macro="" textlink="">
      <xdr:nvSpPr>
        <xdr:cNvPr id="16" name="Multiplicar 15"/>
        <xdr:cNvSpPr/>
      </xdr:nvSpPr>
      <xdr:spPr>
        <a:xfrm>
          <a:off x="2409825" y="242887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39</xdr:row>
      <xdr:rowOff>0</xdr:rowOff>
    </xdr:from>
    <xdr:to>
      <xdr:col>3</xdr:col>
      <xdr:colOff>247650</xdr:colOff>
      <xdr:row>39</xdr:row>
      <xdr:rowOff>95250</xdr:rowOff>
    </xdr:to>
    <xdr:sp macro="" textlink="">
      <xdr:nvSpPr>
        <xdr:cNvPr id="17" name="Multiplicar 16"/>
        <xdr:cNvSpPr/>
      </xdr:nvSpPr>
      <xdr:spPr>
        <a:xfrm>
          <a:off x="2409825" y="25908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40</xdr:row>
      <xdr:rowOff>0</xdr:rowOff>
    </xdr:from>
    <xdr:to>
      <xdr:col>3</xdr:col>
      <xdr:colOff>247650</xdr:colOff>
      <xdr:row>40</xdr:row>
      <xdr:rowOff>95250</xdr:rowOff>
    </xdr:to>
    <xdr:sp macro="" textlink="">
      <xdr:nvSpPr>
        <xdr:cNvPr id="18" name="Multiplicar 17"/>
        <xdr:cNvSpPr/>
      </xdr:nvSpPr>
      <xdr:spPr>
        <a:xfrm>
          <a:off x="2409825" y="27527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41</xdr:row>
      <xdr:rowOff>0</xdr:rowOff>
    </xdr:from>
    <xdr:to>
      <xdr:col>3</xdr:col>
      <xdr:colOff>247650</xdr:colOff>
      <xdr:row>44</xdr:row>
      <xdr:rowOff>95250</xdr:rowOff>
    </xdr:to>
    <xdr:sp macro="" textlink="">
      <xdr:nvSpPr>
        <xdr:cNvPr id="20" name="Multiplicar 19"/>
        <xdr:cNvSpPr/>
      </xdr:nvSpPr>
      <xdr:spPr>
        <a:xfrm>
          <a:off x="2409825" y="291465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45</xdr:row>
      <xdr:rowOff>0</xdr:rowOff>
    </xdr:from>
    <xdr:to>
      <xdr:col>3</xdr:col>
      <xdr:colOff>247650</xdr:colOff>
      <xdr:row>45</xdr:row>
      <xdr:rowOff>95250</xdr:rowOff>
    </xdr:to>
    <xdr:sp macro="" textlink="">
      <xdr:nvSpPr>
        <xdr:cNvPr id="21" name="Multiplicar 20"/>
        <xdr:cNvSpPr/>
      </xdr:nvSpPr>
      <xdr:spPr>
        <a:xfrm>
          <a:off x="2409825" y="307657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46</xdr:row>
      <xdr:rowOff>0</xdr:rowOff>
    </xdr:from>
    <xdr:to>
      <xdr:col>3</xdr:col>
      <xdr:colOff>247650</xdr:colOff>
      <xdr:row>46</xdr:row>
      <xdr:rowOff>95250</xdr:rowOff>
    </xdr:to>
    <xdr:sp macro="" textlink="">
      <xdr:nvSpPr>
        <xdr:cNvPr id="22" name="Multiplicar 21"/>
        <xdr:cNvSpPr/>
      </xdr:nvSpPr>
      <xdr:spPr>
        <a:xfrm>
          <a:off x="2409825" y="32385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47</xdr:row>
      <xdr:rowOff>0</xdr:rowOff>
    </xdr:from>
    <xdr:to>
      <xdr:col>3</xdr:col>
      <xdr:colOff>247650</xdr:colOff>
      <xdr:row>47</xdr:row>
      <xdr:rowOff>95250</xdr:rowOff>
    </xdr:to>
    <xdr:sp macro="" textlink="">
      <xdr:nvSpPr>
        <xdr:cNvPr id="23" name="Multiplicar 22"/>
        <xdr:cNvSpPr/>
      </xdr:nvSpPr>
      <xdr:spPr>
        <a:xfrm>
          <a:off x="2409825" y="342900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48</xdr:row>
      <xdr:rowOff>0</xdr:rowOff>
    </xdr:from>
    <xdr:to>
      <xdr:col>3</xdr:col>
      <xdr:colOff>247650</xdr:colOff>
      <xdr:row>50</xdr:row>
      <xdr:rowOff>95250</xdr:rowOff>
    </xdr:to>
    <xdr:sp macro="" textlink="">
      <xdr:nvSpPr>
        <xdr:cNvPr id="24" name="Multiplicar 23"/>
        <xdr:cNvSpPr/>
      </xdr:nvSpPr>
      <xdr:spPr>
        <a:xfrm>
          <a:off x="2409825" y="3590925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3</xdr:col>
      <xdr:colOff>0</xdr:colOff>
      <xdr:row>51</xdr:row>
      <xdr:rowOff>0</xdr:rowOff>
    </xdr:from>
    <xdr:to>
      <xdr:col>3</xdr:col>
      <xdr:colOff>247650</xdr:colOff>
      <xdr:row>54</xdr:row>
      <xdr:rowOff>95250</xdr:rowOff>
    </xdr:to>
    <xdr:sp macro="" textlink="">
      <xdr:nvSpPr>
        <xdr:cNvPr id="25" name="Multiplicar 24"/>
        <xdr:cNvSpPr/>
      </xdr:nvSpPr>
      <xdr:spPr>
        <a:xfrm>
          <a:off x="2409825" y="375285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  <xdr:twoCellAnchor>
    <xdr:from>
      <xdr:col>2</xdr:col>
      <xdr:colOff>866775</xdr:colOff>
      <xdr:row>65</xdr:row>
      <xdr:rowOff>28575</xdr:rowOff>
    </xdr:from>
    <xdr:to>
      <xdr:col>3</xdr:col>
      <xdr:colOff>238125</xdr:colOff>
      <xdr:row>65</xdr:row>
      <xdr:rowOff>123825</xdr:rowOff>
    </xdr:to>
    <xdr:sp macro="" textlink="">
      <xdr:nvSpPr>
        <xdr:cNvPr id="26" name="Multiplicar 25"/>
        <xdr:cNvSpPr/>
      </xdr:nvSpPr>
      <xdr:spPr>
        <a:xfrm>
          <a:off x="2400300" y="3943350"/>
          <a:ext cx="247650" cy="95250"/>
        </a:xfrm>
        <a:prstGeom prst="mathMultiply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MX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6" filterMode="1"/>
  <dimension ref="A1:AE167"/>
  <sheetViews>
    <sheetView workbookViewId="0">
      <pane xSplit="7" ySplit="1" topLeftCell="W75" activePane="bottomRight" state="frozen"/>
      <selection activeCell="E168" sqref="E168"/>
      <selection pane="topRight" activeCell="E168" sqref="E168"/>
      <selection pane="bottomLeft" activeCell="E168" sqref="E168"/>
      <selection pane="bottomRight" activeCell="AE1" sqref="AE1"/>
    </sheetView>
  </sheetViews>
  <sheetFormatPr baseColWidth="10" defaultRowHeight="12.75" x14ac:dyDescent="0.2"/>
  <cols>
    <col min="1" max="1" width="17.28515625" style="3" bestFit="1" customWidth="1"/>
    <col min="2" max="2" width="30" style="3" bestFit="1" customWidth="1"/>
    <col min="3" max="3" width="25.140625" style="3" customWidth="1"/>
    <col min="4" max="4" width="7.28515625" style="3" customWidth="1"/>
    <col min="5" max="6" width="11" style="3" customWidth="1"/>
    <col min="7" max="7" width="17.140625" style="3" bestFit="1" customWidth="1"/>
    <col min="8" max="8" width="12.140625" style="3" customWidth="1"/>
    <col min="9" max="9" width="8.5703125" style="3" customWidth="1"/>
    <col min="10" max="10" width="9.28515625" style="3" customWidth="1"/>
    <col min="11" max="11" width="21.42578125" style="5" customWidth="1"/>
    <col min="12" max="12" width="14.140625" style="3" customWidth="1"/>
    <col min="13" max="13" width="14.85546875" style="3" customWidth="1"/>
    <col min="14" max="14" width="21.5703125" style="3" customWidth="1"/>
    <col min="15" max="15" width="34.140625" style="3" bestFit="1" customWidth="1"/>
    <col min="16" max="16" width="30" style="3" customWidth="1"/>
    <col min="17" max="17" width="40" style="3" customWidth="1"/>
    <col min="18" max="18" width="7.5703125" style="3" customWidth="1"/>
    <col min="19" max="19" width="11.42578125" style="3" customWidth="1"/>
    <col min="20" max="20" width="8.85546875" style="3" customWidth="1"/>
    <col min="21" max="23" width="11.42578125" style="3" customWidth="1"/>
    <col min="24" max="24" width="12.7109375" style="3" customWidth="1"/>
    <col min="25" max="28" width="11.42578125" style="3" customWidth="1"/>
    <col min="29" max="29" width="20.140625" style="3" bestFit="1" customWidth="1"/>
    <col min="30" max="30" width="19.42578125" style="3" bestFit="1" customWidth="1"/>
    <col min="31" max="31" width="14.140625" style="3" customWidth="1"/>
    <col min="32" max="16384" width="11.42578125" style="3"/>
  </cols>
  <sheetData>
    <row r="1" spans="1:31" ht="13.5" customHeight="1" x14ac:dyDescent="0.2">
      <c r="A1" s="4" t="str">
        <f>E1</f>
        <v>NúmeroMatrícula</v>
      </c>
      <c r="B1" s="3" t="str">
        <f t="shared" ref="B1:B32" si="0">P1</f>
        <v>NúmeroInventario</v>
      </c>
      <c r="C1" s="3" t="str">
        <f t="shared" ref="C1:C32" si="1">K1</f>
        <v>NúmeroSerie</v>
      </c>
      <c r="D1" s="1" t="s">
        <v>423</v>
      </c>
      <c r="E1" s="1" t="s">
        <v>424</v>
      </c>
      <c r="F1" s="1" t="s">
        <v>601</v>
      </c>
      <c r="G1" s="1" t="s">
        <v>457</v>
      </c>
      <c r="H1" s="1" t="s">
        <v>458</v>
      </c>
      <c r="I1" s="1" t="s">
        <v>686</v>
      </c>
      <c r="J1" s="1" t="s">
        <v>0</v>
      </c>
      <c r="K1" s="5" t="s">
        <v>461</v>
      </c>
      <c r="L1" s="2" t="s">
        <v>462</v>
      </c>
      <c r="M1" s="1" t="s">
        <v>1</v>
      </c>
      <c r="N1" s="1" t="s">
        <v>463</v>
      </c>
      <c r="O1" s="1" t="s">
        <v>2</v>
      </c>
      <c r="P1" s="1" t="s">
        <v>464</v>
      </c>
      <c r="Q1" s="3" t="s">
        <v>465</v>
      </c>
      <c r="R1" s="3" t="s">
        <v>616</v>
      </c>
      <c r="S1" s="3" t="s">
        <v>602</v>
      </c>
      <c r="T1" s="3" t="s">
        <v>617</v>
      </c>
      <c r="U1" s="3" t="s">
        <v>603</v>
      </c>
      <c r="V1" s="3" t="s">
        <v>605</v>
      </c>
      <c r="W1" s="3" t="s">
        <v>770</v>
      </c>
      <c r="X1" s="3" t="s">
        <v>798</v>
      </c>
      <c r="Y1" s="3" t="s">
        <v>814</v>
      </c>
      <c r="Z1" s="1" t="s">
        <v>463</v>
      </c>
      <c r="AA1" s="1" t="s">
        <v>463</v>
      </c>
      <c r="AB1" s="3" t="s">
        <v>770</v>
      </c>
      <c r="AC1" s="71" t="s">
        <v>830</v>
      </c>
      <c r="AD1" s="71" t="s">
        <v>831</v>
      </c>
      <c r="AE1" s="2" t="s">
        <v>956</v>
      </c>
    </row>
    <row r="2" spans="1:31" ht="14.25" hidden="1" customHeight="1" x14ac:dyDescent="0.25">
      <c r="A2" s="4" t="str">
        <f>E2</f>
        <v>JDD1989</v>
      </c>
      <c r="B2" s="3" t="str">
        <f t="shared" si="0"/>
        <v>IEEAJ-09036-1203-01</v>
      </c>
      <c r="C2" s="3" t="str">
        <f t="shared" si="1"/>
        <v>1GNFG15T641133156</v>
      </c>
      <c r="D2" s="3">
        <v>1</v>
      </c>
      <c r="E2" s="3" t="s">
        <v>408</v>
      </c>
      <c r="F2" s="4">
        <f t="shared" ref="F2:F33" si="2">VALUE(RIGHT(E2))</f>
        <v>9</v>
      </c>
      <c r="G2" s="4" t="s">
        <v>425</v>
      </c>
      <c r="H2" s="3" t="s">
        <v>240</v>
      </c>
      <c r="I2" s="3" t="s">
        <v>682</v>
      </c>
      <c r="J2" s="3">
        <v>2004</v>
      </c>
      <c r="K2" s="5" t="s">
        <v>3</v>
      </c>
      <c r="L2" s="4" t="s">
        <v>4</v>
      </c>
      <c r="M2" s="3" t="s">
        <v>5</v>
      </c>
      <c r="N2" s="4" t="s">
        <v>485</v>
      </c>
      <c r="O2" s="4" t="s">
        <v>851</v>
      </c>
      <c r="P2" s="3" t="s">
        <v>6</v>
      </c>
      <c r="Q2" s="3" t="s">
        <v>620</v>
      </c>
      <c r="R2" s="3" t="e">
        <f ca="1">IF(OR(CELL("contenido",O2)="Baja",CELL("contenido",J2)&gt;2015,CELL("contenido",F2)="N/A"),"N/A",VLOOKUP(F2,#REF!,2,FALSE))</f>
        <v>#REF!</v>
      </c>
      <c r="S2" s="3" t="e">
        <f ca="1">IF(OR(CELL("contenido",O2)="Baja",CELL("contenido",J2)&gt;2015,CELL("contenido",F2)="N/A"),"N/A",VLOOKUP(F2,#REF!,2,FALSE))</f>
        <v>#REF!</v>
      </c>
      <c r="T2" s="3" t="e">
        <f ca="1">IF(OR(CELL("contenido",O2)="Baja",CELL("contenido",J2)&gt;2015,CELL("contenido",F2)="N/A"),"N/A",VLOOKUP(F2,#REF!,2,FALSE))</f>
        <v>#REF!</v>
      </c>
      <c r="U2" s="3" t="e">
        <f ca="1">IF(OR(CELL("contenido",O2)="Baja",CELL("contenido",J2)&gt;2015,CELL("contenido",F2)="N/A"),"N/A",VLOOKUP(F2,#REF!,2,FALSE))</f>
        <v>#REF!</v>
      </c>
      <c r="V2" s="3" t="str">
        <f ca="1">IF(CELL("contenido",O2)&lt;&gt;"Baja","Activo",O2)</f>
        <v>Activo</v>
      </c>
      <c r="W2" s="3" t="str">
        <f t="shared" ref="W2:W33" si="3">VLOOKUP(N2,$AA$2:$AB$33,2,FALSE)</f>
        <v>Zona Metropolitana de Guadalajara</v>
      </c>
      <c r="X2" s="3" t="b">
        <f>C2=VLOOKUP($C2,PólizaEstatal!$H$2:$H$82,1,FALSE)</f>
        <v>1</v>
      </c>
      <c r="Y2" s="3" t="str">
        <f t="shared" ref="Y2:Y33" si="4">CONCATENATE(TRIM(C2)," ",TRIM(E2))</f>
        <v>1GNFG15T641133156 JDD1989</v>
      </c>
      <c r="AA2" s="4" t="s">
        <v>485</v>
      </c>
      <c r="AB2" s="3" t="s">
        <v>771</v>
      </c>
      <c r="AC2" s="11" t="str">
        <f>VLOOKUP($E2,'ResguardosXDir-CZ'!$C$2:$G$123,5,FALSE)</f>
        <v>SGYRM</v>
      </c>
      <c r="AD2" s="11" t="str">
        <f>VLOOKUP($E2,'ResguardosXDir-CZ'!$C$2:$G$123,4,FALSE)</f>
        <v>David Josafat López Polanco</v>
      </c>
      <c r="AE2" s="4">
        <v>8</v>
      </c>
    </row>
    <row r="3" spans="1:31" s="5" customFormat="1" ht="14.25" hidden="1" customHeight="1" x14ac:dyDescent="0.2">
      <c r="A3" s="4" t="str">
        <f t="shared" ref="A3:A66" si="5">E3</f>
        <v>JM11607</v>
      </c>
      <c r="B3" s="5" t="str">
        <f t="shared" si="0"/>
        <v>I-480800032-00003-95</v>
      </c>
      <c r="C3" s="3" t="str">
        <f t="shared" si="1"/>
        <v>3GCJC44K2SM127055</v>
      </c>
      <c r="D3" s="5">
        <v>2</v>
      </c>
      <c r="E3" s="5" t="s">
        <v>597</v>
      </c>
      <c r="F3" s="4">
        <f t="shared" si="2"/>
        <v>7</v>
      </c>
      <c r="G3" s="5" t="s">
        <v>438</v>
      </c>
      <c r="H3" s="3" t="s">
        <v>454</v>
      </c>
      <c r="I3" s="3" t="s">
        <v>681</v>
      </c>
      <c r="J3" s="5">
        <v>1995</v>
      </c>
      <c r="K3" s="5" t="s">
        <v>7</v>
      </c>
      <c r="L3" s="5" t="s">
        <v>8</v>
      </c>
      <c r="M3" s="5" t="s">
        <v>9</v>
      </c>
      <c r="N3" s="5" t="s">
        <v>614</v>
      </c>
      <c r="O3" s="5" t="s">
        <v>487</v>
      </c>
      <c r="P3" s="5" t="s">
        <v>10</v>
      </c>
      <c r="Q3" s="5" t="s">
        <v>410</v>
      </c>
      <c r="R3" s="3" t="str">
        <f ca="1">IF(OR(CELL("contenido",O3)="Baja",CELL("contenido",J3)&gt;2015,CELL("contenido",F3)="N/A"),"N/A",VLOOKUP(F3,#REF!,2,FALSE))</f>
        <v>N/A</v>
      </c>
      <c r="S3" s="3" t="str">
        <f ca="1">IF(OR(CELL("contenido",O3)="Baja",CELL("contenido",J3)&gt;2015,CELL("contenido",F3)="N/A"),"N/A",VLOOKUP(F3,#REF!,2,FALSE))</f>
        <v>N/A</v>
      </c>
      <c r="T3" s="3" t="str">
        <f ca="1">IF(OR(CELL("contenido",O3)="Baja",CELL("contenido",J3)&gt;2015,CELL("contenido",F3)="N/A"),"N/A",VLOOKUP(F3,#REF!,2,FALSE))</f>
        <v>N/A</v>
      </c>
      <c r="U3" s="3" t="str">
        <f ca="1">IF(OR(CELL("contenido",O3)="Baja",CELL("contenido",J3)&gt;2015,CELL("contenido",F3)="N/A"),"N/A",VLOOKUP(F3,#REF!,2,FALSE))</f>
        <v>N/A</v>
      </c>
      <c r="V3" s="3" t="str">
        <f t="shared" ref="V3:V65" ca="1" si="6">IF(CELL("contenido",O3)&lt;&gt;"Baja","Activo",O3)</f>
        <v>Baja</v>
      </c>
      <c r="W3" s="3" t="str">
        <f t="shared" si="3"/>
        <v>Zona Metropolitana de Guadalajara</v>
      </c>
      <c r="X3" s="3" t="e">
        <f>C3=VLOOKUP($C3,PólizaEstatal!$H$2:$H$82,1,FALSE)</f>
        <v>#N/A</v>
      </c>
      <c r="Y3" s="3" t="str">
        <f t="shared" si="4"/>
        <v>3GCJC44K2SM127055 JM11607</v>
      </c>
      <c r="AA3" s="5" t="s">
        <v>614</v>
      </c>
      <c r="AB3" s="3" t="s">
        <v>771</v>
      </c>
      <c r="AC3" s="71" t="e">
        <f>VLOOKUP($E3,'ResguardosXDir-CZ'!$C$2:$G$123,5,FALSE)</f>
        <v>#N/A</v>
      </c>
      <c r="AD3" s="71" t="e">
        <f>VLOOKUP($E3,'ResguardosXDir-CZ'!$C$2:$G$123,4,FALSE)</f>
        <v>#N/A</v>
      </c>
      <c r="AE3" s="5" t="s">
        <v>957</v>
      </c>
    </row>
    <row r="4" spans="1:31" s="5" customFormat="1" ht="14.25" hidden="1" customHeight="1" x14ac:dyDescent="0.2">
      <c r="A4" s="4" t="str">
        <f t="shared" si="5"/>
        <v>HZR7536</v>
      </c>
      <c r="B4" s="5" t="str">
        <f t="shared" si="0"/>
        <v>I-480800014-00021-99</v>
      </c>
      <c r="C4" s="3" t="str">
        <f t="shared" si="1"/>
        <v>3G1SF2426YS164736</v>
      </c>
      <c r="D4" s="5">
        <v>6</v>
      </c>
      <c r="E4" s="5" t="s">
        <v>559</v>
      </c>
      <c r="F4" s="4">
        <f t="shared" si="2"/>
        <v>6</v>
      </c>
      <c r="G4" s="5" t="s">
        <v>425</v>
      </c>
      <c r="H4" s="3" t="s">
        <v>459</v>
      </c>
      <c r="I4" s="3"/>
      <c r="J4" s="5">
        <v>2000</v>
      </c>
      <c r="K4" s="5" t="s">
        <v>609</v>
      </c>
      <c r="L4" s="5" t="s">
        <v>11</v>
      </c>
      <c r="M4" s="5" t="s">
        <v>9</v>
      </c>
      <c r="N4" s="4" t="s">
        <v>485</v>
      </c>
      <c r="O4" s="5" t="s">
        <v>487</v>
      </c>
      <c r="P4" s="5" t="s">
        <v>12</v>
      </c>
      <c r="Q4" s="5" t="s">
        <v>411</v>
      </c>
      <c r="R4" s="3" t="str">
        <f ca="1">IF(OR(CELL("contenido",O4)="Baja",CELL("contenido",J4)&gt;2015,CELL("contenido",F4)="N/A"),"N/A",VLOOKUP(F4,#REF!,2,FALSE))</f>
        <v>N/A</v>
      </c>
      <c r="S4" s="3" t="str">
        <f ca="1">IF(OR(CELL("contenido",O4)="Baja",CELL("contenido",J4)&gt;2015,CELL("contenido",F4)="N/A"),"N/A",VLOOKUP(F4,#REF!,2,FALSE))</f>
        <v>N/A</v>
      </c>
      <c r="T4" s="3" t="str">
        <f ca="1">IF(OR(CELL("contenido",O4)="Baja",CELL("contenido",J4)&gt;2015,CELL("contenido",F4)="N/A"),"N/A",VLOOKUP(F4,#REF!,2,FALSE))</f>
        <v>N/A</v>
      </c>
      <c r="U4" s="3" t="str">
        <f ca="1">IF(OR(CELL("contenido",O4)="Baja",CELL("contenido",J4)&gt;2015,CELL("contenido",F4)="N/A"),"N/A",VLOOKUP(F4,#REF!,2,FALSE))</f>
        <v>N/A</v>
      </c>
      <c r="V4" s="3" t="str">
        <f t="shared" ca="1" si="6"/>
        <v>Baja</v>
      </c>
      <c r="W4" s="3" t="str">
        <f t="shared" si="3"/>
        <v>Zona Metropolitana de Guadalajara</v>
      </c>
      <c r="X4" s="3" t="e">
        <f>C4=VLOOKUP($C4,PólizaEstatal!$H$2:$H$82,1,FALSE)</f>
        <v>#N/A</v>
      </c>
      <c r="Y4" s="3" t="str">
        <f t="shared" si="4"/>
        <v>3G1SF2426YS164736 HZR7536</v>
      </c>
      <c r="AA4" s="4" t="s">
        <v>477</v>
      </c>
      <c r="AB4" s="5" t="str">
        <f>RIGHT(AA4,LEN(AA4)-6)</f>
        <v>Ciudad Guzmán</v>
      </c>
      <c r="AC4" s="71" t="e">
        <f>VLOOKUP($E4,'ResguardosXDir-CZ'!$C$2:$G$123,5,FALSE)</f>
        <v>#N/A</v>
      </c>
      <c r="AD4" s="71" t="e">
        <f>VLOOKUP($E4,'ResguardosXDir-CZ'!$C$2:$G$123,4,FALSE)</f>
        <v>#N/A</v>
      </c>
      <c r="AE4" s="5" t="s">
        <v>957</v>
      </c>
    </row>
    <row r="5" spans="1:31" s="5" customFormat="1" ht="14.25" hidden="1" customHeight="1" x14ac:dyDescent="0.2">
      <c r="A5" s="4" t="str">
        <f t="shared" si="5"/>
        <v>JM11608</v>
      </c>
      <c r="B5" s="5" t="str">
        <f t="shared" si="0"/>
        <v>I-480800072-00009-97</v>
      </c>
      <c r="C5" s="3" t="str">
        <f t="shared" si="1"/>
        <v>3FEKF37HSMA01075</v>
      </c>
      <c r="D5" s="5">
        <v>8</v>
      </c>
      <c r="E5" s="5" t="s">
        <v>553</v>
      </c>
      <c r="F5" s="4">
        <f t="shared" si="2"/>
        <v>8</v>
      </c>
      <c r="G5" s="5" t="s">
        <v>434</v>
      </c>
      <c r="H5" s="3" t="s">
        <v>453</v>
      </c>
      <c r="I5" s="3" t="s">
        <v>681</v>
      </c>
      <c r="J5" s="5">
        <v>1995</v>
      </c>
      <c r="K5" s="5" t="s">
        <v>13</v>
      </c>
      <c r="L5" s="5" t="s">
        <v>14</v>
      </c>
      <c r="M5" s="5" t="s">
        <v>9</v>
      </c>
      <c r="N5" s="5" t="s">
        <v>614</v>
      </c>
      <c r="O5" s="5" t="s">
        <v>487</v>
      </c>
      <c r="P5" s="5" t="s">
        <v>15</v>
      </c>
      <c r="Q5" s="5" t="s">
        <v>412</v>
      </c>
      <c r="R5" s="3" t="str">
        <f ca="1">IF(OR(CELL("contenido",O5)="Baja",CELL("contenido",J5)&gt;2015,CELL("contenido",F5)="N/A"),"N/A",VLOOKUP(F5,#REF!,2,FALSE))</f>
        <v>N/A</v>
      </c>
      <c r="S5" s="3" t="str">
        <f ca="1">IF(OR(CELL("contenido",O5)="Baja",CELL("contenido",J5)&gt;2015,CELL("contenido",F5)="N/A"),"N/A",VLOOKUP(F5,#REF!,2,FALSE))</f>
        <v>N/A</v>
      </c>
      <c r="T5" s="3" t="str">
        <f ca="1">IF(OR(CELL("contenido",O5)="Baja",CELL("contenido",J5)&gt;2015,CELL("contenido",F5)="N/A"),"N/A",VLOOKUP(F5,#REF!,2,FALSE))</f>
        <v>N/A</v>
      </c>
      <c r="U5" s="3" t="str">
        <f ca="1">IF(OR(CELL("contenido",O5)="Baja",CELL("contenido",J5)&gt;2015,CELL("contenido",F5)="N/A"),"N/A",VLOOKUP(F5,#REF!,2,FALSE))</f>
        <v>N/A</v>
      </c>
      <c r="V5" s="3" t="str">
        <f t="shared" ca="1" si="6"/>
        <v>Baja</v>
      </c>
      <c r="W5" s="3" t="str">
        <f t="shared" si="3"/>
        <v>Zona Metropolitana de Guadalajara</v>
      </c>
      <c r="X5" s="3" t="e">
        <f>C5=VLOOKUP($C5,PólizaEstatal!$H$2:$H$82,1,FALSE)</f>
        <v>#N/A</v>
      </c>
      <c r="Y5" s="3" t="str">
        <f t="shared" si="4"/>
        <v>3FEKF37HSMA01075 JM11608</v>
      </c>
      <c r="AA5" s="5" t="s">
        <v>469</v>
      </c>
      <c r="AB5" s="5" t="str">
        <f t="shared" ref="AB5:AB15" si="7">RIGHT(AA5,LEN(AA5)-6)</f>
        <v>Ameca</v>
      </c>
      <c r="AC5" s="71" t="e">
        <f>VLOOKUP($E5,'ResguardosXDir-CZ'!$C$2:$G$123,5,FALSE)</f>
        <v>#N/A</v>
      </c>
      <c r="AD5" s="71" t="e">
        <f>VLOOKUP($E5,'ResguardosXDir-CZ'!$C$2:$G$123,4,FALSE)</f>
        <v>#N/A</v>
      </c>
      <c r="AE5" s="5" t="s">
        <v>957</v>
      </c>
    </row>
    <row r="6" spans="1:31" s="5" customFormat="1" ht="14.25" hidden="1" customHeight="1" x14ac:dyDescent="0.2">
      <c r="A6" s="4" t="str">
        <f t="shared" si="5"/>
        <v>JF46016</v>
      </c>
      <c r="B6" s="5" t="str">
        <f t="shared" si="0"/>
        <v>I-480800052-00004-00</v>
      </c>
      <c r="C6" s="3" t="str">
        <f t="shared" si="1"/>
        <v>3FTDF1728YMA65233</v>
      </c>
      <c r="D6" s="5">
        <v>9</v>
      </c>
      <c r="E6" s="5" t="s">
        <v>569</v>
      </c>
      <c r="F6" s="4">
        <f t="shared" si="2"/>
        <v>6</v>
      </c>
      <c r="G6" s="5" t="s">
        <v>434</v>
      </c>
      <c r="H6" s="3" t="s">
        <v>450</v>
      </c>
      <c r="I6" s="3" t="s">
        <v>681</v>
      </c>
      <c r="J6" s="5">
        <v>2000</v>
      </c>
      <c r="K6" s="5" t="s">
        <v>16</v>
      </c>
      <c r="L6" s="5" t="s">
        <v>4</v>
      </c>
      <c r="M6" s="5" t="s">
        <v>9</v>
      </c>
      <c r="N6" s="4" t="s">
        <v>485</v>
      </c>
      <c r="O6" s="5" t="s">
        <v>487</v>
      </c>
      <c r="P6" s="5" t="s">
        <v>18</v>
      </c>
      <c r="Q6" s="5" t="s">
        <v>413</v>
      </c>
      <c r="R6" s="3" t="str">
        <f ca="1">IF(OR(CELL("contenido",O6)="Baja",CELL("contenido",J6)&gt;2015,CELL("contenido",F6)="N/A"),"N/A",VLOOKUP(F6,#REF!,2,FALSE))</f>
        <v>N/A</v>
      </c>
      <c r="S6" s="3" t="str">
        <f ca="1">IF(OR(CELL("contenido",O6)="Baja",CELL("contenido",J6)&gt;2015,CELL("contenido",F6)="N/A"),"N/A",VLOOKUP(F6,#REF!,2,FALSE))</f>
        <v>N/A</v>
      </c>
      <c r="T6" s="3" t="str">
        <f ca="1">IF(OR(CELL("contenido",O6)="Baja",CELL("contenido",J6)&gt;2015,CELL("contenido",F6)="N/A"),"N/A",VLOOKUP(F6,#REF!,2,FALSE))</f>
        <v>N/A</v>
      </c>
      <c r="U6" s="3" t="str">
        <f ca="1">IF(OR(CELL("contenido",O6)="Baja",CELL("contenido",J6)&gt;2015,CELL("contenido",F6)="N/A"),"N/A",VLOOKUP(F6,#REF!,2,FALSE))</f>
        <v>N/A</v>
      </c>
      <c r="V6" s="3" t="str">
        <f t="shared" ca="1" si="6"/>
        <v>Baja</v>
      </c>
      <c r="W6" s="3" t="str">
        <f t="shared" si="3"/>
        <v>Zona Metropolitana de Guadalajara</v>
      </c>
      <c r="X6" s="3" t="e">
        <f>C6=VLOOKUP($C6,PólizaEstatal!$H$2:$H$82,1,FALSE)</f>
        <v>#N/A</v>
      </c>
      <c r="Y6" s="3" t="str">
        <f t="shared" si="4"/>
        <v>3FTDF1728YMA65233 JF46016</v>
      </c>
      <c r="AA6" s="4" t="s">
        <v>471</v>
      </c>
      <c r="AB6" s="3" t="s">
        <v>771</v>
      </c>
      <c r="AC6" s="71" t="e">
        <f>VLOOKUP($E6,'ResguardosXDir-CZ'!$C$2:$G$123,5,FALSE)</f>
        <v>#N/A</v>
      </c>
      <c r="AD6" s="71" t="e">
        <f>VLOOKUP($E6,'ResguardosXDir-CZ'!$C$2:$G$123,4,FALSE)</f>
        <v>#N/A</v>
      </c>
      <c r="AE6" s="5" t="s">
        <v>957</v>
      </c>
    </row>
    <row r="7" spans="1:31" s="5" customFormat="1" ht="14.25" hidden="1" customHeight="1" x14ac:dyDescent="0.2">
      <c r="A7" s="4" t="str">
        <f t="shared" si="5"/>
        <v>JCR3478</v>
      </c>
      <c r="B7" s="5" t="str">
        <f t="shared" si="0"/>
        <v>I-480800016-0002-01</v>
      </c>
      <c r="C7" s="3" t="str">
        <f t="shared" si="1"/>
        <v>3N1EB31S22K386310</v>
      </c>
      <c r="D7" s="5">
        <v>10</v>
      </c>
      <c r="E7" s="5" t="s">
        <v>577</v>
      </c>
      <c r="F7" s="4">
        <f t="shared" si="2"/>
        <v>8</v>
      </c>
      <c r="G7" s="5" t="s">
        <v>426</v>
      </c>
      <c r="H7" s="3" t="s">
        <v>455</v>
      </c>
      <c r="I7" s="3"/>
      <c r="J7" s="5">
        <v>2002</v>
      </c>
      <c r="K7" s="5" t="s">
        <v>19</v>
      </c>
      <c r="L7" s="5" t="s">
        <v>416</v>
      </c>
      <c r="M7" s="5" t="s">
        <v>9</v>
      </c>
      <c r="N7" s="4" t="s">
        <v>485</v>
      </c>
      <c r="O7" s="5" t="s">
        <v>487</v>
      </c>
      <c r="P7" s="5" t="s">
        <v>20</v>
      </c>
      <c r="Q7" s="5" t="s">
        <v>414</v>
      </c>
      <c r="R7" s="3" t="str">
        <f ca="1">IF(OR(CELL("contenido",O7)="Baja",CELL("contenido",J7)&gt;2015,CELL("contenido",F7)="N/A"),"N/A",VLOOKUP(F7,#REF!,2,FALSE))</f>
        <v>N/A</v>
      </c>
      <c r="S7" s="3" t="str">
        <f ca="1">IF(OR(CELL("contenido",O7)="Baja",CELL("contenido",J7)&gt;2015,CELL("contenido",F7)="N/A"),"N/A",VLOOKUP(F7,#REF!,2,FALSE))</f>
        <v>N/A</v>
      </c>
      <c r="T7" s="3" t="str">
        <f ca="1">IF(OR(CELL("contenido",O7)="Baja",CELL("contenido",J7)&gt;2015,CELL("contenido",F7)="N/A"),"N/A",VLOOKUP(F7,#REF!,2,FALSE))</f>
        <v>N/A</v>
      </c>
      <c r="U7" s="3" t="str">
        <f ca="1">IF(OR(CELL("contenido",O7)="Baja",CELL("contenido",J7)&gt;2015,CELL("contenido",F7)="N/A"),"N/A",VLOOKUP(F7,#REF!,2,FALSE))</f>
        <v>N/A</v>
      </c>
      <c r="V7" s="3" t="str">
        <f t="shared" ca="1" si="6"/>
        <v>Baja</v>
      </c>
      <c r="W7" s="3" t="str">
        <f t="shared" si="3"/>
        <v>Zona Metropolitana de Guadalajara</v>
      </c>
      <c r="X7" s="3" t="e">
        <f>C7=VLOOKUP($C7,PólizaEstatal!$H$2:$H$82,1,FALSE)</f>
        <v>#N/A</v>
      </c>
      <c r="Y7" s="3" t="str">
        <f t="shared" si="4"/>
        <v>3N1EB31S22K386310 JCR3478</v>
      </c>
      <c r="AA7" s="4" t="s">
        <v>481</v>
      </c>
      <c r="AB7" s="3" t="s">
        <v>771</v>
      </c>
      <c r="AC7" s="71" t="e">
        <f>VLOOKUP($E7,'ResguardosXDir-CZ'!$C$2:$G$123,5,FALSE)</f>
        <v>#N/A</v>
      </c>
      <c r="AD7" s="71" t="e">
        <f>VLOOKUP($E7,'ResguardosXDir-CZ'!$C$2:$G$123,4,FALSE)</f>
        <v>#N/A</v>
      </c>
      <c r="AE7" s="5" t="s">
        <v>957</v>
      </c>
    </row>
    <row r="8" spans="1:31" ht="14.25" hidden="1" customHeight="1" x14ac:dyDescent="0.2">
      <c r="A8" s="4" t="str">
        <f t="shared" si="5"/>
        <v>JF47319</v>
      </c>
      <c r="B8" s="3" t="str">
        <f t="shared" si="0"/>
        <v>I-480800052-00014-96</v>
      </c>
      <c r="C8" s="3" t="str">
        <f t="shared" si="1"/>
        <v>3N1UCAD21VK00110</v>
      </c>
      <c r="D8" s="3">
        <v>11</v>
      </c>
      <c r="E8" s="3" t="s">
        <v>576</v>
      </c>
      <c r="F8" s="4">
        <f t="shared" si="2"/>
        <v>9</v>
      </c>
      <c r="G8" s="3" t="s">
        <v>426</v>
      </c>
      <c r="H8" s="3" t="s">
        <v>427</v>
      </c>
      <c r="J8" s="3">
        <v>1997</v>
      </c>
      <c r="K8" s="5" t="s">
        <v>21</v>
      </c>
      <c r="L8" s="4" t="s">
        <v>22</v>
      </c>
      <c r="M8" s="3" t="s">
        <v>5</v>
      </c>
      <c r="N8" s="4" t="s">
        <v>485</v>
      </c>
      <c r="O8" s="4" t="s">
        <v>487</v>
      </c>
      <c r="P8" s="3" t="s">
        <v>23</v>
      </c>
      <c r="Q8" s="3" t="s">
        <v>387</v>
      </c>
      <c r="R8" s="3" t="str">
        <f ca="1">IF(OR(CELL("contenido",O8)="Baja",CELL("contenido",J8)&gt;2015,CELL("contenido",F8)="N/A"),"N/A",VLOOKUP(F8,#REF!,2,FALSE))</f>
        <v>N/A</v>
      </c>
      <c r="S8" s="3" t="str">
        <f ca="1">IF(OR(CELL("contenido",O8)="Baja",CELL("contenido",J8)&gt;2015,CELL("contenido",F8)="N/A"),"N/A",VLOOKUP(F8,#REF!,2,FALSE))</f>
        <v>N/A</v>
      </c>
      <c r="T8" s="3" t="str">
        <f ca="1">IF(OR(CELL("contenido",O8)="Baja",CELL("contenido",J8)&gt;2015,CELL("contenido",F8)="N/A"),"N/A",VLOOKUP(F8,#REF!,2,FALSE))</f>
        <v>N/A</v>
      </c>
      <c r="U8" s="3" t="str">
        <f ca="1">IF(OR(CELL("contenido",O8)="Baja",CELL("contenido",J8)&gt;2015,CELL("contenido",F8)="N/A"),"N/A",VLOOKUP(F8,#REF!,2,FALSE))</f>
        <v>N/A</v>
      </c>
      <c r="V8" s="3" t="str">
        <f t="shared" ca="1" si="6"/>
        <v>Baja</v>
      </c>
      <c r="W8" s="3" t="str">
        <f t="shared" si="3"/>
        <v>Zona Metropolitana de Guadalajara</v>
      </c>
      <c r="X8" s="3" t="e">
        <f>C8=VLOOKUP($C8,PólizaEstatal!$H$2:$H$82,1,FALSE)</f>
        <v>#N/A</v>
      </c>
      <c r="Y8" s="3" t="str">
        <f t="shared" si="4"/>
        <v>3N1UCAD21VK00110 JF47319</v>
      </c>
      <c r="AA8" s="4" t="s">
        <v>479</v>
      </c>
      <c r="AB8" s="5" t="str">
        <f t="shared" si="7"/>
        <v>Puerto Vallarta</v>
      </c>
      <c r="AC8" s="71" t="e">
        <f>VLOOKUP($E8,'ResguardosXDir-CZ'!$C$2:$G$123,5,FALSE)</f>
        <v>#N/A</v>
      </c>
      <c r="AD8" s="71" t="e">
        <f>VLOOKUP($E8,'ResguardosXDir-CZ'!$C$2:$G$123,4,FALSE)</f>
        <v>#N/A</v>
      </c>
      <c r="AE8" s="5" t="s">
        <v>957</v>
      </c>
    </row>
    <row r="9" spans="1:31" s="5" customFormat="1" ht="14.25" hidden="1" customHeight="1" x14ac:dyDescent="0.2">
      <c r="A9" s="4" t="str">
        <f t="shared" si="5"/>
        <v>JF46014</v>
      </c>
      <c r="B9" s="5" t="str">
        <f t="shared" si="0"/>
        <v>I-480800052-00018-97</v>
      </c>
      <c r="C9" s="3" t="str">
        <f t="shared" si="1"/>
        <v>3N1UCAD21VK001910</v>
      </c>
      <c r="D9" s="5">
        <v>12</v>
      </c>
      <c r="E9" s="5" t="s">
        <v>504</v>
      </c>
      <c r="F9" s="4">
        <f t="shared" si="2"/>
        <v>4</v>
      </c>
      <c r="G9" s="5" t="s">
        <v>426</v>
      </c>
      <c r="H9" s="3" t="s">
        <v>427</v>
      </c>
      <c r="I9" s="3"/>
      <c r="J9" s="5">
        <v>1997</v>
      </c>
      <c r="K9" s="5" t="s">
        <v>388</v>
      </c>
      <c r="L9" s="5" t="s">
        <v>24</v>
      </c>
      <c r="M9" s="5" t="s">
        <v>9</v>
      </c>
      <c r="N9" s="4" t="s">
        <v>477</v>
      </c>
      <c r="O9" s="5" t="s">
        <v>487</v>
      </c>
      <c r="P9" s="5" t="s">
        <v>25</v>
      </c>
      <c r="Q9" s="5" t="s">
        <v>414</v>
      </c>
      <c r="R9" s="3" t="str">
        <f ca="1">IF(OR(CELL("contenido",O9)="Baja",CELL("contenido",J9)&gt;2015,CELL("contenido",F9)="N/A"),"N/A",VLOOKUP(F9,#REF!,2,FALSE))</f>
        <v>N/A</v>
      </c>
      <c r="S9" s="3" t="str">
        <f ca="1">IF(OR(CELL("contenido",O9)="Baja",CELL("contenido",J9)&gt;2015,CELL("contenido",F9)="N/A"),"N/A",VLOOKUP(F9,#REF!,2,FALSE))</f>
        <v>N/A</v>
      </c>
      <c r="T9" s="3" t="str">
        <f ca="1">IF(OR(CELL("contenido",O9)="Baja",CELL("contenido",J9)&gt;2015,CELL("contenido",F9)="N/A"),"N/A",VLOOKUP(F9,#REF!,2,FALSE))</f>
        <v>N/A</v>
      </c>
      <c r="U9" s="3" t="str">
        <f ca="1">IF(OR(CELL("contenido",O9)="Baja",CELL("contenido",J9)&gt;2015,CELL("contenido",F9)="N/A"),"N/A",VLOOKUP(F9,#REF!,2,FALSE))</f>
        <v>N/A</v>
      </c>
      <c r="V9" s="3" t="str">
        <f t="shared" ca="1" si="6"/>
        <v>Baja</v>
      </c>
      <c r="W9" s="3" t="str">
        <f t="shared" si="3"/>
        <v>Ciudad Guzmán</v>
      </c>
      <c r="X9" s="3" t="e">
        <f>C9=VLOOKUP($C9,PólizaEstatal!$H$2:$H$82,1,FALSE)</f>
        <v>#N/A</v>
      </c>
      <c r="Y9" s="3" t="str">
        <f t="shared" si="4"/>
        <v>3N1UCAD21VK001910 JF46014</v>
      </c>
      <c r="AA9" s="4" t="s">
        <v>467</v>
      </c>
      <c r="AB9" s="5" t="str">
        <f t="shared" si="7"/>
        <v>Grullo</v>
      </c>
      <c r="AC9" s="71" t="e">
        <f>VLOOKUP($E9,'ResguardosXDir-CZ'!$C$2:$G$123,5,FALSE)</f>
        <v>#N/A</v>
      </c>
      <c r="AD9" s="71" t="e">
        <f>VLOOKUP($E9,'ResguardosXDir-CZ'!$C$2:$G$123,4,FALSE)</f>
        <v>#N/A</v>
      </c>
      <c r="AE9" s="5" t="s">
        <v>957</v>
      </c>
    </row>
    <row r="10" spans="1:31" s="5" customFormat="1" ht="14.25" hidden="1" customHeight="1" x14ac:dyDescent="0.2">
      <c r="A10" s="4" t="str">
        <f t="shared" si="5"/>
        <v>JF46252</v>
      </c>
      <c r="B10" s="5" t="str">
        <f t="shared" si="0"/>
        <v>I-480800052-00016-97</v>
      </c>
      <c r="C10" s="3" t="str">
        <f t="shared" si="1"/>
        <v>3N1UCAS21VK001930</v>
      </c>
      <c r="D10" s="5">
        <v>13</v>
      </c>
      <c r="E10" s="5" t="s">
        <v>517</v>
      </c>
      <c r="F10" s="4">
        <f t="shared" si="2"/>
        <v>2</v>
      </c>
      <c r="G10" s="5" t="s">
        <v>426</v>
      </c>
      <c r="H10" s="3" t="s">
        <v>427</v>
      </c>
      <c r="I10" s="3"/>
      <c r="J10" s="5">
        <v>1997</v>
      </c>
      <c r="K10" s="5" t="s">
        <v>389</v>
      </c>
      <c r="L10" s="5" t="s">
        <v>26</v>
      </c>
      <c r="M10" s="5" t="s">
        <v>9</v>
      </c>
      <c r="N10" s="5" t="s">
        <v>469</v>
      </c>
      <c r="O10" s="5" t="s">
        <v>487</v>
      </c>
      <c r="P10" s="5" t="s">
        <v>27</v>
      </c>
      <c r="Q10" s="5" t="s">
        <v>414</v>
      </c>
      <c r="R10" s="3" t="str">
        <f ca="1">IF(OR(CELL("contenido",O10)="Baja",CELL("contenido",J10)&gt;2015,CELL("contenido",F10)="N/A"),"N/A",VLOOKUP(F10,#REF!,2,FALSE))</f>
        <v>N/A</v>
      </c>
      <c r="S10" s="3" t="str">
        <f ca="1">IF(OR(CELL("contenido",O10)="Baja",CELL("contenido",J10)&gt;2015,CELL("contenido",F10)="N/A"),"N/A",VLOOKUP(F10,#REF!,2,FALSE))</f>
        <v>N/A</v>
      </c>
      <c r="T10" s="3" t="str">
        <f ca="1">IF(OR(CELL("contenido",O10)="Baja",CELL("contenido",J10)&gt;2015,CELL("contenido",F10)="N/A"),"N/A",VLOOKUP(F10,#REF!,2,FALSE))</f>
        <v>N/A</v>
      </c>
      <c r="U10" s="3" t="str">
        <f ca="1">IF(OR(CELL("contenido",O10)="Baja",CELL("contenido",J10)&gt;2015,CELL("contenido",F10)="N/A"),"N/A",VLOOKUP(F10,#REF!,2,FALSE))</f>
        <v>N/A</v>
      </c>
      <c r="V10" s="3" t="str">
        <f t="shared" ca="1" si="6"/>
        <v>Baja</v>
      </c>
      <c r="W10" s="3" t="str">
        <f t="shared" si="3"/>
        <v>Ameca</v>
      </c>
      <c r="X10" s="3" t="e">
        <f>C10=VLOOKUP($C10,PólizaEstatal!$H$2:$H$82,1,FALSE)</f>
        <v>#N/A</v>
      </c>
      <c r="Y10" s="3" t="str">
        <f t="shared" si="4"/>
        <v>3N1UCAS21VK001930 JF46252</v>
      </c>
      <c r="AA10" s="4" t="s">
        <v>473</v>
      </c>
      <c r="AB10" s="3" t="s">
        <v>771</v>
      </c>
      <c r="AC10" s="71" t="e">
        <f>VLOOKUP($E10,'ResguardosXDir-CZ'!$C$2:$G$123,5,FALSE)</f>
        <v>#N/A</v>
      </c>
      <c r="AD10" s="71" t="e">
        <f>VLOOKUP($E10,'ResguardosXDir-CZ'!$C$2:$G$123,4,FALSE)</f>
        <v>#N/A</v>
      </c>
      <c r="AE10" s="5" t="s">
        <v>957</v>
      </c>
    </row>
    <row r="11" spans="1:31" ht="14.25" hidden="1" customHeight="1" x14ac:dyDescent="0.2">
      <c r="A11" s="4" t="str">
        <f t="shared" si="5"/>
        <v>JF47318</v>
      </c>
      <c r="B11" s="3" t="str">
        <f t="shared" si="0"/>
        <v>I-480800052-00013-96</v>
      </c>
      <c r="C11" s="3" t="str">
        <f t="shared" si="1"/>
        <v>3N1UCAD21VK00111</v>
      </c>
      <c r="D11" s="3">
        <v>17</v>
      </c>
      <c r="E11" s="3" t="s">
        <v>402</v>
      </c>
      <c r="F11" s="4">
        <f t="shared" si="2"/>
        <v>8</v>
      </c>
      <c r="G11" s="3" t="s">
        <v>426</v>
      </c>
      <c r="H11" s="3" t="s">
        <v>427</v>
      </c>
      <c r="I11" s="3" t="s">
        <v>681</v>
      </c>
      <c r="J11" s="3">
        <v>1997</v>
      </c>
      <c r="K11" s="5" t="s">
        <v>28</v>
      </c>
      <c r="L11" s="4" t="s">
        <v>29</v>
      </c>
      <c r="M11" s="3" t="s">
        <v>5</v>
      </c>
      <c r="N11" s="5" t="s">
        <v>614</v>
      </c>
      <c r="O11" s="5" t="s">
        <v>488</v>
      </c>
      <c r="P11" s="3" t="s">
        <v>30</v>
      </c>
      <c r="R11" s="3" t="e">
        <f ca="1">IF(OR(CELL("contenido",O11)="Baja",CELL("contenido",J11)&gt;2015,CELL("contenido",F11)="N/A"),"N/A",VLOOKUP(F11,#REF!,2,FALSE))</f>
        <v>#REF!</v>
      </c>
      <c r="S11" s="3" t="e">
        <f ca="1">IF(OR(CELL("contenido",O11)="Baja",CELL("contenido",J11)&gt;2015,CELL("contenido",F11)="N/A"),"N/A",VLOOKUP(F11,#REF!,2,FALSE))</f>
        <v>#REF!</v>
      </c>
      <c r="T11" s="3" t="e">
        <f ca="1">IF(OR(CELL("contenido",O11)="Baja",CELL("contenido",J11)&gt;2015,CELL("contenido",F11)="N/A"),"N/A",VLOOKUP(F11,#REF!,2,FALSE))</f>
        <v>#REF!</v>
      </c>
      <c r="U11" s="3" t="e">
        <f ca="1">IF(OR(CELL("contenido",O11)="Baja",CELL("contenido",J11)&gt;2015,CELL("contenido",F11)="N/A"),"N/A",VLOOKUP(F11,#REF!,2,FALSE))</f>
        <v>#REF!</v>
      </c>
      <c r="V11" s="3" t="s">
        <v>720</v>
      </c>
      <c r="W11" s="3" t="str">
        <f t="shared" si="3"/>
        <v>Zona Metropolitana de Guadalajara</v>
      </c>
      <c r="X11" s="3" t="b">
        <f>C11=VLOOKUP($C11,PólizaEstatal!$H$2:$H$82,1,FALSE)</f>
        <v>1</v>
      </c>
      <c r="Y11" s="3" t="str">
        <f t="shared" si="4"/>
        <v>3N1UCAD21VK00111 JF47318</v>
      </c>
      <c r="AA11" s="4" t="s">
        <v>470</v>
      </c>
      <c r="AB11" s="5" t="str">
        <f t="shared" si="7"/>
        <v>Mascota</v>
      </c>
      <c r="AC11" s="71" t="str">
        <f>VLOOKUP($E11,'ResguardosXDir-CZ'!$C$2:$G$123,5,FALSE)</f>
        <v>ALMACEN</v>
      </c>
      <c r="AD11" s="71" t="str">
        <f>VLOOKUP($E11,'ResguardosXDir-CZ'!$C$2:$G$123,4,FALSE)</f>
        <v>Jose Osorio Lomelí</v>
      </c>
      <c r="AE11" s="4" t="s">
        <v>957</v>
      </c>
    </row>
    <row r="12" spans="1:31" ht="14.25" hidden="1" customHeight="1" x14ac:dyDescent="0.2">
      <c r="A12" s="4" t="str">
        <f t="shared" si="5"/>
        <v>JJ88303</v>
      </c>
      <c r="B12" s="3" t="str">
        <f t="shared" si="0"/>
        <v>I-480800052-00148-97</v>
      </c>
      <c r="C12" s="3" t="str">
        <f t="shared" si="1"/>
        <v>3N1CD13S7WK004507</v>
      </c>
      <c r="D12" s="3">
        <v>19</v>
      </c>
      <c r="E12" s="3" t="s">
        <v>534</v>
      </c>
      <c r="F12" s="4">
        <f t="shared" si="2"/>
        <v>3</v>
      </c>
      <c r="G12" s="3" t="s">
        <v>426</v>
      </c>
      <c r="H12" s="3" t="s">
        <v>427</v>
      </c>
      <c r="I12" s="3" t="s">
        <v>712</v>
      </c>
      <c r="J12" s="3">
        <v>1998</v>
      </c>
      <c r="K12" s="5" t="s">
        <v>31</v>
      </c>
      <c r="L12" s="4" t="s">
        <v>32</v>
      </c>
      <c r="M12" s="3" t="s">
        <v>5</v>
      </c>
      <c r="N12" s="4" t="s">
        <v>471</v>
      </c>
      <c r="O12" s="5" t="s">
        <v>490</v>
      </c>
      <c r="P12" s="3" t="s">
        <v>33</v>
      </c>
      <c r="R12" s="3" t="e">
        <f ca="1">IF(OR(CELL("contenido",O12)="Baja",CELL("contenido",J12)&gt;2015,CELL("contenido",F12)="N/A"),"N/A",VLOOKUP(F12,#REF!,2,FALSE))</f>
        <v>#REF!</v>
      </c>
      <c r="S12" s="3" t="e">
        <f ca="1">IF(OR(CELL("contenido",O12)="Baja",CELL("contenido",J12)&gt;2015,CELL("contenido",F12)="N/A"),"N/A",VLOOKUP(F12,#REF!,2,FALSE))</f>
        <v>#REF!</v>
      </c>
      <c r="T12" s="3" t="e">
        <f ca="1">IF(OR(CELL("contenido",O12)="Baja",CELL("contenido",J12)&gt;2015,CELL("contenido",F12)="N/A"),"N/A",VLOOKUP(F12,#REF!,2,FALSE))</f>
        <v>#REF!</v>
      </c>
      <c r="U12" s="3" t="e">
        <f ca="1">IF(OR(CELL("contenido",O12)="Baja",CELL("contenido",J12)&gt;2015,CELL("contenido",F12)="N/A"),"N/A",VLOOKUP(F12,#REF!,2,FALSE))</f>
        <v>#REF!</v>
      </c>
      <c r="V12" s="3" t="s">
        <v>720</v>
      </c>
      <c r="W12" s="3" t="str">
        <f t="shared" si="3"/>
        <v>Zona Metropolitana de Guadalajara</v>
      </c>
      <c r="X12" s="3" t="b">
        <f>C12=VLOOKUP($C12,PólizaEstatal!$H$2:$H$82,1,FALSE)</f>
        <v>1</v>
      </c>
      <c r="Y12" s="3" t="str">
        <f t="shared" si="4"/>
        <v>3N1CD13S7WK004507 JJ88303</v>
      </c>
      <c r="AA12" s="4" t="s">
        <v>478</v>
      </c>
      <c r="AB12" s="5" t="str">
        <f t="shared" si="7"/>
        <v>Autlán</v>
      </c>
      <c r="AC12" s="71" t="str">
        <f>VLOOKUP($E12,'ResguardosXDir-CZ'!$C$2:$G$123,5,FALSE)</f>
        <v>ALMACEN</v>
      </c>
      <c r="AD12" s="71" t="str">
        <f>VLOOKUP($E12,'ResguardosXDir-CZ'!$C$2:$G$123,4,FALSE)</f>
        <v>Jose Osorio Lomelí</v>
      </c>
      <c r="AE12" s="4" t="s">
        <v>957</v>
      </c>
    </row>
    <row r="13" spans="1:31" ht="14.25" hidden="1" customHeight="1" x14ac:dyDescent="0.2">
      <c r="A13" s="4" t="str">
        <f t="shared" si="5"/>
        <v>JE34235</v>
      </c>
      <c r="B13" s="3" t="str">
        <f t="shared" si="0"/>
        <v>I-480800052-00146-97</v>
      </c>
      <c r="C13" s="3" t="str">
        <f t="shared" si="1"/>
        <v>3N1CD13SXWK004601</v>
      </c>
      <c r="D13" s="3">
        <v>20</v>
      </c>
      <c r="E13" s="3" t="s">
        <v>533</v>
      </c>
      <c r="F13" s="4">
        <f t="shared" si="2"/>
        <v>5</v>
      </c>
      <c r="G13" s="3" t="s">
        <v>426</v>
      </c>
      <c r="H13" s="3" t="s">
        <v>427</v>
      </c>
      <c r="I13" s="3" t="s">
        <v>713</v>
      </c>
      <c r="J13" s="3">
        <v>1998</v>
      </c>
      <c r="K13" s="5" t="s">
        <v>34</v>
      </c>
      <c r="L13" s="4" t="s">
        <v>35</v>
      </c>
      <c r="M13" s="3" t="s">
        <v>5</v>
      </c>
      <c r="N13" s="4" t="s">
        <v>471</v>
      </c>
      <c r="O13" s="5" t="s">
        <v>490</v>
      </c>
      <c r="P13" s="3" t="s">
        <v>36</v>
      </c>
      <c r="R13" s="3" t="e">
        <f ca="1">IF(OR(CELL("contenido",O13)="Baja",CELL("contenido",J13)&gt;2015,CELL("contenido",F13)="N/A"),"N/A",VLOOKUP(F13,#REF!,2,FALSE))</f>
        <v>#REF!</v>
      </c>
      <c r="S13" s="3" t="e">
        <f ca="1">IF(OR(CELL("contenido",O13)="Baja",CELL("contenido",J13)&gt;2015,CELL("contenido",F13)="N/A"),"N/A",VLOOKUP(F13,#REF!,2,FALSE))</f>
        <v>#REF!</v>
      </c>
      <c r="T13" s="3" t="e">
        <f ca="1">IF(OR(CELL("contenido",O13)="Baja",CELL("contenido",J13)&gt;2015,CELL("contenido",F13)="N/A"),"N/A",VLOOKUP(F13,#REF!,2,FALSE))</f>
        <v>#REF!</v>
      </c>
      <c r="U13" s="3" t="e">
        <f ca="1">IF(OR(CELL("contenido",O13)="Baja",CELL("contenido",J13)&gt;2015,CELL("contenido",F13)="N/A"),"N/A",VLOOKUP(F13,#REF!,2,FALSE))</f>
        <v>#REF!</v>
      </c>
      <c r="V13" s="3" t="s">
        <v>720</v>
      </c>
      <c r="W13" s="3" t="str">
        <f t="shared" si="3"/>
        <v>Zona Metropolitana de Guadalajara</v>
      </c>
      <c r="X13" s="3" t="b">
        <f>C13=VLOOKUP($C13,PólizaEstatal!$H$2:$H$82,1,FALSE)</f>
        <v>1</v>
      </c>
      <c r="Y13" s="3" t="str">
        <f t="shared" si="4"/>
        <v>3N1CD13SXWK004601 JE34235</v>
      </c>
      <c r="AA13" s="4" t="s">
        <v>475</v>
      </c>
      <c r="AB13" s="5" t="str">
        <f t="shared" si="7"/>
        <v>Lagos de Moreno</v>
      </c>
      <c r="AC13" s="71" t="str">
        <f>VLOOKUP($E13,'ResguardosXDir-CZ'!$C$2:$G$123,5,FALSE)</f>
        <v>ALMACEN</v>
      </c>
      <c r="AD13" s="71" t="str">
        <f>VLOOKUP($E13,'ResguardosXDir-CZ'!$C$2:$G$123,4,FALSE)</f>
        <v>Jose Osorio Lomelí</v>
      </c>
      <c r="AE13" s="4" t="s">
        <v>957</v>
      </c>
    </row>
    <row r="14" spans="1:31" ht="15" hidden="1" customHeight="1" x14ac:dyDescent="0.25">
      <c r="A14" s="4" t="str">
        <f t="shared" si="5"/>
        <v>JR49550</v>
      </c>
      <c r="B14" s="3" t="str">
        <f t="shared" si="0"/>
        <v>I-480800052-00147-97</v>
      </c>
      <c r="C14" s="3" t="str">
        <f t="shared" si="1"/>
        <v>3N1CD13S9WK004637</v>
      </c>
      <c r="D14" s="3">
        <v>21</v>
      </c>
      <c r="E14" s="3" t="s">
        <v>527</v>
      </c>
      <c r="F14" s="4">
        <f t="shared" si="2"/>
        <v>0</v>
      </c>
      <c r="G14" s="3" t="s">
        <v>426</v>
      </c>
      <c r="H14" s="3" t="s">
        <v>427</v>
      </c>
      <c r="I14" s="3" t="s">
        <v>681</v>
      </c>
      <c r="J14" s="3">
        <v>1998</v>
      </c>
      <c r="K14" s="5" t="s">
        <v>37</v>
      </c>
      <c r="L14" s="4" t="s">
        <v>38</v>
      </c>
      <c r="M14" s="3" t="s">
        <v>5</v>
      </c>
      <c r="N14" s="4" t="s">
        <v>481</v>
      </c>
      <c r="O14" s="4" t="s">
        <v>739</v>
      </c>
      <c r="P14" s="3" t="s">
        <v>39</v>
      </c>
      <c r="R14" s="3" t="e">
        <f ca="1">IF(OR(CELL("contenido",O14)="Baja",CELL("contenido",J14)&gt;2015,CELL("contenido",F14)="N/A"),"N/A",VLOOKUP(F14,#REF!,2,FALSE))</f>
        <v>#REF!</v>
      </c>
      <c r="S14" s="3" t="e">
        <f ca="1">IF(OR(CELL("contenido",O14)="Baja",CELL("contenido",J14)&gt;2015,CELL("contenido",F14)="N/A"),"N/A",VLOOKUP(F14,#REF!,2,FALSE))</f>
        <v>#REF!</v>
      </c>
      <c r="T14" s="3" t="e">
        <f ca="1">IF(OR(CELL("contenido",O14)="Baja",CELL("contenido",J14)&gt;2015,CELL("contenido",F14)="N/A"),"N/A",VLOOKUP(F14,#REF!,2,FALSE))</f>
        <v>#REF!</v>
      </c>
      <c r="U14" s="3" t="e">
        <f ca="1">IF(OR(CELL("contenido",O14)="Baja",CELL("contenido",J14)&gt;2015,CELL("contenido",F14)="N/A"),"N/A",VLOOKUP(F14,#REF!,2,FALSE))</f>
        <v>#REF!</v>
      </c>
      <c r="V14" s="3" t="str">
        <f t="shared" ca="1" si="6"/>
        <v>Activo</v>
      </c>
      <c r="W14" s="3" t="str">
        <f t="shared" si="3"/>
        <v>Zona Metropolitana de Guadalajara</v>
      </c>
      <c r="X14" s="3" t="b">
        <f>C14=VLOOKUP($C14,PólizaEstatal!$H$2:$H$82,1,FALSE)</f>
        <v>1</v>
      </c>
      <c r="Y14" s="3" t="str">
        <f t="shared" si="4"/>
        <v>3N1CD13S9WK004637 JR49550</v>
      </c>
      <c r="AA14" s="4" t="s">
        <v>483</v>
      </c>
      <c r="AB14" s="3" t="s">
        <v>771</v>
      </c>
      <c r="AC14" s="11" t="str">
        <f>VLOOKUP($E14,'ResguardosXDir-CZ'!$C$2:$G$123,5,FALSE)</f>
        <v>17 GUADALAJARA</v>
      </c>
      <c r="AD14" s="11" t="str">
        <f>VLOOKUP($E14,'ResguardosXDir-CZ'!$C$2:$G$123,4,FALSE)</f>
        <v>Karolina Edwur Rosales Barrera</v>
      </c>
      <c r="AE14" s="4">
        <v>4</v>
      </c>
    </row>
    <row r="15" spans="1:31" ht="14.25" hidden="1" customHeight="1" x14ac:dyDescent="0.2">
      <c r="A15" s="4" t="str">
        <f t="shared" si="5"/>
        <v>HYY3827</v>
      </c>
      <c r="B15" s="3" t="str">
        <f t="shared" si="0"/>
        <v>I-480800014-00034-96</v>
      </c>
      <c r="C15" s="3" t="str">
        <f t="shared" si="1"/>
        <v>3VWZZZ113VM514274</v>
      </c>
      <c r="D15" s="3">
        <v>25</v>
      </c>
      <c r="E15" s="3" t="s">
        <v>591</v>
      </c>
      <c r="F15" s="4">
        <f t="shared" si="2"/>
        <v>7</v>
      </c>
      <c r="G15" s="3" t="s">
        <v>447</v>
      </c>
      <c r="H15" s="3" t="s">
        <v>449</v>
      </c>
      <c r="I15" s="3" t="s">
        <v>681</v>
      </c>
      <c r="J15" s="3">
        <v>1997</v>
      </c>
      <c r="K15" s="5" t="s">
        <v>40</v>
      </c>
      <c r="L15" s="4" t="s">
        <v>41</v>
      </c>
      <c r="M15" s="3" t="s">
        <v>5</v>
      </c>
      <c r="N15" s="4" t="s">
        <v>485</v>
      </c>
      <c r="O15" s="4" t="s">
        <v>487</v>
      </c>
      <c r="P15" s="3" t="s">
        <v>42</v>
      </c>
      <c r="Q15" s="3" t="s">
        <v>415</v>
      </c>
      <c r="R15" s="3" t="str">
        <f ca="1">IF(OR(CELL("contenido",O15)="Baja",CELL("contenido",J15)&gt;2015,CELL("contenido",F15)="N/A"),"N/A",VLOOKUP(F15,#REF!,2,FALSE))</f>
        <v>N/A</v>
      </c>
      <c r="S15" s="3" t="str">
        <f ca="1">IF(OR(CELL("contenido",O15)="Baja",CELL("contenido",J15)&gt;2015,CELL("contenido",F15)="N/A"),"N/A",VLOOKUP(F15,#REF!,2,FALSE))</f>
        <v>N/A</v>
      </c>
      <c r="T15" s="3" t="str">
        <f ca="1">IF(OR(CELL("contenido",O15)="Baja",CELL("contenido",J15)&gt;2015,CELL("contenido",F15)="N/A"),"N/A",VLOOKUP(F15,#REF!,2,FALSE))</f>
        <v>N/A</v>
      </c>
      <c r="U15" s="3" t="str">
        <f ca="1">IF(OR(CELL("contenido",O15)="Baja",CELL("contenido",J15)&gt;2015,CELL("contenido",F15)="N/A"),"N/A",VLOOKUP(F15,#REF!,2,FALSE))</f>
        <v>N/A</v>
      </c>
      <c r="V15" s="3" t="str">
        <f t="shared" ca="1" si="6"/>
        <v>Baja</v>
      </c>
      <c r="W15" s="3" t="str">
        <f t="shared" si="3"/>
        <v>Zona Metropolitana de Guadalajara</v>
      </c>
      <c r="X15" s="3" t="e">
        <f>C15=VLOOKUP($C15,PólizaEstatal!$H$2:$H$82,1,FALSE)</f>
        <v>#N/A</v>
      </c>
      <c r="Y15" s="3" t="str">
        <f t="shared" si="4"/>
        <v>3VWZZZ113VM514274 HYY3827</v>
      </c>
      <c r="AA15" s="4" t="s">
        <v>482</v>
      </c>
      <c r="AB15" s="5" t="str">
        <f t="shared" si="7"/>
        <v>Tepatitlán</v>
      </c>
      <c r="AC15" s="71" t="e">
        <f>VLOOKUP($E15,'ResguardosXDir-CZ'!$C$2:$G$123,5,FALSE)</f>
        <v>#N/A</v>
      </c>
      <c r="AD15" s="71" t="e">
        <f>VLOOKUP($E15,'ResguardosXDir-CZ'!$C$2:$G$123,4,FALSE)</f>
        <v>#N/A</v>
      </c>
      <c r="AE15" s="5" t="s">
        <v>957</v>
      </c>
    </row>
    <row r="16" spans="1:31" ht="14.25" hidden="1" customHeight="1" x14ac:dyDescent="0.2">
      <c r="A16" s="4" t="str">
        <f t="shared" si="5"/>
        <v>JNB1546</v>
      </c>
      <c r="B16" s="3" t="str">
        <f t="shared" si="0"/>
        <v>I-480800014-00037-97</v>
      </c>
      <c r="C16" s="3" t="str">
        <f t="shared" si="1"/>
        <v>3VWS1E1B6WM504624</v>
      </c>
      <c r="D16" s="3">
        <v>27</v>
      </c>
      <c r="E16" s="3" t="s">
        <v>549</v>
      </c>
      <c r="F16" s="4">
        <f t="shared" si="2"/>
        <v>6</v>
      </c>
      <c r="G16" s="3" t="s">
        <v>447</v>
      </c>
      <c r="H16" s="3" t="s">
        <v>449</v>
      </c>
      <c r="I16" s="3" t="s">
        <v>681</v>
      </c>
      <c r="J16" s="3">
        <v>1998</v>
      </c>
      <c r="K16" s="5" t="s">
        <v>43</v>
      </c>
      <c r="L16" s="4" t="s">
        <v>44</v>
      </c>
      <c r="M16" s="3" t="s">
        <v>5</v>
      </c>
      <c r="N16" s="4" t="s">
        <v>485</v>
      </c>
      <c r="O16" s="4" t="s">
        <v>493</v>
      </c>
      <c r="P16" s="3" t="s">
        <v>45</v>
      </c>
      <c r="Q16" s="3" t="s">
        <v>606</v>
      </c>
      <c r="R16" s="3" t="e">
        <f ca="1">IF(OR(CELL("contenido",O16)="Baja",CELL("contenido",J16)&gt;2015,CELL("contenido",F16)="N/A"),"N/A",VLOOKUP(F16,#REF!,2,FALSE))</f>
        <v>#REF!</v>
      </c>
      <c r="S16" s="3" t="e">
        <f ca="1">IF(OR(CELL("contenido",O16)="Baja",CELL("contenido",J16)&gt;2015,CELL("contenido",F16)="N/A"),"N/A",VLOOKUP(F16,#REF!,2,FALSE))</f>
        <v>#REF!</v>
      </c>
      <c r="T16" s="3" t="e">
        <f ca="1">IF(OR(CELL("contenido",O16)="Baja",CELL("contenido",J16)&gt;2015,CELL("contenido",F16)="N/A"),"N/A",VLOOKUP(F16,#REF!,2,FALSE))</f>
        <v>#REF!</v>
      </c>
      <c r="U16" s="3" t="e">
        <f ca="1">IF(OR(CELL("contenido",O16)="Baja",CELL("contenido",J16)&gt;2015,CELL("contenido",F16)="N/A"),"N/A",VLOOKUP(F16,#REF!,2,FALSE))</f>
        <v>#REF!</v>
      </c>
      <c r="V16" s="3" t="s">
        <v>720</v>
      </c>
      <c r="W16" s="3" t="str">
        <f t="shared" si="3"/>
        <v>Zona Metropolitana de Guadalajara</v>
      </c>
      <c r="X16" s="3" t="b">
        <f>C16=VLOOKUP($C16,PólizaEstatal!$H$2:$H$82,1,FALSE)</f>
        <v>1</v>
      </c>
      <c r="Y16" s="3" t="str">
        <f t="shared" si="4"/>
        <v>3VWS1E1B6WM504624 JNB1546</v>
      </c>
      <c r="AA16" s="4" t="s">
        <v>480</v>
      </c>
      <c r="AB16" s="3" t="s">
        <v>771</v>
      </c>
      <c r="AC16" s="71" t="str">
        <f>VLOOKUP($E16,'ResguardosXDir-CZ'!$C$2:$G$123,5,FALSE)</f>
        <v>SGYRM</v>
      </c>
      <c r="AD16" s="71" t="str">
        <f>VLOOKUP($E16,'ResguardosXDir-CZ'!$C$2:$G$123,4,FALSE)</f>
        <v>David Josafat López Polanco</v>
      </c>
      <c r="AE16" s="4" t="s">
        <v>957</v>
      </c>
    </row>
    <row r="17" spans="1:31" ht="14.25" hidden="1" customHeight="1" x14ac:dyDescent="0.2">
      <c r="A17" s="4" t="str">
        <f t="shared" si="5"/>
        <v>HZA9327</v>
      </c>
      <c r="B17" s="3" t="str">
        <f t="shared" si="0"/>
        <v>I-480800014-00043-97</v>
      </c>
      <c r="C17" s="3" t="str">
        <f t="shared" si="1"/>
        <v>3VWS1E1B5WM504582</v>
      </c>
      <c r="D17" s="3">
        <v>28</v>
      </c>
      <c r="E17" s="3" t="s">
        <v>592</v>
      </c>
      <c r="F17" s="4">
        <f t="shared" si="2"/>
        <v>7</v>
      </c>
      <c r="G17" s="3" t="s">
        <v>447</v>
      </c>
      <c r="H17" s="3" t="s">
        <v>449</v>
      </c>
      <c r="I17" s="3" t="s">
        <v>681</v>
      </c>
      <c r="J17" s="3">
        <v>1998</v>
      </c>
      <c r="K17" s="5" t="s">
        <v>46</v>
      </c>
      <c r="L17" s="4" t="s">
        <v>47</v>
      </c>
      <c r="M17" s="3" t="s">
        <v>5</v>
      </c>
      <c r="N17" s="4" t="s">
        <v>485</v>
      </c>
      <c r="O17" s="4" t="s">
        <v>487</v>
      </c>
      <c r="P17" s="3" t="s">
        <v>48</v>
      </c>
      <c r="Q17" s="3" t="s">
        <v>415</v>
      </c>
      <c r="R17" s="3" t="str">
        <f ca="1">IF(OR(CELL("contenido",O17)="Baja",CELL("contenido",J17)&gt;2015,CELL("contenido",F17)="N/A"),"N/A",VLOOKUP(F17,#REF!,2,FALSE))</f>
        <v>N/A</v>
      </c>
      <c r="S17" s="3" t="str">
        <f ca="1">IF(OR(CELL("contenido",O17)="Baja",CELL("contenido",J17)&gt;2015,CELL("contenido",F17)="N/A"),"N/A",VLOOKUP(F17,#REF!,2,FALSE))</f>
        <v>N/A</v>
      </c>
      <c r="T17" s="3" t="str">
        <f ca="1">IF(OR(CELL("contenido",O17)="Baja",CELL("contenido",J17)&gt;2015,CELL("contenido",F17)="N/A"),"N/A",VLOOKUP(F17,#REF!,2,FALSE))</f>
        <v>N/A</v>
      </c>
      <c r="U17" s="3" t="str">
        <f ca="1">IF(OR(CELL("contenido",O17)="Baja",CELL("contenido",J17)&gt;2015,CELL("contenido",F17)="N/A"),"N/A",VLOOKUP(F17,#REF!,2,FALSE))</f>
        <v>N/A</v>
      </c>
      <c r="V17" s="3" t="str">
        <f t="shared" ca="1" si="6"/>
        <v>Baja</v>
      </c>
      <c r="W17" s="3" t="str">
        <f t="shared" si="3"/>
        <v>Zona Metropolitana de Guadalajara</v>
      </c>
      <c r="X17" s="3" t="e">
        <f>C17=VLOOKUP($C17,PólizaEstatal!$H$2:$H$82,1,FALSE)</f>
        <v>#N/A</v>
      </c>
      <c r="Y17" s="3" t="str">
        <f t="shared" si="4"/>
        <v>3VWS1E1B5WM504582 HZA9327</v>
      </c>
      <c r="AA17" s="5" t="s">
        <v>181</v>
      </c>
      <c r="AB17" s="3" t="s">
        <v>771</v>
      </c>
      <c r="AC17" s="71" t="e">
        <f>VLOOKUP($E17,'ResguardosXDir-CZ'!$C$2:$G$123,5,FALSE)</f>
        <v>#N/A</v>
      </c>
      <c r="AD17" s="71" t="e">
        <f>VLOOKUP($E17,'ResguardosXDir-CZ'!$C$2:$G$123,4,FALSE)</f>
        <v>#N/A</v>
      </c>
      <c r="AE17" s="5" t="s">
        <v>957</v>
      </c>
    </row>
    <row r="18" spans="1:31" ht="14.25" hidden="1" customHeight="1" x14ac:dyDescent="0.2">
      <c r="A18" s="4" t="str">
        <f t="shared" si="5"/>
        <v>HZA9329</v>
      </c>
      <c r="B18" s="3" t="str">
        <f t="shared" si="0"/>
        <v>I-480800014-00040-97</v>
      </c>
      <c r="C18" s="3" t="str">
        <f t="shared" si="1"/>
        <v>3VWS1E1B5WM504632</v>
      </c>
      <c r="D18" s="3">
        <v>29</v>
      </c>
      <c r="E18" s="3" t="s">
        <v>593</v>
      </c>
      <c r="F18" s="4">
        <f t="shared" si="2"/>
        <v>9</v>
      </c>
      <c r="G18" s="3" t="s">
        <v>447</v>
      </c>
      <c r="H18" s="3" t="s">
        <v>449</v>
      </c>
      <c r="I18" s="3" t="s">
        <v>681</v>
      </c>
      <c r="J18" s="3">
        <v>1998</v>
      </c>
      <c r="K18" s="5" t="s">
        <v>49</v>
      </c>
      <c r="L18" s="4" t="s">
        <v>50</v>
      </c>
      <c r="M18" s="3" t="s">
        <v>5</v>
      </c>
      <c r="N18" s="4" t="s">
        <v>485</v>
      </c>
      <c r="O18" s="4" t="s">
        <v>487</v>
      </c>
      <c r="P18" s="3" t="s">
        <v>51</v>
      </c>
      <c r="Q18" s="3" t="s">
        <v>415</v>
      </c>
      <c r="R18" s="3" t="str">
        <f ca="1">IF(OR(CELL("contenido",O18)="Baja",CELL("contenido",J18)&gt;2015,CELL("contenido",F18)="N/A"),"N/A",VLOOKUP(F18,#REF!,2,FALSE))</f>
        <v>N/A</v>
      </c>
      <c r="S18" s="3" t="str">
        <f ca="1">IF(OR(CELL("contenido",O18)="Baja",CELL("contenido",J18)&gt;2015,CELL("contenido",F18)="N/A"),"N/A",VLOOKUP(F18,#REF!,2,FALSE))</f>
        <v>N/A</v>
      </c>
      <c r="T18" s="3" t="str">
        <f ca="1">IF(OR(CELL("contenido",O18)="Baja",CELL("contenido",J18)&gt;2015,CELL("contenido",F18)="N/A"),"N/A",VLOOKUP(F18,#REF!,2,FALSE))</f>
        <v>N/A</v>
      </c>
      <c r="U18" s="3" t="str">
        <f ca="1">IF(OR(CELL("contenido",O18)="Baja",CELL("contenido",J18)&gt;2015,CELL("contenido",F18)="N/A"),"N/A",VLOOKUP(F18,#REF!,2,FALSE))</f>
        <v>N/A</v>
      </c>
      <c r="V18" s="3" t="str">
        <f t="shared" ca="1" si="6"/>
        <v>Baja</v>
      </c>
      <c r="W18" s="3" t="str">
        <f t="shared" si="3"/>
        <v>Zona Metropolitana de Guadalajara</v>
      </c>
      <c r="X18" s="3" t="e">
        <f>C18=VLOOKUP($C18,PólizaEstatal!$H$2:$H$82,1,FALSE)</f>
        <v>#N/A</v>
      </c>
      <c r="Y18" s="3" t="str">
        <f t="shared" si="4"/>
        <v>3VWS1E1B5WM504632 HZA9329</v>
      </c>
      <c r="AA18" s="4" t="s">
        <v>476</v>
      </c>
      <c r="AB18" s="5" t="str">
        <f>RIGHT(AA18,LEN(AA18)-6)</f>
        <v>Ocotlán</v>
      </c>
      <c r="AC18" s="71" t="e">
        <f>VLOOKUP($E18,'ResguardosXDir-CZ'!$C$2:$G$123,5,FALSE)</f>
        <v>#N/A</v>
      </c>
      <c r="AD18" s="71" t="e">
        <f>VLOOKUP($E18,'ResguardosXDir-CZ'!$C$2:$G$123,4,FALSE)</f>
        <v>#N/A</v>
      </c>
      <c r="AE18" s="5" t="s">
        <v>957</v>
      </c>
    </row>
    <row r="19" spans="1:31" ht="15" hidden="1" customHeight="1" x14ac:dyDescent="0.25">
      <c r="A19" s="4" t="str">
        <f t="shared" si="5"/>
        <v>JCP2508</v>
      </c>
      <c r="B19" s="3" t="str">
        <f t="shared" si="0"/>
        <v>IEEAJ-4815-1202-01</v>
      </c>
      <c r="C19" s="3" t="str">
        <f t="shared" si="1"/>
        <v>JNFE56S23X501505</v>
      </c>
      <c r="D19" s="3">
        <v>30</v>
      </c>
      <c r="E19" s="3" t="s">
        <v>583</v>
      </c>
      <c r="F19" s="4">
        <f t="shared" si="2"/>
        <v>8</v>
      </c>
      <c r="G19" s="5" t="s">
        <v>426</v>
      </c>
      <c r="H19" s="3" t="s">
        <v>448</v>
      </c>
      <c r="I19" s="3" t="s">
        <v>681</v>
      </c>
      <c r="J19" s="3">
        <v>2003</v>
      </c>
      <c r="K19" s="5" t="s">
        <v>382</v>
      </c>
      <c r="L19" s="4" t="s">
        <v>52</v>
      </c>
      <c r="M19" s="3" t="s">
        <v>5</v>
      </c>
      <c r="N19" s="4" t="s">
        <v>479</v>
      </c>
      <c r="O19" s="4" t="s">
        <v>914</v>
      </c>
      <c r="P19" s="3" t="s">
        <v>53</v>
      </c>
      <c r="R19" s="3" t="e">
        <f ca="1">IF(OR(CELL("contenido",O19)="Baja",CELL("contenido",J19)&gt;2015,CELL("contenido",F19)="N/A"),"N/A",VLOOKUP(F19,#REF!,2,FALSE))</f>
        <v>#REF!</v>
      </c>
      <c r="S19" s="3" t="e">
        <f ca="1">IF(OR(CELL("contenido",O19)="Baja",CELL("contenido",J19)&gt;2015,CELL("contenido",F19)="N/A"),"N/A",VLOOKUP(F19,#REF!,2,FALSE))</f>
        <v>#REF!</v>
      </c>
      <c r="T19" s="3" t="e">
        <f ca="1">IF(OR(CELL("contenido",O19)="Baja",CELL("contenido",J19)&gt;2015,CELL("contenido",F19)="N/A"),"N/A",VLOOKUP(F19,#REF!,2,FALSE))</f>
        <v>#REF!</v>
      </c>
      <c r="U19" s="3" t="e">
        <f ca="1">IF(OR(CELL("contenido",O19)="Baja",CELL("contenido",J19)&gt;2015,CELL("contenido",F19)="N/A"),"N/A",VLOOKUP(F19,#REF!,2,FALSE))</f>
        <v>#REF!</v>
      </c>
      <c r="V19" s="3" t="str">
        <f t="shared" ca="1" si="6"/>
        <v>Activo</v>
      </c>
      <c r="W19" s="3" t="str">
        <f t="shared" si="3"/>
        <v>Puerto Vallarta</v>
      </c>
      <c r="X19" s="3" t="b">
        <f>C19=VLOOKUP($C19,PólizaEstatal!$H$2:$H$82,1,FALSE)</f>
        <v>1</v>
      </c>
      <c r="Y19" s="3" t="str">
        <f t="shared" si="4"/>
        <v>JNFE56S23X501505 JCP2508</v>
      </c>
      <c r="AA19" s="4" t="s">
        <v>466</v>
      </c>
      <c r="AB19" s="5" t="str">
        <f>RIGHT(AA19,LEN(AA19)-6)</f>
        <v>Mazamitla</v>
      </c>
      <c r="AC19" s="11" t="str">
        <f>VLOOKUP($E19,'ResguardosXDir-CZ'!$C$2:$G$123,5,FALSE)</f>
        <v>14 VALLARTA</v>
      </c>
      <c r="AD19" s="11" t="str">
        <f>VLOOKUP($E19,'ResguardosXDir-CZ'!$C$2:$G$123,4,FALSE)</f>
        <v>Claudia Gómez Becerra</v>
      </c>
      <c r="AE19" s="4">
        <v>4</v>
      </c>
    </row>
    <row r="20" spans="1:31" ht="15" hidden="1" customHeight="1" x14ac:dyDescent="0.25">
      <c r="A20" s="4" t="str">
        <f t="shared" si="5"/>
        <v>JS23366</v>
      </c>
      <c r="B20" s="3" t="str">
        <f t="shared" si="0"/>
        <v>IEEAJ-4826-1202-01</v>
      </c>
      <c r="C20" s="3" t="str">
        <f t="shared" si="1"/>
        <v>3N6CD13S53K048009</v>
      </c>
      <c r="D20" s="3">
        <v>31</v>
      </c>
      <c r="E20" s="3" t="s">
        <v>512</v>
      </c>
      <c r="F20" s="4">
        <f t="shared" si="2"/>
        <v>6</v>
      </c>
      <c r="G20" s="3" t="s">
        <v>426</v>
      </c>
      <c r="H20" s="3" t="s">
        <v>427</v>
      </c>
      <c r="I20" s="3" t="s">
        <v>681</v>
      </c>
      <c r="J20" s="3">
        <v>2003</v>
      </c>
      <c r="K20" s="5" t="s">
        <v>54</v>
      </c>
      <c r="L20" s="4" t="s">
        <v>55</v>
      </c>
      <c r="M20" s="3" t="s">
        <v>5</v>
      </c>
      <c r="N20" s="4" t="s">
        <v>467</v>
      </c>
      <c r="O20" s="4" t="s">
        <v>732</v>
      </c>
      <c r="P20" s="3" t="s">
        <v>56</v>
      </c>
      <c r="R20" s="3" t="e">
        <f ca="1">IF(OR(CELL("contenido",O20)="Baja",CELL("contenido",J20)&gt;2015,CELL("contenido",F20)="N/A"),"N/A",VLOOKUP(F20,#REF!,2,FALSE))</f>
        <v>#REF!</v>
      </c>
      <c r="S20" s="3" t="e">
        <f ca="1">IF(OR(CELL("contenido",O20)="Baja",CELL("contenido",J20)&gt;2015,CELL("contenido",F20)="N/A"),"N/A",VLOOKUP(F20,#REF!,2,FALSE))</f>
        <v>#REF!</v>
      </c>
      <c r="T20" s="3" t="e">
        <f ca="1">IF(OR(CELL("contenido",O20)="Baja",CELL("contenido",J20)&gt;2015,CELL("contenido",F20)="N/A"),"N/A",VLOOKUP(F20,#REF!,2,FALSE))</f>
        <v>#REF!</v>
      </c>
      <c r="U20" s="3" t="e">
        <f ca="1">IF(OR(CELL("contenido",O20)="Baja",CELL("contenido",J20)&gt;2015,CELL("contenido",F20)="N/A"),"N/A",VLOOKUP(F20,#REF!,2,FALSE))</f>
        <v>#REF!</v>
      </c>
      <c r="V20" s="3" t="str">
        <f t="shared" ca="1" si="6"/>
        <v>Activo</v>
      </c>
      <c r="W20" s="3" t="str">
        <f t="shared" si="3"/>
        <v>Grullo</v>
      </c>
      <c r="X20" s="3" t="b">
        <f>C20=VLOOKUP($C20,PólizaEstatal!$H$2:$H$82,1,FALSE)</f>
        <v>1</v>
      </c>
      <c r="Y20" s="3" t="str">
        <f t="shared" si="4"/>
        <v>3N6CD13S53K048009 JS23366</v>
      </c>
      <c r="AA20" s="4" t="s">
        <v>472</v>
      </c>
      <c r="AB20" s="3" t="s">
        <v>771</v>
      </c>
      <c r="AC20" s="11" t="str">
        <f>VLOOKUP($E20,'ResguardosXDir-CZ'!$C$2:$G$123,5,FALSE)</f>
        <v>10 GRULLO</v>
      </c>
      <c r="AD20" s="11" t="str">
        <f>VLOOKUP($E20,'ResguardosXDir-CZ'!$C$2:$G$123,4,FALSE)</f>
        <v>Francisco Edén Flores Ramírez</v>
      </c>
      <c r="AE20" s="4">
        <v>4</v>
      </c>
    </row>
    <row r="21" spans="1:31" ht="14.25" hidden="1" customHeight="1" x14ac:dyDescent="0.2">
      <c r="A21" s="4" t="str">
        <f t="shared" si="5"/>
        <v>JH99594</v>
      </c>
      <c r="B21" s="3" t="str">
        <f t="shared" si="0"/>
        <v>IEEAJ-4827-1202-01</v>
      </c>
      <c r="C21" s="3" t="str">
        <f t="shared" si="1"/>
        <v>3N6CD13S13K048010</v>
      </c>
      <c r="D21" s="3">
        <v>32</v>
      </c>
      <c r="E21" s="3" t="s">
        <v>498</v>
      </c>
      <c r="F21" s="4">
        <f t="shared" si="2"/>
        <v>4</v>
      </c>
      <c r="G21" s="3" t="s">
        <v>426</v>
      </c>
      <c r="H21" s="3" t="s">
        <v>427</v>
      </c>
      <c r="I21" s="3" t="s">
        <v>681</v>
      </c>
      <c r="J21" s="3">
        <v>2003</v>
      </c>
      <c r="K21" s="5" t="s">
        <v>57</v>
      </c>
      <c r="L21" s="4" t="s">
        <v>58</v>
      </c>
      <c r="M21" s="3" t="s">
        <v>5</v>
      </c>
      <c r="N21" s="5" t="s">
        <v>485</v>
      </c>
      <c r="O21" s="4" t="s">
        <v>493</v>
      </c>
      <c r="P21" s="3" t="s">
        <v>59</v>
      </c>
      <c r="R21" s="3" t="e">
        <f ca="1">IF(OR(CELL("contenido",O21)="Baja",CELL("contenido",J21)&gt;2015,CELL("contenido",F21)="N/A"),"N/A",VLOOKUP(F21,#REF!,2,FALSE))</f>
        <v>#REF!</v>
      </c>
      <c r="S21" s="3" t="e">
        <f ca="1">IF(OR(CELL("contenido",O21)="Baja",CELL("contenido",J21)&gt;2015,CELL("contenido",F21)="N/A"),"N/A",VLOOKUP(F21,#REF!,2,FALSE))</f>
        <v>#REF!</v>
      </c>
      <c r="T21" s="3" t="e">
        <f ca="1">IF(OR(CELL("contenido",O21)="Baja",CELL("contenido",J21)&gt;2015,CELL("contenido",F21)="N/A"),"N/A",VLOOKUP(F21,#REF!,2,FALSE))</f>
        <v>#REF!</v>
      </c>
      <c r="U21" s="3" t="e">
        <f ca="1">IF(OR(CELL("contenido",O21)="Baja",CELL("contenido",J21)&gt;2015,CELL("contenido",F21)="N/A"),"N/A",VLOOKUP(F21,#REF!,2,FALSE))</f>
        <v>#REF!</v>
      </c>
      <c r="V21" s="3" t="s">
        <v>720</v>
      </c>
      <c r="W21" s="3" t="str">
        <f t="shared" si="3"/>
        <v>Zona Metropolitana de Guadalajara</v>
      </c>
      <c r="X21" s="3" t="b">
        <f>C21=VLOOKUP($C21,PólizaEstatal!$H$2:$H$82,1,FALSE)</f>
        <v>1</v>
      </c>
      <c r="Y21" s="3" t="str">
        <f t="shared" si="4"/>
        <v>3N6CD13S13K048010 JH99594</v>
      </c>
      <c r="AA21" s="4" t="s">
        <v>693</v>
      </c>
      <c r="AB21" s="3" t="s">
        <v>771</v>
      </c>
      <c r="AC21" s="71" t="str">
        <f>VLOOKUP($E21,'ResguardosXDir-CZ'!$C$2:$G$123,5,FALSE)</f>
        <v>SGYRM</v>
      </c>
      <c r="AD21" s="71" t="str">
        <f>VLOOKUP($E21,'ResguardosXDir-CZ'!$C$2:$G$123,4,FALSE)</f>
        <v>David Josafat López Polanco</v>
      </c>
      <c r="AE21" s="4" t="s">
        <v>957</v>
      </c>
    </row>
    <row r="22" spans="1:31" s="6" customFormat="1" ht="14.25" hidden="1" customHeight="1" x14ac:dyDescent="0.2">
      <c r="A22" s="4" t="str">
        <f t="shared" si="5"/>
        <v>JCP2509</v>
      </c>
      <c r="B22" s="3" t="str">
        <f t="shared" si="0"/>
        <v>IEEAJ-4825-1202-01</v>
      </c>
      <c r="C22" s="3" t="str">
        <f t="shared" si="1"/>
        <v>3N1JH01S43L030738</v>
      </c>
      <c r="D22" s="3">
        <v>33</v>
      </c>
      <c r="E22" s="3" t="s">
        <v>579</v>
      </c>
      <c r="F22" s="4">
        <f t="shared" si="2"/>
        <v>9</v>
      </c>
      <c r="G22" s="5" t="s">
        <v>426</v>
      </c>
      <c r="H22" s="3" t="s">
        <v>178</v>
      </c>
      <c r="I22" s="3"/>
      <c r="J22" s="3">
        <v>2003</v>
      </c>
      <c r="K22" s="5" t="s">
        <v>60</v>
      </c>
      <c r="L22" s="3" t="s">
        <v>61</v>
      </c>
      <c r="M22" s="3" t="s">
        <v>5</v>
      </c>
      <c r="N22" s="4" t="s">
        <v>485</v>
      </c>
      <c r="O22" s="3" t="s">
        <v>487</v>
      </c>
      <c r="P22" s="3" t="s">
        <v>62</v>
      </c>
      <c r="Q22" s="3" t="s">
        <v>415</v>
      </c>
      <c r="R22" s="3" t="str">
        <f ca="1">IF(OR(CELL("contenido",O22)="Baja",CELL("contenido",J22)&gt;2015,CELL("contenido",F22)="N/A"),"N/A",VLOOKUP(F22,#REF!,2,FALSE))</f>
        <v>N/A</v>
      </c>
      <c r="S22" s="3" t="str">
        <f ca="1">IF(OR(CELL("contenido",O22)="Baja",CELL("contenido",J22)&gt;2015,CELL("contenido",F22)="N/A"),"N/A",VLOOKUP(F22,#REF!,2,FALSE))</f>
        <v>N/A</v>
      </c>
      <c r="T22" s="3" t="str">
        <f ca="1">IF(OR(CELL("contenido",O22)="Baja",CELL("contenido",J22)&gt;2015,CELL("contenido",F22)="N/A"),"N/A",VLOOKUP(F22,#REF!,2,FALSE))</f>
        <v>N/A</v>
      </c>
      <c r="U22" s="3" t="str">
        <f ca="1">IF(OR(CELL("contenido",O22)="Baja",CELL("contenido",J22)&gt;2015,CELL("contenido",F22)="N/A"),"N/A",VLOOKUP(F22,#REF!,2,FALSE))</f>
        <v>N/A</v>
      </c>
      <c r="V22" s="3" t="str">
        <f t="shared" ca="1" si="6"/>
        <v>Baja</v>
      </c>
      <c r="W22" s="3" t="str">
        <f t="shared" si="3"/>
        <v>Zona Metropolitana de Guadalajara</v>
      </c>
      <c r="X22" s="3" t="e">
        <f>C22=VLOOKUP($C22,PólizaEstatal!$H$2:$H$82,1,FALSE)</f>
        <v>#N/A</v>
      </c>
      <c r="Y22" s="3" t="str">
        <f t="shared" si="4"/>
        <v>3N1JH01S43L030738 JCP2509</v>
      </c>
      <c r="AA22" s="4" t="s">
        <v>486</v>
      </c>
      <c r="AB22" s="3" t="s">
        <v>771</v>
      </c>
      <c r="AC22" s="71" t="e">
        <f>VLOOKUP($E22,'ResguardosXDir-CZ'!$C$2:$G$123,5,FALSE)</f>
        <v>#N/A</v>
      </c>
      <c r="AD22" s="71" t="e">
        <f>VLOOKUP($E22,'ResguardosXDir-CZ'!$C$2:$G$123,4,FALSE)</f>
        <v>#N/A</v>
      </c>
      <c r="AE22" s="5" t="s">
        <v>957</v>
      </c>
    </row>
    <row r="23" spans="1:31" ht="14.25" hidden="1" customHeight="1" x14ac:dyDescent="0.2">
      <c r="A23" s="4" t="str">
        <f t="shared" si="5"/>
        <v>JCP2510</v>
      </c>
      <c r="B23" s="3" t="str">
        <f t="shared" si="0"/>
        <v>IEEAJ-4828-1202-01</v>
      </c>
      <c r="C23" s="3" t="str">
        <f t="shared" si="1"/>
        <v>3N1JH01S43L030500</v>
      </c>
      <c r="D23" s="3">
        <v>34</v>
      </c>
      <c r="E23" s="3" t="s">
        <v>580</v>
      </c>
      <c r="F23" s="4">
        <f t="shared" si="2"/>
        <v>0</v>
      </c>
      <c r="G23" s="5" t="s">
        <v>426</v>
      </c>
      <c r="H23" s="3" t="s">
        <v>178</v>
      </c>
      <c r="J23" s="3">
        <v>2003</v>
      </c>
      <c r="K23" s="5" t="s">
        <v>63</v>
      </c>
      <c r="L23" s="4" t="s">
        <v>64</v>
      </c>
      <c r="M23" s="3" t="s">
        <v>5</v>
      </c>
      <c r="N23" s="4" t="s">
        <v>485</v>
      </c>
      <c r="O23" s="4" t="s">
        <v>487</v>
      </c>
      <c r="P23" s="3" t="s">
        <v>65</v>
      </c>
      <c r="Q23" s="3" t="s">
        <v>415</v>
      </c>
      <c r="R23" s="3" t="str">
        <f ca="1">IF(OR(CELL("contenido",O23)="Baja",CELL("contenido",J23)&gt;2015,CELL("contenido",F23)="N/A"),"N/A",VLOOKUP(F23,#REF!,2,FALSE))</f>
        <v>N/A</v>
      </c>
      <c r="S23" s="3" t="str">
        <f ca="1">IF(OR(CELL("contenido",O23)="Baja",CELL("contenido",J23)&gt;2015,CELL("contenido",F23)="N/A"),"N/A",VLOOKUP(F23,#REF!,2,FALSE))</f>
        <v>N/A</v>
      </c>
      <c r="T23" s="3" t="str">
        <f ca="1">IF(OR(CELL("contenido",O23)="Baja",CELL("contenido",J23)&gt;2015,CELL("contenido",F23)="N/A"),"N/A",VLOOKUP(F23,#REF!,2,FALSE))</f>
        <v>N/A</v>
      </c>
      <c r="U23" s="3" t="str">
        <f ca="1">IF(OR(CELL("contenido",O23)="Baja",CELL("contenido",J23)&gt;2015,CELL("contenido",F23)="N/A"),"N/A",VLOOKUP(F23,#REF!,2,FALSE))</f>
        <v>N/A</v>
      </c>
      <c r="V23" s="3" t="str">
        <f t="shared" ca="1" si="6"/>
        <v>Baja</v>
      </c>
      <c r="W23" s="3" t="str">
        <f t="shared" si="3"/>
        <v>Zona Metropolitana de Guadalajara</v>
      </c>
      <c r="X23" s="3" t="e">
        <f>C23=VLOOKUP($C23,PólizaEstatal!$H$2:$H$82,1,FALSE)</f>
        <v>#N/A</v>
      </c>
      <c r="Y23" s="3" t="str">
        <f t="shared" si="4"/>
        <v>3N1JH01S43L030500 JCP2510</v>
      </c>
      <c r="AA23" s="5" t="s">
        <v>474</v>
      </c>
      <c r="AB23" s="5" t="str">
        <f>RIGHT(AA23,LEN(AA23)-6)</f>
        <v>Colotlán</v>
      </c>
      <c r="AC23" s="71" t="e">
        <f>VLOOKUP($E23,'ResguardosXDir-CZ'!$C$2:$G$123,5,FALSE)</f>
        <v>#N/A</v>
      </c>
      <c r="AD23" s="71" t="e">
        <f>VLOOKUP($E23,'ResguardosXDir-CZ'!$C$2:$G$123,4,FALSE)</f>
        <v>#N/A</v>
      </c>
      <c r="AE23" s="5" t="s">
        <v>957</v>
      </c>
    </row>
    <row r="24" spans="1:31" ht="14.25" hidden="1" customHeight="1" x14ac:dyDescent="0.2">
      <c r="A24" s="4" t="str">
        <f t="shared" si="5"/>
        <v>JCP2511</v>
      </c>
      <c r="B24" s="3" t="str">
        <f t="shared" si="0"/>
        <v>IEEAJ-4829-1202-01</v>
      </c>
      <c r="C24" s="3" t="str">
        <f t="shared" si="1"/>
        <v>3N1JH01S23L030737</v>
      </c>
      <c r="D24" s="3">
        <v>35</v>
      </c>
      <c r="E24" s="3" t="s">
        <v>594</v>
      </c>
      <c r="F24" s="4">
        <f t="shared" si="2"/>
        <v>1</v>
      </c>
      <c r="G24" s="5" t="s">
        <v>426</v>
      </c>
      <c r="H24" s="3" t="s">
        <v>178</v>
      </c>
      <c r="I24" s="3" t="s">
        <v>681</v>
      </c>
      <c r="J24" s="3">
        <v>2003</v>
      </c>
      <c r="K24" s="5" t="s">
        <v>66</v>
      </c>
      <c r="L24" s="4" t="s">
        <v>67</v>
      </c>
      <c r="M24" s="3" t="s">
        <v>5</v>
      </c>
      <c r="N24" s="4" t="s">
        <v>485</v>
      </c>
      <c r="O24" s="4" t="s">
        <v>493</v>
      </c>
      <c r="P24" s="3" t="s">
        <v>68</v>
      </c>
      <c r="Q24" s="3" t="s">
        <v>706</v>
      </c>
      <c r="R24" s="3" t="e">
        <f ca="1">IF(OR(CELL("contenido",O24)="Baja",CELL("contenido",J24)&gt;2015,CELL("contenido",F24)="N/A"),"N/A",VLOOKUP(F24,#REF!,2,FALSE))</f>
        <v>#REF!</v>
      </c>
      <c r="S24" s="3" t="e">
        <f ca="1">IF(OR(CELL("contenido",O24)="Baja",CELL("contenido",J24)&gt;2015,CELL("contenido",F24)="N/A"),"N/A",VLOOKUP(F24,#REF!,2,FALSE))</f>
        <v>#REF!</v>
      </c>
      <c r="T24" s="3" t="e">
        <f ca="1">IF(OR(CELL("contenido",O24)="Baja",CELL("contenido",J24)&gt;2015,CELL("contenido",F24)="N/A"),"N/A",VLOOKUP(F24,#REF!,2,FALSE))</f>
        <v>#REF!</v>
      </c>
      <c r="U24" s="3" t="e">
        <f ca="1">IF(OR(CELL("contenido",O24)="Baja",CELL("contenido",J24)&gt;2015,CELL("contenido",F24)="N/A"),"N/A",VLOOKUP(F24,#REF!,2,FALSE))</f>
        <v>#REF!</v>
      </c>
      <c r="V24" s="3" t="s">
        <v>720</v>
      </c>
      <c r="W24" s="3" t="str">
        <f t="shared" si="3"/>
        <v>Zona Metropolitana de Guadalajara</v>
      </c>
      <c r="X24" s="3" t="b">
        <f>C24=VLOOKUP($C24,PólizaEstatal!$H$2:$H$82,1,FALSE)</f>
        <v>1</v>
      </c>
      <c r="Y24" s="3" t="str">
        <f t="shared" si="4"/>
        <v>3N1JH01S23L030737 JCP2511</v>
      </c>
      <c r="AA24" s="4" t="s">
        <v>468</v>
      </c>
      <c r="AB24" s="3" t="s">
        <v>771</v>
      </c>
      <c r="AC24" s="71" t="e">
        <f>VLOOKUP($E24,'ResguardosXDir-CZ'!$C$2:$G$123,5,FALSE)</f>
        <v>#N/A</v>
      </c>
      <c r="AD24" s="71" t="e">
        <f>VLOOKUP($E24,'ResguardosXDir-CZ'!$C$2:$G$123,4,FALSE)</f>
        <v>#N/A</v>
      </c>
      <c r="AE24" s="4" t="s">
        <v>957</v>
      </c>
    </row>
    <row r="25" spans="1:31" ht="14.25" hidden="1" customHeight="1" x14ac:dyDescent="0.2">
      <c r="A25" s="4" t="str">
        <f t="shared" si="5"/>
        <v>JCP2513</v>
      </c>
      <c r="B25" s="3" t="str">
        <f t="shared" si="0"/>
        <v>IEEAJ-25941-1202-01</v>
      </c>
      <c r="C25" s="3" t="str">
        <f t="shared" si="1"/>
        <v>3N1JH01S93L024756</v>
      </c>
      <c r="D25" s="3">
        <v>36</v>
      </c>
      <c r="E25" s="3" t="s">
        <v>581</v>
      </c>
      <c r="F25" s="4">
        <f t="shared" si="2"/>
        <v>3</v>
      </c>
      <c r="G25" s="5" t="s">
        <v>426</v>
      </c>
      <c r="H25" s="3" t="s">
        <v>178</v>
      </c>
      <c r="J25" s="3">
        <v>2003</v>
      </c>
      <c r="K25" s="5" t="s">
        <v>69</v>
      </c>
      <c r="L25" s="4" t="s">
        <v>70</v>
      </c>
      <c r="M25" s="3" t="s">
        <v>5</v>
      </c>
      <c r="N25" s="4" t="s">
        <v>485</v>
      </c>
      <c r="O25" s="4" t="s">
        <v>487</v>
      </c>
      <c r="P25" s="3" t="s">
        <v>71</v>
      </c>
      <c r="Q25" s="3" t="s">
        <v>415</v>
      </c>
      <c r="R25" s="3" t="str">
        <f ca="1">IF(OR(CELL("contenido",O25)="Baja",CELL("contenido",J25)&gt;2015,CELL("contenido",F25)="N/A"),"N/A",VLOOKUP(F25,#REF!,2,FALSE))</f>
        <v>N/A</v>
      </c>
      <c r="S25" s="3" t="str">
        <f ca="1">IF(OR(CELL("contenido",O25)="Baja",CELL("contenido",J25)&gt;2015,CELL("contenido",F25)="N/A"),"N/A",VLOOKUP(F25,#REF!,2,FALSE))</f>
        <v>N/A</v>
      </c>
      <c r="T25" s="3" t="str">
        <f ca="1">IF(OR(CELL("contenido",O25)="Baja",CELL("contenido",J25)&gt;2015,CELL("contenido",F25)="N/A"),"N/A",VLOOKUP(F25,#REF!,2,FALSE))</f>
        <v>N/A</v>
      </c>
      <c r="U25" s="3" t="str">
        <f ca="1">IF(OR(CELL("contenido",O25)="Baja",CELL("contenido",J25)&gt;2015,CELL("contenido",F25)="N/A"),"N/A",VLOOKUP(F25,#REF!,2,FALSE))</f>
        <v>N/A</v>
      </c>
      <c r="V25" s="3" t="str">
        <f t="shared" ca="1" si="6"/>
        <v>Baja</v>
      </c>
      <c r="W25" s="3" t="str">
        <f t="shared" si="3"/>
        <v>Zona Metropolitana de Guadalajara</v>
      </c>
      <c r="X25" s="3" t="e">
        <f>C25=VLOOKUP($C25,PólizaEstatal!$H$2:$H$82,1,FALSE)</f>
        <v>#N/A</v>
      </c>
      <c r="Y25" s="3" t="str">
        <f t="shared" si="4"/>
        <v>3N1JH01S93L024756 JCP2513</v>
      </c>
      <c r="AA25" s="4" t="s">
        <v>484</v>
      </c>
      <c r="AB25" s="3" t="s">
        <v>771</v>
      </c>
      <c r="AC25" s="71" t="e">
        <f>VLOOKUP($E25,'ResguardosXDir-CZ'!$C$2:$G$123,5,FALSE)</f>
        <v>#N/A</v>
      </c>
      <c r="AD25" s="71" t="e">
        <f>VLOOKUP($E25,'ResguardosXDir-CZ'!$C$2:$G$123,4,FALSE)</f>
        <v>#N/A</v>
      </c>
      <c r="AE25" s="5" t="s">
        <v>957</v>
      </c>
    </row>
    <row r="26" spans="1:31" ht="14.25" hidden="1" customHeight="1" x14ac:dyDescent="0.2">
      <c r="A26" s="4" t="str">
        <f t="shared" si="5"/>
        <v>JCP2507</v>
      </c>
      <c r="B26" s="3" t="str">
        <f t="shared" si="0"/>
        <v>IEEAJ-25943-1202-01</v>
      </c>
      <c r="C26" s="3" t="str">
        <f t="shared" si="1"/>
        <v>3N1JH01S23L034352</v>
      </c>
      <c r="D26" s="3">
        <v>37</v>
      </c>
      <c r="E26" s="3" t="s">
        <v>578</v>
      </c>
      <c r="F26" s="4">
        <f t="shared" si="2"/>
        <v>7</v>
      </c>
      <c r="G26" s="5" t="s">
        <v>426</v>
      </c>
      <c r="H26" s="3" t="s">
        <v>178</v>
      </c>
      <c r="J26" s="3">
        <v>2003</v>
      </c>
      <c r="K26" s="5" t="s">
        <v>72</v>
      </c>
      <c r="L26" s="4" t="s">
        <v>73</v>
      </c>
      <c r="M26" s="3" t="s">
        <v>5</v>
      </c>
      <c r="N26" s="4" t="s">
        <v>485</v>
      </c>
      <c r="O26" s="4" t="s">
        <v>487</v>
      </c>
      <c r="P26" s="3" t="s">
        <v>74</v>
      </c>
      <c r="Q26" s="3" t="s">
        <v>415</v>
      </c>
      <c r="R26" s="3" t="str">
        <f ca="1">IF(OR(CELL("contenido",O26)="Baja",CELL("contenido",J26)&gt;2015,CELL("contenido",F26)="N/A"),"N/A",VLOOKUP(F26,#REF!,2,FALSE))</f>
        <v>N/A</v>
      </c>
      <c r="S26" s="3" t="str">
        <f ca="1">IF(OR(CELL("contenido",O26)="Baja",CELL("contenido",J26)&gt;2015,CELL("contenido",F26)="N/A"),"N/A",VLOOKUP(F26,#REF!,2,FALSE))</f>
        <v>N/A</v>
      </c>
      <c r="T26" s="3" t="str">
        <f ca="1">IF(OR(CELL("contenido",O26)="Baja",CELL("contenido",J26)&gt;2015,CELL("contenido",F26)="N/A"),"N/A",VLOOKUP(F26,#REF!,2,FALSE))</f>
        <v>N/A</v>
      </c>
      <c r="U26" s="3" t="str">
        <f ca="1">IF(OR(CELL("contenido",O26)="Baja",CELL("contenido",J26)&gt;2015,CELL("contenido",F26)="N/A"),"N/A",VLOOKUP(F26,#REF!,2,FALSE))</f>
        <v>N/A</v>
      </c>
      <c r="V26" s="3" t="str">
        <f t="shared" ca="1" si="6"/>
        <v>Baja</v>
      </c>
      <c r="W26" s="3" t="str">
        <f t="shared" si="3"/>
        <v>Zona Metropolitana de Guadalajara</v>
      </c>
      <c r="X26" s="3" t="e">
        <f>C26=VLOOKUP($C26,PólizaEstatal!$H$2:$H$82,1,FALSE)</f>
        <v>#N/A</v>
      </c>
      <c r="Y26" s="3" t="str">
        <f t="shared" si="4"/>
        <v>3N1JH01S23L034352 JCP2507</v>
      </c>
      <c r="AA26" s="4" t="s">
        <v>816</v>
      </c>
      <c r="AB26" s="3" t="s">
        <v>771</v>
      </c>
      <c r="AC26" s="71" t="e">
        <f>VLOOKUP($E26,'ResguardosXDir-CZ'!$C$2:$G$123,5,FALSE)</f>
        <v>#N/A</v>
      </c>
      <c r="AD26" s="71" t="e">
        <f>VLOOKUP($E26,'ResguardosXDir-CZ'!$C$2:$G$123,4,FALSE)</f>
        <v>#N/A</v>
      </c>
      <c r="AE26" s="5" t="s">
        <v>957</v>
      </c>
    </row>
    <row r="27" spans="1:31" ht="14.25" hidden="1" customHeight="1" x14ac:dyDescent="0.2">
      <c r="A27" s="4" t="str">
        <f t="shared" si="5"/>
        <v>JCP2512</v>
      </c>
      <c r="B27" s="3" t="str">
        <f t="shared" si="0"/>
        <v>IEEAJ-26017-1202-01</v>
      </c>
      <c r="C27" s="3" t="str">
        <f t="shared" si="1"/>
        <v>3N1JH01S23L023254</v>
      </c>
      <c r="D27" s="3">
        <v>38</v>
      </c>
      <c r="E27" s="3" t="s">
        <v>599</v>
      </c>
      <c r="F27" s="4">
        <f t="shared" si="2"/>
        <v>2</v>
      </c>
      <c r="G27" s="5" t="s">
        <v>426</v>
      </c>
      <c r="H27" s="3" t="s">
        <v>178</v>
      </c>
      <c r="J27" s="3">
        <v>2003</v>
      </c>
      <c r="K27" s="5" t="s">
        <v>75</v>
      </c>
      <c r="L27" s="4" t="s">
        <v>76</v>
      </c>
      <c r="M27" s="3" t="s">
        <v>5</v>
      </c>
      <c r="N27" s="4" t="s">
        <v>485</v>
      </c>
      <c r="O27" s="4" t="s">
        <v>487</v>
      </c>
      <c r="P27" s="3" t="s">
        <v>77</v>
      </c>
      <c r="Q27" s="3" t="s">
        <v>415</v>
      </c>
      <c r="R27" s="3" t="str">
        <f ca="1">IF(OR(CELL("contenido",O27)="Baja",CELL("contenido",J27)&gt;2015,CELL("contenido",F27)="N/A"),"N/A",VLOOKUP(F27,#REF!,2,FALSE))</f>
        <v>N/A</v>
      </c>
      <c r="S27" s="3" t="str">
        <f ca="1">IF(OR(CELL("contenido",O27)="Baja",CELL("contenido",J27)&gt;2015,CELL("contenido",F27)="N/A"),"N/A",VLOOKUP(F27,#REF!,2,FALSE))</f>
        <v>N/A</v>
      </c>
      <c r="T27" s="3" t="str">
        <f ca="1">IF(OR(CELL("contenido",O27)="Baja",CELL("contenido",J27)&gt;2015,CELL("contenido",F27)="N/A"),"N/A",VLOOKUP(F27,#REF!,2,FALSE))</f>
        <v>N/A</v>
      </c>
      <c r="U27" s="3" t="str">
        <f ca="1">IF(OR(CELL("contenido",O27)="Baja",CELL("contenido",J27)&gt;2015,CELL("contenido",F27)="N/A"),"N/A",VLOOKUP(F27,#REF!,2,FALSE))</f>
        <v>N/A</v>
      </c>
      <c r="V27" s="3" t="str">
        <f t="shared" ca="1" si="6"/>
        <v>Baja</v>
      </c>
      <c r="W27" s="3" t="str">
        <f t="shared" si="3"/>
        <v>Zona Metropolitana de Guadalajara</v>
      </c>
      <c r="X27" s="3" t="e">
        <f>C27=VLOOKUP($C27,PólizaEstatal!$H$2:$H$82,1,FALSE)</f>
        <v>#N/A</v>
      </c>
      <c r="Y27" s="3" t="str">
        <f t="shared" si="4"/>
        <v>3N1JH01S23L023254 JCP2512</v>
      </c>
      <c r="AA27" s="4" t="s">
        <v>1026</v>
      </c>
      <c r="AB27" s="3" t="s">
        <v>771</v>
      </c>
      <c r="AC27" s="71" t="e">
        <f>VLOOKUP($E27,'ResguardosXDir-CZ'!$C$2:$G$123,5,FALSE)</f>
        <v>#N/A</v>
      </c>
      <c r="AD27" s="71" t="e">
        <f>VLOOKUP($E27,'ResguardosXDir-CZ'!$C$2:$G$123,4,FALSE)</f>
        <v>#N/A</v>
      </c>
      <c r="AE27" s="5" t="s">
        <v>957</v>
      </c>
    </row>
    <row r="28" spans="1:31" ht="14.25" hidden="1" customHeight="1" x14ac:dyDescent="0.2">
      <c r="A28" s="4" t="str">
        <f t="shared" si="5"/>
        <v>JH99605</v>
      </c>
      <c r="B28" s="3" t="str">
        <f t="shared" si="0"/>
        <v>IEEAJ-25981-1202-01</v>
      </c>
      <c r="C28" s="3" t="str">
        <f t="shared" si="1"/>
        <v>3N6CD13S23K047836</v>
      </c>
      <c r="D28" s="3">
        <v>39</v>
      </c>
      <c r="E28" s="3" t="s">
        <v>546</v>
      </c>
      <c r="F28" s="4">
        <f t="shared" si="2"/>
        <v>5</v>
      </c>
      <c r="G28" s="3" t="s">
        <v>426</v>
      </c>
      <c r="H28" s="3" t="s">
        <v>427</v>
      </c>
      <c r="I28" s="3" t="s">
        <v>681</v>
      </c>
      <c r="J28" s="3">
        <v>2003</v>
      </c>
      <c r="K28" s="5" t="s">
        <v>78</v>
      </c>
      <c r="L28" s="4" t="s">
        <v>79</v>
      </c>
      <c r="M28" s="3" t="s">
        <v>5</v>
      </c>
      <c r="N28" s="4" t="s">
        <v>473</v>
      </c>
      <c r="O28" s="4" t="s">
        <v>826</v>
      </c>
      <c r="P28" s="3" t="s">
        <v>80</v>
      </c>
      <c r="R28" s="3" t="e">
        <f ca="1">IF(OR(CELL("contenido",O28)="Baja",CELL("contenido",J28)&gt;2015,CELL("contenido",F28)="N/A"),"N/A",VLOOKUP(F28,#REF!,2,FALSE))</f>
        <v>#REF!</v>
      </c>
      <c r="S28" s="3" t="e">
        <f ca="1">IF(OR(CELL("contenido",O28)="Baja",CELL("contenido",J28)&gt;2015,CELL("contenido",F28)="N/A"),"N/A",VLOOKUP(F28,#REF!,2,FALSE))</f>
        <v>#REF!</v>
      </c>
      <c r="T28" s="3" t="e">
        <f ca="1">IF(OR(CELL("contenido",O28)="Baja",CELL("contenido",J28)&gt;2015,CELL("contenido",F28)="N/A"),"N/A",VLOOKUP(F28,#REF!,2,FALSE))</f>
        <v>#REF!</v>
      </c>
      <c r="U28" s="3" t="e">
        <f ca="1">IF(OR(CELL("contenido",O28)="Baja",CELL("contenido",J28)&gt;2015,CELL("contenido",F28)="N/A"),"N/A",VLOOKUP(F28,#REF!,2,FALSE))</f>
        <v>#REF!</v>
      </c>
      <c r="V28" s="3" t="s">
        <v>720</v>
      </c>
      <c r="W28" s="3" t="str">
        <f t="shared" si="3"/>
        <v>Zona Metropolitana de Guadalajara</v>
      </c>
      <c r="X28" s="3" t="b">
        <f>C28=VLOOKUP($C28,PólizaEstatal!$H$2:$H$82,1,FALSE)</f>
        <v>1</v>
      </c>
      <c r="Y28" s="3" t="str">
        <f t="shared" si="4"/>
        <v>3N6CD13S23K047836 JH99605</v>
      </c>
      <c r="AA28" s="4" t="s">
        <v>953</v>
      </c>
      <c r="AB28" s="3" t="s">
        <v>771</v>
      </c>
      <c r="AC28" s="71" t="str">
        <f>VLOOKUP($E28,'ResguardosXDir-CZ'!$C$2:$G$123,5,FALSE)</f>
        <v>23 TLAJOMULCO</v>
      </c>
      <c r="AD28" s="71" t="str">
        <f>VLOOKUP($E28,'ResguardosXDir-CZ'!$C$2:$G$123,4,FALSE)</f>
        <v>Alfonso Pineda Meraz</v>
      </c>
      <c r="AE28" s="4" t="s">
        <v>957</v>
      </c>
    </row>
    <row r="29" spans="1:31" ht="15" hidden="1" customHeight="1" x14ac:dyDescent="0.25">
      <c r="A29" s="4" t="str">
        <f t="shared" si="5"/>
        <v>JP71341</v>
      </c>
      <c r="B29" s="3" t="str">
        <f t="shared" si="0"/>
        <v>IEEAJ-25982-1202--01</v>
      </c>
      <c r="C29" s="3" t="str">
        <f t="shared" si="1"/>
        <v>3N6CD13S03K047835</v>
      </c>
      <c r="D29" s="3">
        <v>40</v>
      </c>
      <c r="E29" s="3" t="s">
        <v>596</v>
      </c>
      <c r="F29" s="4">
        <f t="shared" si="2"/>
        <v>1</v>
      </c>
      <c r="G29" s="3" t="s">
        <v>426</v>
      </c>
      <c r="H29" s="3" t="s">
        <v>427</v>
      </c>
      <c r="I29" s="3" t="s">
        <v>681</v>
      </c>
      <c r="J29" s="3">
        <v>2003</v>
      </c>
      <c r="K29" s="5" t="s">
        <v>81</v>
      </c>
      <c r="L29" s="4" t="s">
        <v>82</v>
      </c>
      <c r="M29" s="3" t="s">
        <v>5</v>
      </c>
      <c r="N29" s="4" t="s">
        <v>470</v>
      </c>
      <c r="O29" s="5" t="s">
        <v>734</v>
      </c>
      <c r="P29" s="3" t="s">
        <v>83</v>
      </c>
      <c r="Q29" s="3" t="s">
        <v>422</v>
      </c>
      <c r="R29" s="3" t="e">
        <f ca="1">IF(OR(CELL("contenido",O29)="Baja",CELL("contenido",J29)&gt;2015,CELL("contenido",F29)="N/A"),"N/A",VLOOKUP(F29,#REF!,2,FALSE))</f>
        <v>#REF!</v>
      </c>
      <c r="S29" s="3" t="e">
        <f ca="1">IF(OR(CELL("contenido",O29)="Baja",CELL("contenido",J29)&gt;2015,CELL("contenido",F29)="N/A"),"N/A",VLOOKUP(F29,#REF!,2,FALSE))</f>
        <v>#REF!</v>
      </c>
      <c r="T29" s="3" t="e">
        <f ca="1">IF(OR(CELL("contenido",O29)="Baja",CELL("contenido",J29)&gt;2015,CELL("contenido",F29)="N/A"),"N/A",VLOOKUP(F29,#REF!,2,FALSE))</f>
        <v>#REF!</v>
      </c>
      <c r="U29" s="3" t="e">
        <f ca="1">IF(OR(CELL("contenido",O29)="Baja",CELL("contenido",J29)&gt;2015,CELL("contenido",F29)="N/A"),"N/A",VLOOKUP(F29,#REF!,2,FALSE))</f>
        <v>#REF!</v>
      </c>
      <c r="V29" s="3" t="str">
        <f t="shared" ca="1" si="6"/>
        <v>Activo</v>
      </c>
      <c r="W29" s="3" t="str">
        <f t="shared" si="3"/>
        <v>Mascota</v>
      </c>
      <c r="X29" s="3" t="b">
        <f>C29=VLOOKUP($C29,PólizaEstatal!$H$2:$H$82,1,FALSE)</f>
        <v>1</v>
      </c>
      <c r="Y29" s="3" t="str">
        <f t="shared" si="4"/>
        <v>3N6CD13S03K047835 JP71341</v>
      </c>
      <c r="AA29" s="3" t="s">
        <v>947</v>
      </c>
      <c r="AB29" s="3" t="s">
        <v>771</v>
      </c>
      <c r="AC29" s="11" t="str">
        <f>VLOOKUP($E29,'ResguardosXDir-CZ'!$C$2:$G$123,5,FALSE)</f>
        <v>13 MASCOTA</v>
      </c>
      <c r="AD29" s="11" t="str">
        <f>VLOOKUP($E29,'ResguardosXDir-CZ'!$C$2:$G$123,4,FALSE)</f>
        <v>Jesus Damián Vázquez Barajas</v>
      </c>
      <c r="AE29" s="4">
        <v>4</v>
      </c>
    </row>
    <row r="30" spans="1:31" ht="15" hidden="1" customHeight="1" x14ac:dyDescent="0.25">
      <c r="A30" s="4" t="str">
        <f t="shared" si="5"/>
        <v>JH07553</v>
      </c>
      <c r="B30" s="3" t="str">
        <f t="shared" si="0"/>
        <v>IEEAJ-25983-1202-01</v>
      </c>
      <c r="C30" s="3" t="str">
        <f t="shared" si="1"/>
        <v>3N6CD13S93K047834</v>
      </c>
      <c r="D30" s="5">
        <v>41</v>
      </c>
      <c r="E30" s="3" t="s">
        <v>509</v>
      </c>
      <c r="F30" s="4">
        <f t="shared" si="2"/>
        <v>3</v>
      </c>
      <c r="G30" s="3" t="s">
        <v>426</v>
      </c>
      <c r="H30" s="3" t="s">
        <v>427</v>
      </c>
      <c r="I30" s="3" t="s">
        <v>681</v>
      </c>
      <c r="J30" s="3">
        <v>2003</v>
      </c>
      <c r="K30" s="5" t="s">
        <v>84</v>
      </c>
      <c r="L30" s="4" t="s">
        <v>85</v>
      </c>
      <c r="M30" s="3" t="s">
        <v>5</v>
      </c>
      <c r="N30" s="4" t="s">
        <v>478</v>
      </c>
      <c r="O30" s="4" t="s">
        <v>926</v>
      </c>
      <c r="P30" s="3" t="s">
        <v>86</v>
      </c>
      <c r="R30" s="3" t="e">
        <f ca="1">IF(OR(CELL("contenido",O30)="Baja",CELL("contenido",J30)&gt;2015,CELL("contenido",F30)="N/A"),"N/A",VLOOKUP(F30,#REF!,2,FALSE))</f>
        <v>#REF!</v>
      </c>
      <c r="S30" s="3" t="e">
        <f ca="1">IF(OR(CELL("contenido",O30)="Baja",CELL("contenido",J30)&gt;2015,CELL("contenido",F30)="N/A"),"N/A",VLOOKUP(F30,#REF!,2,FALSE))</f>
        <v>#REF!</v>
      </c>
      <c r="T30" s="3" t="e">
        <f ca="1">IF(OR(CELL("contenido",O30)="Baja",CELL("contenido",J30)&gt;2015,CELL("contenido",F30)="N/A"),"N/A",VLOOKUP(F30,#REF!,2,FALSE))</f>
        <v>#REF!</v>
      </c>
      <c r="U30" s="3" t="e">
        <f ca="1">IF(OR(CELL("contenido",O30)="Baja",CELL("contenido",J30)&gt;2015,CELL("contenido",F30)="N/A"),"N/A",VLOOKUP(F30,#REF!,2,FALSE))</f>
        <v>#REF!</v>
      </c>
      <c r="V30" s="3" t="str">
        <f t="shared" ca="1" si="6"/>
        <v>Activo</v>
      </c>
      <c r="W30" s="3" t="str">
        <f t="shared" si="3"/>
        <v>Autlán</v>
      </c>
      <c r="X30" s="3" t="b">
        <f>C30=VLOOKUP($C30,PólizaEstatal!$H$2:$H$82,1,FALSE)</f>
        <v>1</v>
      </c>
      <c r="Y30" s="3" t="str">
        <f t="shared" si="4"/>
        <v>3N6CD13S93K047834 JH07553</v>
      </c>
      <c r="AA30" s="3" t="s">
        <v>951</v>
      </c>
      <c r="AB30" s="3" t="s">
        <v>771</v>
      </c>
      <c r="AC30" s="11" t="str">
        <f>VLOOKUP($E30,'ResguardosXDir-CZ'!$C$2:$G$123,5,FALSE)</f>
        <v>09 AUTLAN</v>
      </c>
      <c r="AD30" s="11" t="str">
        <f>VLOOKUP($E30,'ResguardosXDir-CZ'!$C$2:$G$123,4,FALSE)</f>
        <v>Ramon Gómez Macedo</v>
      </c>
      <c r="AE30" s="4">
        <v>4</v>
      </c>
    </row>
    <row r="31" spans="1:31" ht="14.25" hidden="1" customHeight="1" x14ac:dyDescent="0.2">
      <c r="A31" s="4" t="str">
        <f t="shared" si="5"/>
        <v>JDV3821</v>
      </c>
      <c r="B31" s="3" t="str">
        <f t="shared" si="0"/>
        <v>IEEAJ-2380-1202-01</v>
      </c>
      <c r="C31" s="3" t="str">
        <f t="shared" si="1"/>
        <v>3VWS1A1B83M912305</v>
      </c>
      <c r="D31" s="3">
        <v>42</v>
      </c>
      <c r="E31" s="3" t="s">
        <v>584</v>
      </c>
      <c r="F31" s="4">
        <f t="shared" si="2"/>
        <v>1</v>
      </c>
      <c r="G31" s="3" t="s">
        <v>447</v>
      </c>
      <c r="H31" s="3" t="s">
        <v>449</v>
      </c>
      <c r="I31" s="3" t="s">
        <v>681</v>
      </c>
      <c r="J31" s="3">
        <v>2003</v>
      </c>
      <c r="K31" s="5" t="s">
        <v>87</v>
      </c>
      <c r="L31" s="4" t="s">
        <v>88</v>
      </c>
      <c r="M31" s="3" t="s">
        <v>5</v>
      </c>
      <c r="N31" s="4" t="s">
        <v>485</v>
      </c>
      <c r="O31" s="4" t="s">
        <v>493</v>
      </c>
      <c r="P31" s="3" t="s">
        <v>89</v>
      </c>
      <c r="R31" s="3" t="e">
        <f ca="1">IF(OR(CELL("contenido",O31)="Baja",CELL("contenido",J31)&gt;2015,CELL("contenido",F31)="N/A"),"N/A",VLOOKUP(F31,#REF!,2,FALSE))</f>
        <v>#REF!</v>
      </c>
      <c r="S31" s="3" t="e">
        <f ca="1">IF(OR(CELL("contenido",O31)="Baja",CELL("contenido",J31)&gt;2015,CELL("contenido",F31)="N/A"),"N/A",VLOOKUP(F31,#REF!,2,FALSE))</f>
        <v>#REF!</v>
      </c>
      <c r="T31" s="3" t="e">
        <f ca="1">IF(OR(CELL("contenido",O31)="Baja",CELL("contenido",J31)&gt;2015,CELL("contenido",F31)="N/A"),"N/A",VLOOKUP(F31,#REF!,2,FALSE))</f>
        <v>#REF!</v>
      </c>
      <c r="U31" s="3" t="e">
        <f ca="1">IF(OR(CELL("contenido",O31)="Baja",CELL("contenido",J31)&gt;2015,CELL("contenido",F31)="N/A"),"N/A",VLOOKUP(F31,#REF!,2,FALSE))</f>
        <v>#REF!</v>
      </c>
      <c r="V31" s="3" t="s">
        <v>720</v>
      </c>
      <c r="W31" s="3" t="str">
        <f t="shared" si="3"/>
        <v>Zona Metropolitana de Guadalajara</v>
      </c>
      <c r="X31" s="3" t="b">
        <f>C31=VLOOKUP($C31,PólizaEstatal!$H$2:$H$82,1,FALSE)</f>
        <v>1</v>
      </c>
      <c r="Y31" s="3" t="str">
        <f t="shared" si="4"/>
        <v>3VWS1A1B83M912305 JDV3821</v>
      </c>
      <c r="AA31" s="3" t="s">
        <v>685</v>
      </c>
      <c r="AB31" s="3" t="s">
        <v>771</v>
      </c>
      <c r="AC31" s="71" t="str">
        <f>VLOOKUP($E31,'ResguardosXDir-CZ'!$C$2:$G$123,5,FALSE)</f>
        <v>SGYRM</v>
      </c>
      <c r="AD31" s="71" t="str">
        <f>VLOOKUP($E31,'ResguardosXDir-CZ'!$C$2:$G$123,4,FALSE)</f>
        <v>David Josafat López Polanco</v>
      </c>
      <c r="AE31" s="4" t="s">
        <v>957</v>
      </c>
    </row>
    <row r="32" spans="1:31" ht="14.25" hidden="1" customHeight="1" x14ac:dyDescent="0.2">
      <c r="A32" s="4" t="str">
        <f t="shared" si="5"/>
        <v>JGS2620</v>
      </c>
      <c r="B32" s="3" t="str">
        <f t="shared" si="0"/>
        <v>IEEAJ-2381-1202-01</v>
      </c>
      <c r="C32" s="3" t="str">
        <f t="shared" si="1"/>
        <v>3VWS1A1BX3M912306</v>
      </c>
      <c r="D32" s="3">
        <v>43</v>
      </c>
      <c r="E32" s="3" t="s">
        <v>548</v>
      </c>
      <c r="F32" s="4">
        <f t="shared" si="2"/>
        <v>0</v>
      </c>
      <c r="G32" s="3" t="s">
        <v>447</v>
      </c>
      <c r="H32" s="3" t="s">
        <v>449</v>
      </c>
      <c r="I32" s="3" t="s">
        <v>681</v>
      </c>
      <c r="J32" s="3">
        <v>2003</v>
      </c>
      <c r="K32" s="5" t="s">
        <v>90</v>
      </c>
      <c r="L32" s="4" t="s">
        <v>91</v>
      </c>
      <c r="M32" s="3" t="s">
        <v>5</v>
      </c>
      <c r="N32" s="4" t="s">
        <v>485</v>
      </c>
      <c r="O32" s="4" t="s">
        <v>493</v>
      </c>
      <c r="P32" s="3" t="s">
        <v>92</v>
      </c>
      <c r="Q32" s="3" t="s">
        <v>710</v>
      </c>
      <c r="R32" s="3" t="e">
        <f ca="1">IF(OR(CELL("contenido",O32)="Baja",CELL("contenido",J32)&gt;2015,CELL("contenido",F32)="N/A"),"N/A",VLOOKUP(F32,#REF!,2,FALSE))</f>
        <v>#REF!</v>
      </c>
      <c r="S32" s="3" t="e">
        <f ca="1">IF(OR(CELL("contenido",O32)="Baja",CELL("contenido",J32)&gt;2015,CELL("contenido",F32)="N/A"),"N/A",VLOOKUP(F32,#REF!,2,FALSE))</f>
        <v>#REF!</v>
      </c>
      <c r="T32" s="3" t="e">
        <f ca="1">IF(OR(CELL("contenido",O32)="Baja",CELL("contenido",J32)&gt;2015,CELL("contenido",F32)="N/A"),"N/A",VLOOKUP(F32,#REF!,2,FALSE))</f>
        <v>#REF!</v>
      </c>
      <c r="U32" s="3" t="e">
        <f ca="1">IF(OR(CELL("contenido",O32)="Baja",CELL("contenido",J32)&gt;2015,CELL("contenido",F32)="N/A"),"N/A",VLOOKUP(F32,#REF!,2,FALSE))</f>
        <v>#REF!</v>
      </c>
      <c r="V32" s="3" t="s">
        <v>720</v>
      </c>
      <c r="W32" s="3" t="str">
        <f t="shared" si="3"/>
        <v>Zona Metropolitana de Guadalajara</v>
      </c>
      <c r="X32" s="3" t="b">
        <f>C32=VLOOKUP($C32,PólizaEstatal!$H$2:$H$82,1,FALSE)</f>
        <v>1</v>
      </c>
      <c r="Y32" s="3" t="str">
        <f t="shared" si="4"/>
        <v>3VWS1A1BX3M912306 JGS2620</v>
      </c>
      <c r="AA32" s="3" t="s">
        <v>763</v>
      </c>
      <c r="AB32" s="3" t="s">
        <v>771</v>
      </c>
      <c r="AC32" s="71" t="str">
        <f>VLOOKUP($E32,'ResguardosXDir-CZ'!$C$2:$G$123,5,FALSE)</f>
        <v>SGYRM</v>
      </c>
      <c r="AD32" s="71" t="str">
        <f>VLOOKUP($E32,'ResguardosXDir-CZ'!$C$2:$G$123,4,FALSE)</f>
        <v>David Josafat López Polanco</v>
      </c>
      <c r="AE32" s="4" t="s">
        <v>957</v>
      </c>
    </row>
    <row r="33" spans="1:31" ht="14.25" hidden="1" customHeight="1" x14ac:dyDescent="0.2">
      <c r="A33" s="4" t="str">
        <f t="shared" si="5"/>
        <v>JDV3801</v>
      </c>
      <c r="B33" s="3" t="str">
        <f t="shared" ref="B33:B64" si="8">P33</f>
        <v>IEEAJ-2383-1202-01</v>
      </c>
      <c r="C33" s="3" t="str">
        <f t="shared" ref="C33:C64" si="9">K33</f>
        <v>3VWS1A1B93M912328</v>
      </c>
      <c r="D33" s="3">
        <v>44</v>
      </c>
      <c r="E33" s="3" t="s">
        <v>539</v>
      </c>
      <c r="F33" s="4">
        <f t="shared" si="2"/>
        <v>1</v>
      </c>
      <c r="G33" s="3" t="s">
        <v>447</v>
      </c>
      <c r="H33" s="3" t="s">
        <v>449</v>
      </c>
      <c r="I33" s="3" t="s">
        <v>681</v>
      </c>
      <c r="J33" s="3">
        <v>2003</v>
      </c>
      <c r="K33" s="5" t="s">
        <v>93</v>
      </c>
      <c r="L33" s="4" t="s">
        <v>94</v>
      </c>
      <c r="M33" s="3" t="s">
        <v>5</v>
      </c>
      <c r="N33" s="4" t="s">
        <v>485</v>
      </c>
      <c r="O33" s="4" t="s">
        <v>493</v>
      </c>
      <c r="P33" s="3" t="s">
        <v>95</v>
      </c>
      <c r="R33" s="3" t="e">
        <f ca="1">IF(OR(CELL("contenido",O33)="Baja",CELL("contenido",J33)&gt;2015,CELL("contenido",F33)="N/A"),"N/A",VLOOKUP(F33,#REF!,2,FALSE))</f>
        <v>#REF!</v>
      </c>
      <c r="S33" s="3" t="e">
        <f ca="1">IF(OR(CELL("contenido",O33)="Baja",CELL("contenido",J33)&gt;2015,CELL("contenido",F33)="N/A"),"N/A",VLOOKUP(F33,#REF!,2,FALSE))</f>
        <v>#REF!</v>
      </c>
      <c r="T33" s="3" t="e">
        <f ca="1">IF(OR(CELL("contenido",O33)="Baja",CELL("contenido",J33)&gt;2015,CELL("contenido",F33)="N/A"),"N/A",VLOOKUP(F33,#REF!,2,FALSE))</f>
        <v>#REF!</v>
      </c>
      <c r="U33" s="3" t="e">
        <f ca="1">IF(OR(CELL("contenido",O33)="Baja",CELL("contenido",J33)&gt;2015,CELL("contenido",F33)="N/A"),"N/A",VLOOKUP(F33,#REF!,2,FALSE))</f>
        <v>#REF!</v>
      </c>
      <c r="V33" s="3" t="s">
        <v>720</v>
      </c>
      <c r="W33" s="3" t="str">
        <f t="shared" si="3"/>
        <v>Zona Metropolitana de Guadalajara</v>
      </c>
      <c r="X33" s="3" t="b">
        <f>C33=VLOOKUP($C33,PólizaEstatal!$H$2:$H$82,1,FALSE)</f>
        <v>1</v>
      </c>
      <c r="Y33" s="3" t="str">
        <f t="shared" si="4"/>
        <v>3VWS1A1B93M912328 JDV3801</v>
      </c>
      <c r="AA33" s="3" t="s">
        <v>738</v>
      </c>
      <c r="AB33" s="3" t="s">
        <v>771</v>
      </c>
      <c r="AC33" s="71" t="str">
        <f>VLOOKUP($E33,'ResguardosXDir-CZ'!$C$2:$G$123,5,FALSE)</f>
        <v>SGYRM</v>
      </c>
      <c r="AD33" s="71" t="str">
        <f>VLOOKUP($E33,'ResguardosXDir-CZ'!$C$2:$G$123,4,FALSE)</f>
        <v>David Josafat López Polanco</v>
      </c>
      <c r="AE33" s="4" t="s">
        <v>957</v>
      </c>
    </row>
    <row r="34" spans="1:31" ht="14.25" hidden="1" customHeight="1" x14ac:dyDescent="0.2">
      <c r="A34" s="4" t="str">
        <f t="shared" si="5"/>
        <v>JCL1185</v>
      </c>
      <c r="B34" s="3" t="str">
        <f t="shared" si="8"/>
        <v>IEEAJ-2384-1202-01</v>
      </c>
      <c r="C34" s="3" t="str">
        <f t="shared" si="9"/>
        <v>3VWS1A1BX3M912323</v>
      </c>
      <c r="D34" s="3">
        <v>45</v>
      </c>
      <c r="E34" s="3" t="s">
        <v>585</v>
      </c>
      <c r="F34" s="4">
        <f t="shared" ref="F34:F65" si="10">VALUE(RIGHT(E34))</f>
        <v>5</v>
      </c>
      <c r="G34" s="3" t="s">
        <v>447</v>
      </c>
      <c r="H34" s="3" t="s">
        <v>449</v>
      </c>
      <c r="I34" s="3" t="s">
        <v>681</v>
      </c>
      <c r="J34" s="3">
        <v>2003</v>
      </c>
      <c r="K34" s="5" t="s">
        <v>96</v>
      </c>
      <c r="L34" s="4" t="s">
        <v>97</v>
      </c>
      <c r="M34" s="3" t="s">
        <v>5</v>
      </c>
      <c r="N34" s="4" t="s">
        <v>485</v>
      </c>
      <c r="O34" s="4" t="s">
        <v>487</v>
      </c>
      <c r="P34" s="3" t="s">
        <v>98</v>
      </c>
      <c r="Q34" s="3" t="s">
        <v>415</v>
      </c>
      <c r="R34" s="3" t="str">
        <f ca="1">IF(OR(CELL("contenido",O34)="Baja",CELL("contenido",J34)&gt;2015,CELL("contenido",F34)="N/A"),"N/A",VLOOKUP(F34,#REF!,2,FALSE))</f>
        <v>N/A</v>
      </c>
      <c r="S34" s="3" t="str">
        <f ca="1">IF(OR(CELL("contenido",O34)="Baja",CELL("contenido",J34)&gt;2015,CELL("contenido",F34)="N/A"),"N/A",VLOOKUP(F34,#REF!,2,FALSE))</f>
        <v>N/A</v>
      </c>
      <c r="T34" s="3" t="str">
        <f ca="1">IF(OR(CELL("contenido",O34)="Baja",CELL("contenido",J34)&gt;2015,CELL("contenido",F34)="N/A"),"N/A",VLOOKUP(F34,#REF!,2,FALSE))</f>
        <v>N/A</v>
      </c>
      <c r="U34" s="3" t="str">
        <f ca="1">IF(OR(CELL("contenido",O34)="Baja",CELL("contenido",J34)&gt;2015,CELL("contenido",F34)="N/A"),"N/A",VLOOKUP(F34,#REF!,2,FALSE))</f>
        <v>N/A</v>
      </c>
      <c r="V34" s="3" t="str">
        <f t="shared" ca="1" si="6"/>
        <v>Baja</v>
      </c>
      <c r="W34" s="3" t="str">
        <f t="shared" ref="W34:W64" si="11">VLOOKUP(N34,$AA$2:$AB$33,2,FALSE)</f>
        <v>Zona Metropolitana de Guadalajara</v>
      </c>
      <c r="X34" s="3" t="e">
        <f>C34=VLOOKUP($C34,PólizaEstatal!$H$2:$H$82,1,FALSE)</f>
        <v>#N/A</v>
      </c>
      <c r="Y34" s="3" t="str">
        <f t="shared" ref="Y34:Y65" si="12">CONCATENATE(TRIM(C34)," ",TRIM(E34))</f>
        <v>3VWS1A1BX3M912323 JCL1185</v>
      </c>
      <c r="AC34" s="71" t="e">
        <f>VLOOKUP($E34,'ResguardosXDir-CZ'!$C$2:$G$123,5,FALSE)</f>
        <v>#N/A</v>
      </c>
      <c r="AD34" s="71" t="e">
        <f>VLOOKUP($E34,'ResguardosXDir-CZ'!$C$2:$G$123,4,FALSE)</f>
        <v>#N/A</v>
      </c>
      <c r="AE34" s="5" t="s">
        <v>957</v>
      </c>
    </row>
    <row r="35" spans="1:31" ht="14.25" hidden="1" customHeight="1" x14ac:dyDescent="0.2">
      <c r="A35" s="4" t="str">
        <f t="shared" si="5"/>
        <v>JCL1186</v>
      </c>
      <c r="B35" s="3" t="str">
        <f t="shared" si="8"/>
        <v>IEEAJ-2385-1202-01</v>
      </c>
      <c r="C35" s="3" t="str">
        <f t="shared" si="9"/>
        <v>3VWS1A1B53M912665</v>
      </c>
      <c r="D35" s="3">
        <v>46</v>
      </c>
      <c r="E35" s="3" t="s">
        <v>407</v>
      </c>
      <c r="F35" s="4">
        <f t="shared" si="10"/>
        <v>6</v>
      </c>
      <c r="G35" s="3" t="s">
        <v>447</v>
      </c>
      <c r="H35" s="3" t="s">
        <v>449</v>
      </c>
      <c r="I35" s="3" t="s">
        <v>681</v>
      </c>
      <c r="J35" s="3">
        <v>2003</v>
      </c>
      <c r="K35" s="5" t="s">
        <v>99</v>
      </c>
      <c r="L35" s="4" t="s">
        <v>100</v>
      </c>
      <c r="M35" s="3" t="s">
        <v>5</v>
      </c>
      <c r="N35" s="5" t="s">
        <v>485</v>
      </c>
      <c r="O35" s="4" t="s">
        <v>493</v>
      </c>
      <c r="P35" s="3" t="s">
        <v>101</v>
      </c>
      <c r="Q35" s="3" t="s">
        <v>680</v>
      </c>
      <c r="R35" s="3" t="e">
        <f ca="1">IF(OR(CELL("contenido",O35)="Baja",CELL("contenido",J35)&gt;2015,CELL("contenido",F35)="N/A"),"N/A",VLOOKUP(F35,#REF!,2,FALSE))</f>
        <v>#REF!</v>
      </c>
      <c r="S35" s="3" t="e">
        <f ca="1">IF(OR(CELL("contenido",O35)="Baja",CELL("contenido",J35)&gt;2015,CELL("contenido",F35)="N/A"),"N/A",VLOOKUP(F35,#REF!,2,FALSE))</f>
        <v>#REF!</v>
      </c>
      <c r="T35" s="3" t="e">
        <f ca="1">IF(OR(CELL("contenido",O35)="Baja",CELL("contenido",J35)&gt;2015,CELL("contenido",F35)="N/A"),"N/A",VLOOKUP(F35,#REF!,2,FALSE))</f>
        <v>#REF!</v>
      </c>
      <c r="U35" s="3" t="e">
        <f ca="1">IF(OR(CELL("contenido",O35)="Baja",CELL("contenido",J35)&gt;2015,CELL("contenido",F35)="N/A"),"N/A",VLOOKUP(F35,#REF!,2,FALSE))</f>
        <v>#REF!</v>
      </c>
      <c r="V35" s="3" t="s">
        <v>720</v>
      </c>
      <c r="W35" s="3" t="str">
        <f t="shared" si="11"/>
        <v>Zona Metropolitana de Guadalajara</v>
      </c>
      <c r="X35" s="3" t="b">
        <f>C35=VLOOKUP($C35,PólizaEstatal!$H$2:$H$82,1,FALSE)</f>
        <v>1</v>
      </c>
      <c r="Y35" s="3" t="str">
        <f t="shared" si="12"/>
        <v>3VWS1A1B53M912665 JCL1186</v>
      </c>
      <c r="AC35" s="71" t="str">
        <f>VLOOKUP($E35,'ResguardosXDir-CZ'!$C$2:$G$123,5,FALSE)</f>
        <v>ALMACEN</v>
      </c>
      <c r="AD35" s="71" t="str">
        <f>VLOOKUP($E35,'ResguardosXDir-CZ'!$C$2:$G$123,4,FALSE)</f>
        <v>Jose Osorio Lomelí</v>
      </c>
      <c r="AE35" s="4" t="s">
        <v>957</v>
      </c>
    </row>
    <row r="36" spans="1:31" ht="14.25" hidden="1" customHeight="1" x14ac:dyDescent="0.2">
      <c r="A36" s="4" t="str">
        <f t="shared" si="5"/>
        <v>JEY9158</v>
      </c>
      <c r="B36" s="3" t="str">
        <f t="shared" si="8"/>
        <v>IEEAJ-2386-1202-01</v>
      </c>
      <c r="C36" s="3" t="str">
        <f t="shared" si="9"/>
        <v>3VWS1A1B53M912312</v>
      </c>
      <c r="D36" s="3">
        <v>47</v>
      </c>
      <c r="E36" s="3" t="s">
        <v>586</v>
      </c>
      <c r="F36" s="4">
        <f t="shared" si="10"/>
        <v>8</v>
      </c>
      <c r="G36" s="3" t="s">
        <v>447</v>
      </c>
      <c r="H36" s="3" t="s">
        <v>449</v>
      </c>
      <c r="I36" s="3" t="s">
        <v>681</v>
      </c>
      <c r="J36" s="3">
        <v>2003</v>
      </c>
      <c r="K36" s="5" t="s">
        <v>102</v>
      </c>
      <c r="L36" s="4" t="s">
        <v>103</v>
      </c>
      <c r="M36" s="3" t="s">
        <v>5</v>
      </c>
      <c r="N36" s="4" t="s">
        <v>485</v>
      </c>
      <c r="O36" s="4" t="s">
        <v>487</v>
      </c>
      <c r="P36" s="3" t="s">
        <v>104</v>
      </c>
      <c r="Q36" s="3" t="s">
        <v>415</v>
      </c>
      <c r="R36" s="3" t="str">
        <f ca="1">IF(OR(CELL("contenido",O36)="Baja",CELL("contenido",J36)&gt;2015,CELL("contenido",F36)="N/A"),"N/A",VLOOKUP(F36,#REF!,2,FALSE))</f>
        <v>N/A</v>
      </c>
      <c r="S36" s="3" t="str">
        <f ca="1">IF(OR(CELL("contenido",O36)="Baja",CELL("contenido",J36)&gt;2015,CELL("contenido",F36)="N/A"),"N/A",VLOOKUP(F36,#REF!,2,FALSE))</f>
        <v>N/A</v>
      </c>
      <c r="T36" s="3" t="str">
        <f ca="1">IF(OR(CELL("contenido",O36)="Baja",CELL("contenido",J36)&gt;2015,CELL("contenido",F36)="N/A"),"N/A",VLOOKUP(F36,#REF!,2,FALSE))</f>
        <v>N/A</v>
      </c>
      <c r="U36" s="3" t="str">
        <f ca="1">IF(OR(CELL("contenido",O36)="Baja",CELL("contenido",J36)&gt;2015,CELL("contenido",F36)="N/A"),"N/A",VLOOKUP(F36,#REF!,2,FALSE))</f>
        <v>N/A</v>
      </c>
      <c r="V36" s="3" t="str">
        <f t="shared" ca="1" si="6"/>
        <v>Baja</v>
      </c>
      <c r="W36" s="3" t="str">
        <f t="shared" si="11"/>
        <v>Zona Metropolitana de Guadalajara</v>
      </c>
      <c r="X36" s="3" t="e">
        <f>C36=VLOOKUP($C36,PólizaEstatal!$H$2:$H$82,1,FALSE)</f>
        <v>#N/A</v>
      </c>
      <c r="Y36" s="3" t="str">
        <f t="shared" si="12"/>
        <v>3VWS1A1B53M912312 JEY9158</v>
      </c>
      <c r="AC36" s="71" t="e">
        <f>VLOOKUP($E36,'ResguardosXDir-CZ'!$C$2:$G$123,5,FALSE)</f>
        <v>#N/A</v>
      </c>
      <c r="AD36" s="71" t="e">
        <f>VLOOKUP($E36,'ResguardosXDir-CZ'!$C$2:$G$123,4,FALSE)</f>
        <v>#N/A</v>
      </c>
      <c r="AE36" s="5" t="s">
        <v>957</v>
      </c>
    </row>
    <row r="37" spans="1:31" ht="14.25" hidden="1" customHeight="1" x14ac:dyDescent="0.2">
      <c r="A37" s="4" t="str">
        <f t="shared" si="5"/>
        <v>JCL1188</v>
      </c>
      <c r="B37" s="3" t="str">
        <f t="shared" si="8"/>
        <v>IEEAJ-2387-1202-01</v>
      </c>
      <c r="C37" s="3" t="str">
        <f t="shared" si="9"/>
        <v>3VWS1A1B63M912304</v>
      </c>
      <c r="D37" s="3">
        <v>48</v>
      </c>
      <c r="E37" s="3" t="s">
        <v>600</v>
      </c>
      <c r="F37" s="4">
        <f t="shared" si="10"/>
        <v>8</v>
      </c>
      <c r="G37" s="3" t="s">
        <v>447</v>
      </c>
      <c r="H37" s="3" t="s">
        <v>449</v>
      </c>
      <c r="I37" s="3" t="s">
        <v>681</v>
      </c>
      <c r="J37" s="3">
        <v>2003</v>
      </c>
      <c r="K37" s="5" t="s">
        <v>105</v>
      </c>
      <c r="L37" s="4" t="s">
        <v>106</v>
      </c>
      <c r="M37" s="3" t="s">
        <v>5</v>
      </c>
      <c r="N37" s="4" t="s">
        <v>485</v>
      </c>
      <c r="O37" s="4" t="s">
        <v>487</v>
      </c>
      <c r="P37" s="3" t="s">
        <v>107</v>
      </c>
      <c r="Q37" s="3" t="s">
        <v>415</v>
      </c>
      <c r="R37" s="3" t="str">
        <f ca="1">IF(OR(CELL("contenido",O37)="Baja",CELL("contenido",J37)&gt;2015,CELL("contenido",F37)="N/A"),"N/A",VLOOKUP(F37,#REF!,2,FALSE))</f>
        <v>N/A</v>
      </c>
      <c r="S37" s="3" t="str">
        <f ca="1">IF(OR(CELL("contenido",O37)="Baja",CELL("contenido",J37)&gt;2015,CELL("contenido",F37)="N/A"),"N/A",VLOOKUP(F37,#REF!,2,FALSE))</f>
        <v>N/A</v>
      </c>
      <c r="T37" s="3" t="str">
        <f ca="1">IF(OR(CELL("contenido",O37)="Baja",CELL("contenido",J37)&gt;2015,CELL("contenido",F37)="N/A"),"N/A",VLOOKUP(F37,#REF!,2,FALSE))</f>
        <v>N/A</v>
      </c>
      <c r="U37" s="3" t="str">
        <f ca="1">IF(OR(CELL("contenido",O37)="Baja",CELL("contenido",J37)&gt;2015,CELL("contenido",F37)="N/A"),"N/A",VLOOKUP(F37,#REF!,2,FALSE))</f>
        <v>N/A</v>
      </c>
      <c r="V37" s="3" t="str">
        <f t="shared" ca="1" si="6"/>
        <v>Baja</v>
      </c>
      <c r="W37" s="3" t="str">
        <f t="shared" si="11"/>
        <v>Zona Metropolitana de Guadalajara</v>
      </c>
      <c r="X37" s="3" t="e">
        <f>C37=VLOOKUP($C37,PólizaEstatal!$H$2:$H$82,1,FALSE)</f>
        <v>#N/A</v>
      </c>
      <c r="Y37" s="3" t="str">
        <f t="shared" si="12"/>
        <v>3VWS1A1B63M912304 JCL1188</v>
      </c>
      <c r="AC37" s="71" t="e">
        <f>VLOOKUP($E37,'ResguardosXDir-CZ'!$C$2:$G$123,5,FALSE)</f>
        <v>#N/A</v>
      </c>
      <c r="AD37" s="71" t="e">
        <f>VLOOKUP($E37,'ResguardosXDir-CZ'!$C$2:$G$123,4,FALSE)</f>
        <v>#N/A</v>
      </c>
      <c r="AE37" s="5" t="s">
        <v>957</v>
      </c>
    </row>
    <row r="38" spans="1:31" ht="14.25" hidden="1" customHeight="1" x14ac:dyDescent="0.2">
      <c r="A38" s="4" t="str">
        <f t="shared" si="5"/>
        <v>JCL1189</v>
      </c>
      <c r="B38" s="3" t="str">
        <f t="shared" si="8"/>
        <v>IEEAJ-2388-1202-01</v>
      </c>
      <c r="C38" s="3" t="str">
        <f t="shared" si="9"/>
        <v>3VWS1A1B53M912309</v>
      </c>
      <c r="D38" s="3">
        <v>49</v>
      </c>
      <c r="E38" s="3" t="s">
        <v>528</v>
      </c>
      <c r="F38" s="4">
        <f t="shared" si="10"/>
        <v>9</v>
      </c>
      <c r="G38" s="3" t="s">
        <v>447</v>
      </c>
      <c r="H38" s="3" t="s">
        <v>449</v>
      </c>
      <c r="I38" s="3" t="s">
        <v>681</v>
      </c>
      <c r="J38" s="3">
        <v>2003</v>
      </c>
      <c r="K38" s="5" t="s">
        <v>108</v>
      </c>
      <c r="L38" s="4" t="s">
        <v>109</v>
      </c>
      <c r="M38" s="3" t="s">
        <v>5</v>
      </c>
      <c r="N38" s="4" t="s">
        <v>481</v>
      </c>
      <c r="O38" s="4" t="s">
        <v>739</v>
      </c>
      <c r="P38" s="3" t="s">
        <v>110</v>
      </c>
      <c r="R38" s="3" t="e">
        <f ca="1">IF(OR(CELL("contenido",O38)="Baja",CELL("contenido",J38)&gt;2015,CELL("contenido",F38)="N/A"),"N/A",VLOOKUP(F38,#REF!,2,FALSE))</f>
        <v>#REF!</v>
      </c>
      <c r="S38" s="3" t="e">
        <f ca="1">IF(OR(CELL("contenido",O38)="Baja",CELL("contenido",J38)&gt;2015,CELL("contenido",F38)="N/A"),"N/A",VLOOKUP(F38,#REF!,2,FALSE))</f>
        <v>#REF!</v>
      </c>
      <c r="T38" s="3" t="e">
        <f ca="1">IF(OR(CELL("contenido",O38)="Baja",CELL("contenido",J38)&gt;2015,CELL("contenido",F38)="N/A"),"N/A",VLOOKUP(F38,#REF!,2,FALSE))</f>
        <v>#REF!</v>
      </c>
      <c r="U38" s="3" t="e">
        <f ca="1">IF(OR(CELL("contenido",O38)="Baja",CELL("contenido",J38)&gt;2015,CELL("contenido",F38)="N/A"),"N/A",VLOOKUP(F38,#REF!,2,FALSE))</f>
        <v>#REF!</v>
      </c>
      <c r="V38" s="3" t="str">
        <f t="shared" ca="1" si="6"/>
        <v>Activo</v>
      </c>
      <c r="W38" s="3" t="str">
        <f t="shared" si="11"/>
        <v>Zona Metropolitana de Guadalajara</v>
      </c>
      <c r="X38" s="3" t="b">
        <f>C38=VLOOKUP($C38,PólizaEstatal!$H$2:$H$82,1,FALSE)</f>
        <v>1</v>
      </c>
      <c r="Y38" s="3" t="str">
        <f t="shared" si="12"/>
        <v>3VWS1A1B53M912309 JCL1189</v>
      </c>
      <c r="AC38" s="74" t="s">
        <v>910</v>
      </c>
      <c r="AD38" s="74" t="s">
        <v>950</v>
      </c>
      <c r="AE38" s="4">
        <v>4</v>
      </c>
    </row>
    <row r="39" spans="1:31" ht="14.25" hidden="1" customHeight="1" x14ac:dyDescent="0.2">
      <c r="A39" s="4" t="str">
        <f t="shared" si="5"/>
        <v>JDV3867</v>
      </c>
      <c r="B39" s="3" t="str">
        <f t="shared" si="8"/>
        <v>IEEAJ-2389-1202-01</v>
      </c>
      <c r="C39" s="3" t="str">
        <f t="shared" si="9"/>
        <v>3VWS1A1B43M912303</v>
      </c>
      <c r="D39" s="3">
        <v>50</v>
      </c>
      <c r="E39" s="3" t="s">
        <v>587</v>
      </c>
      <c r="F39" s="4">
        <f t="shared" si="10"/>
        <v>7</v>
      </c>
      <c r="G39" s="3" t="s">
        <v>447</v>
      </c>
      <c r="H39" s="3" t="s">
        <v>449</v>
      </c>
      <c r="I39" s="3" t="s">
        <v>681</v>
      </c>
      <c r="J39" s="3">
        <v>2003</v>
      </c>
      <c r="K39" s="5" t="s">
        <v>111</v>
      </c>
      <c r="L39" s="4" t="s">
        <v>112</v>
      </c>
      <c r="M39" s="3" t="s">
        <v>5</v>
      </c>
      <c r="N39" s="4" t="s">
        <v>485</v>
      </c>
      <c r="O39" s="4" t="s">
        <v>487</v>
      </c>
      <c r="P39" s="3" t="s">
        <v>113</v>
      </c>
      <c r="Q39" s="3" t="s">
        <v>415</v>
      </c>
      <c r="R39" s="3" t="str">
        <f ca="1">IF(OR(CELL("contenido",O39)="Baja",CELL("contenido",J39)&gt;2015,CELL("contenido",F39)="N/A"),"N/A",VLOOKUP(F39,#REF!,2,FALSE))</f>
        <v>N/A</v>
      </c>
      <c r="S39" s="3" t="str">
        <f ca="1">IF(OR(CELL("contenido",O39)="Baja",CELL("contenido",J39)&gt;2015,CELL("contenido",F39)="N/A"),"N/A",VLOOKUP(F39,#REF!,2,FALSE))</f>
        <v>N/A</v>
      </c>
      <c r="T39" s="3" t="str">
        <f ca="1">IF(OR(CELL("contenido",O39)="Baja",CELL("contenido",J39)&gt;2015,CELL("contenido",F39)="N/A"),"N/A",VLOOKUP(F39,#REF!,2,FALSE))</f>
        <v>N/A</v>
      </c>
      <c r="U39" s="3" t="str">
        <f ca="1">IF(OR(CELL("contenido",O39)="Baja",CELL("contenido",J39)&gt;2015,CELL("contenido",F39)="N/A"),"N/A",VLOOKUP(F39,#REF!,2,FALSE))</f>
        <v>N/A</v>
      </c>
      <c r="V39" s="3" t="str">
        <f t="shared" ca="1" si="6"/>
        <v>Baja</v>
      </c>
      <c r="W39" s="3" t="str">
        <f t="shared" si="11"/>
        <v>Zona Metropolitana de Guadalajara</v>
      </c>
      <c r="X39" s="3" t="e">
        <f>C39=VLOOKUP($C39,PólizaEstatal!$H$2:$H$82,1,FALSE)</f>
        <v>#N/A</v>
      </c>
      <c r="Y39" s="3" t="str">
        <f t="shared" si="12"/>
        <v>3VWS1A1B43M912303 JDV3867</v>
      </c>
      <c r="AC39" s="71" t="e">
        <f>VLOOKUP($E39,'ResguardosXDir-CZ'!$C$2:$G$123,5,FALSE)</f>
        <v>#N/A</v>
      </c>
      <c r="AD39" s="71" t="e">
        <f>VLOOKUP($E39,'ResguardosXDir-CZ'!$C$2:$G$123,4,FALSE)</f>
        <v>#N/A</v>
      </c>
      <c r="AE39" s="5" t="s">
        <v>957</v>
      </c>
    </row>
    <row r="40" spans="1:31" ht="14.25" hidden="1" customHeight="1" x14ac:dyDescent="0.2">
      <c r="A40" s="4" t="str">
        <f t="shared" si="5"/>
        <v>JCP2506</v>
      </c>
      <c r="B40" s="3" t="str">
        <f t="shared" si="8"/>
        <v>IEEAJ-2390-1202-01</v>
      </c>
      <c r="C40" s="3" t="str">
        <f t="shared" si="9"/>
        <v>3VWS1A1B33M912311</v>
      </c>
      <c r="D40" s="3">
        <v>51</v>
      </c>
      <c r="E40" s="3" t="s">
        <v>588</v>
      </c>
      <c r="F40" s="4">
        <f t="shared" si="10"/>
        <v>6</v>
      </c>
      <c r="G40" s="3" t="s">
        <v>447</v>
      </c>
      <c r="H40" s="3" t="s">
        <v>449</v>
      </c>
      <c r="I40" s="3" t="s">
        <v>681</v>
      </c>
      <c r="J40" s="3">
        <v>2003</v>
      </c>
      <c r="K40" s="5" t="s">
        <v>114</v>
      </c>
      <c r="L40" s="4" t="s">
        <v>115</v>
      </c>
      <c r="M40" s="3" t="s">
        <v>5</v>
      </c>
      <c r="N40" s="4" t="s">
        <v>485</v>
      </c>
      <c r="O40" s="4" t="s">
        <v>493</v>
      </c>
      <c r="P40" s="3" t="s">
        <v>116</v>
      </c>
      <c r="R40" s="3" t="e">
        <f ca="1">IF(OR(CELL("contenido",O40)="Baja",CELL("contenido",J40)&gt;2015,CELL("contenido",F40)="N/A"),"N/A",VLOOKUP(F40,#REF!,2,FALSE))</f>
        <v>#REF!</v>
      </c>
      <c r="S40" s="3" t="e">
        <f ca="1">IF(OR(CELL("contenido",O40)="Baja",CELL("contenido",J40)&gt;2015,CELL("contenido",F40)="N/A"),"N/A",VLOOKUP(F40,#REF!,2,FALSE))</f>
        <v>#REF!</v>
      </c>
      <c r="T40" s="3" t="e">
        <f ca="1">IF(OR(CELL("contenido",O40)="Baja",CELL("contenido",J40)&gt;2015,CELL("contenido",F40)="N/A"),"N/A",VLOOKUP(F40,#REF!,2,FALSE))</f>
        <v>#REF!</v>
      </c>
      <c r="U40" s="3" t="e">
        <f ca="1">IF(OR(CELL("contenido",O40)="Baja",CELL("contenido",J40)&gt;2015,CELL("contenido",F40)="N/A"),"N/A",VLOOKUP(F40,#REF!,2,FALSE))</f>
        <v>#REF!</v>
      </c>
      <c r="V40" s="3" t="s">
        <v>720</v>
      </c>
      <c r="W40" s="3" t="str">
        <f t="shared" si="11"/>
        <v>Zona Metropolitana de Guadalajara</v>
      </c>
      <c r="X40" s="3" t="b">
        <f>C40=VLOOKUP($C40,PólizaEstatal!$H$2:$H$82,1,FALSE)</f>
        <v>1</v>
      </c>
      <c r="Y40" s="3" t="str">
        <f t="shared" si="12"/>
        <v>3VWS1A1B33M912311 JCP2506</v>
      </c>
      <c r="AC40" s="71" t="str">
        <f>VLOOKUP($E40,'ResguardosXDir-CZ'!$C$2:$G$123,5,FALSE)</f>
        <v>SGYRM</v>
      </c>
      <c r="AD40" s="71" t="str">
        <f>VLOOKUP($E40,'ResguardosXDir-CZ'!$C$2:$G$123,4,FALSE)</f>
        <v>David Josafat López Polanco</v>
      </c>
      <c r="AE40" s="4" t="s">
        <v>957</v>
      </c>
    </row>
    <row r="41" spans="1:31" ht="15" hidden="1" customHeight="1" x14ac:dyDescent="0.25">
      <c r="A41" s="4" t="str">
        <f t="shared" si="5"/>
        <v>JDY1151</v>
      </c>
      <c r="B41" s="3" t="str">
        <f t="shared" si="8"/>
        <v>IEEAJ-2396-1202-01</v>
      </c>
      <c r="C41" s="3" t="str">
        <f t="shared" si="9"/>
        <v>3VWS1A1B43M912690</v>
      </c>
      <c r="D41" s="3">
        <v>53</v>
      </c>
      <c r="E41" s="3" t="s">
        <v>522</v>
      </c>
      <c r="F41" s="4">
        <f t="shared" si="10"/>
        <v>1</v>
      </c>
      <c r="G41" s="3" t="s">
        <v>447</v>
      </c>
      <c r="H41" s="3" t="s">
        <v>449</v>
      </c>
      <c r="I41" s="3" t="s">
        <v>681</v>
      </c>
      <c r="J41" s="3">
        <v>2003</v>
      </c>
      <c r="K41" s="5" t="s">
        <v>117</v>
      </c>
      <c r="L41" s="4" t="s">
        <v>118</v>
      </c>
      <c r="M41" s="3" t="s">
        <v>5</v>
      </c>
      <c r="N41" s="4" t="s">
        <v>479</v>
      </c>
      <c r="O41" s="4" t="s">
        <v>914</v>
      </c>
      <c r="P41" s="3" t="s">
        <v>119</v>
      </c>
      <c r="R41" s="3" t="e">
        <f ca="1">IF(OR(CELL("contenido",O41)="Baja",CELL("contenido",J41)&gt;2015,CELL("contenido",F41)="N/A"),"N/A",VLOOKUP(F41,#REF!,2,FALSE))</f>
        <v>#REF!</v>
      </c>
      <c r="S41" s="3" t="e">
        <f ca="1">IF(OR(CELL("contenido",O41)="Baja",CELL("contenido",J41)&gt;2015,CELL("contenido",F41)="N/A"),"N/A",VLOOKUP(F41,#REF!,2,FALSE))</f>
        <v>#REF!</v>
      </c>
      <c r="T41" s="3" t="e">
        <f ca="1">IF(OR(CELL("contenido",O41)="Baja",CELL("contenido",J41)&gt;2015,CELL("contenido",F41)="N/A"),"N/A",VLOOKUP(F41,#REF!,2,FALSE))</f>
        <v>#REF!</v>
      </c>
      <c r="U41" s="3" t="e">
        <f ca="1">IF(OR(CELL("contenido",O41)="Baja",CELL("contenido",J41)&gt;2015,CELL("contenido",F41)="N/A"),"N/A",VLOOKUP(F41,#REF!,2,FALSE))</f>
        <v>#REF!</v>
      </c>
      <c r="V41" s="3" t="s">
        <v>720</v>
      </c>
      <c r="W41" s="3" t="str">
        <f t="shared" si="11"/>
        <v>Puerto Vallarta</v>
      </c>
      <c r="X41" s="3" t="b">
        <f>C41=VLOOKUP($C41,PólizaEstatal!$H$2:$H$82,1,FALSE)</f>
        <v>1</v>
      </c>
      <c r="Y41" s="3" t="str">
        <f t="shared" si="12"/>
        <v>3VWS1A1B43M912690 JDY1151</v>
      </c>
      <c r="AC41" s="11" t="str">
        <f>VLOOKUP($E41,'ResguardosXDir-CZ'!$C$2:$G$123,5,FALSE)</f>
        <v>14 VALLARTA</v>
      </c>
      <c r="AD41" s="11" t="str">
        <f>VLOOKUP($E41,'ResguardosXDir-CZ'!$C$2:$G$123,4,FALSE)</f>
        <v>Claudia Gómez Becerra</v>
      </c>
      <c r="AE41" s="4" t="s">
        <v>957</v>
      </c>
    </row>
    <row r="42" spans="1:31" ht="14.25" hidden="1" customHeight="1" x14ac:dyDescent="0.2">
      <c r="A42" s="4" t="str">
        <f t="shared" si="5"/>
        <v>JGP3772</v>
      </c>
      <c r="B42" s="3" t="str">
        <f t="shared" si="8"/>
        <v>IEEAJ-2397-1202-01</v>
      </c>
      <c r="C42" s="3" t="str">
        <f t="shared" si="9"/>
        <v>3VWS1A1B53M912679</v>
      </c>
      <c r="D42" s="3">
        <v>54</v>
      </c>
      <c r="E42" s="3" t="s">
        <v>589</v>
      </c>
      <c r="F42" s="4">
        <f t="shared" si="10"/>
        <v>2</v>
      </c>
      <c r="G42" s="3" t="s">
        <v>447</v>
      </c>
      <c r="H42" s="3" t="s">
        <v>449</v>
      </c>
      <c r="I42" s="3" t="s">
        <v>681</v>
      </c>
      <c r="J42" s="3">
        <v>2003</v>
      </c>
      <c r="K42" s="5" t="s">
        <v>120</v>
      </c>
      <c r="L42" s="4" t="s">
        <v>121</v>
      </c>
      <c r="M42" s="3" t="s">
        <v>5</v>
      </c>
      <c r="N42" s="4" t="s">
        <v>485</v>
      </c>
      <c r="O42" s="4" t="s">
        <v>493</v>
      </c>
      <c r="P42" s="3" t="s">
        <v>122</v>
      </c>
      <c r="R42" s="3" t="e">
        <f ca="1">IF(OR(CELL("contenido",O42)="Baja",CELL("contenido",J42)&gt;2015,CELL("contenido",F42)="N/A"),"N/A",VLOOKUP(F42,#REF!,2,FALSE))</f>
        <v>#REF!</v>
      </c>
      <c r="S42" s="3" t="e">
        <f ca="1">IF(OR(CELL("contenido",O42)="Baja",CELL("contenido",J42)&gt;2015,CELL("contenido",F42)="N/A"),"N/A",VLOOKUP(F42,#REF!,2,FALSE))</f>
        <v>#REF!</v>
      </c>
      <c r="T42" s="3" t="e">
        <f ca="1">IF(OR(CELL("contenido",O42)="Baja",CELL("contenido",J42)&gt;2015,CELL("contenido",F42)="N/A"),"N/A",VLOOKUP(F42,#REF!,2,FALSE))</f>
        <v>#REF!</v>
      </c>
      <c r="U42" s="3" t="e">
        <f ca="1">IF(OR(CELL("contenido",O42)="Baja",CELL("contenido",J42)&gt;2015,CELL("contenido",F42)="N/A"),"N/A",VLOOKUP(F42,#REF!,2,FALSE))</f>
        <v>#REF!</v>
      </c>
      <c r="V42" s="3" t="s">
        <v>720</v>
      </c>
      <c r="W42" s="3" t="str">
        <f t="shared" si="11"/>
        <v>Zona Metropolitana de Guadalajara</v>
      </c>
      <c r="X42" s="3" t="b">
        <f>C42=VLOOKUP($C42,PólizaEstatal!$H$2:$H$82,1,FALSE)</f>
        <v>1</v>
      </c>
      <c r="Y42" s="3" t="str">
        <f t="shared" si="12"/>
        <v>3VWS1A1B53M912679 JGP3772</v>
      </c>
      <c r="AC42" s="71" t="str">
        <f>VLOOKUP($E42,'ResguardosXDir-CZ'!$C$2:$G$123,5,FALSE)</f>
        <v>SGYRM</v>
      </c>
      <c r="AD42" s="71" t="str">
        <f>VLOOKUP($E42,'ResguardosXDir-CZ'!$C$2:$G$123,4,FALSE)</f>
        <v>David Josafat López Polanco</v>
      </c>
      <c r="AE42" s="4" t="s">
        <v>957</v>
      </c>
    </row>
    <row r="43" spans="1:31" ht="14.25" hidden="1" customHeight="1" x14ac:dyDescent="0.2">
      <c r="A43" s="4" t="str">
        <f t="shared" si="5"/>
        <v>JDV3822</v>
      </c>
      <c r="B43" s="3" t="str">
        <f t="shared" si="8"/>
        <v>IEEAJ-2398-1202-01</v>
      </c>
      <c r="C43" s="3" t="str">
        <f t="shared" si="9"/>
        <v>3VWS1A1B53M912696</v>
      </c>
      <c r="D43" s="3">
        <v>55</v>
      </c>
      <c r="E43" s="3" t="s">
        <v>123</v>
      </c>
      <c r="F43" s="4">
        <f t="shared" si="10"/>
        <v>2</v>
      </c>
      <c r="G43" s="3" t="s">
        <v>447</v>
      </c>
      <c r="H43" s="3" t="s">
        <v>449</v>
      </c>
      <c r="I43" s="3" t="s">
        <v>681</v>
      </c>
      <c r="J43" s="3">
        <v>2003</v>
      </c>
      <c r="K43" s="5" t="s">
        <v>124</v>
      </c>
      <c r="L43" s="4" t="s">
        <v>125</v>
      </c>
      <c r="M43" s="3" t="s">
        <v>5</v>
      </c>
      <c r="N43" s="4" t="s">
        <v>485</v>
      </c>
      <c r="O43" s="4" t="s">
        <v>493</v>
      </c>
      <c r="P43" s="3" t="s">
        <v>126</v>
      </c>
      <c r="R43" s="3" t="e">
        <f ca="1">IF(OR(CELL("contenido",O43)="Baja",CELL("contenido",J43)&gt;2015,CELL("contenido",F43)="N/A"),"N/A",VLOOKUP(F43,#REF!,2,FALSE))</f>
        <v>#REF!</v>
      </c>
      <c r="S43" s="3" t="e">
        <f ca="1">IF(OR(CELL("contenido",O43)="Baja",CELL("contenido",J43)&gt;2015,CELL("contenido",F43)="N/A"),"N/A",VLOOKUP(F43,#REF!,2,FALSE))</f>
        <v>#REF!</v>
      </c>
      <c r="T43" s="3" t="e">
        <f ca="1">IF(OR(CELL("contenido",O43)="Baja",CELL("contenido",J43)&gt;2015,CELL("contenido",F43)="N/A"),"N/A",VLOOKUP(F43,#REF!,2,FALSE))</f>
        <v>#REF!</v>
      </c>
      <c r="U43" s="3" t="e">
        <f ca="1">IF(OR(CELL("contenido",O43)="Baja",CELL("contenido",J43)&gt;2015,CELL("contenido",F43)="N/A"),"N/A",VLOOKUP(F43,#REF!,2,FALSE))</f>
        <v>#REF!</v>
      </c>
      <c r="V43" s="3" t="s">
        <v>720</v>
      </c>
      <c r="W43" s="3" t="str">
        <f t="shared" si="11"/>
        <v>Zona Metropolitana de Guadalajara</v>
      </c>
      <c r="X43" s="3" t="b">
        <f>C43=VLOOKUP($C43,PólizaEstatal!$H$2:$H$82,1,FALSE)</f>
        <v>1</v>
      </c>
      <c r="Y43" s="3" t="str">
        <f t="shared" si="12"/>
        <v>3VWS1A1B53M912696 JDV3822</v>
      </c>
      <c r="AC43" s="71" t="str">
        <f>VLOOKUP($E43,'ResguardosXDir-CZ'!$C$2:$G$123,5,FALSE)</f>
        <v>SGYRM</v>
      </c>
      <c r="AD43" s="71" t="str">
        <f>VLOOKUP($E43,'ResguardosXDir-CZ'!$C$2:$G$123,4,FALSE)</f>
        <v>David Josafat López Polanco</v>
      </c>
      <c r="AE43" s="4" t="s">
        <v>957</v>
      </c>
    </row>
    <row r="44" spans="1:31" ht="14.25" hidden="1" customHeight="1" x14ac:dyDescent="0.2">
      <c r="A44" s="4" t="str">
        <f t="shared" si="5"/>
        <v>JCP2820</v>
      </c>
      <c r="B44" s="3" t="str">
        <f t="shared" si="8"/>
        <v>IEEAJ-2400-1202-01</v>
      </c>
      <c r="C44" s="3" t="str">
        <f t="shared" si="9"/>
        <v>3VWS1A1B63M912674</v>
      </c>
      <c r="D44" s="3">
        <v>57</v>
      </c>
      <c r="E44" s="3" t="s">
        <v>590</v>
      </c>
      <c r="F44" s="4">
        <f t="shared" si="10"/>
        <v>0</v>
      </c>
      <c r="G44" s="3" t="s">
        <v>447</v>
      </c>
      <c r="H44" s="3" t="s">
        <v>449</v>
      </c>
      <c r="I44" s="3" t="s">
        <v>681</v>
      </c>
      <c r="J44" s="3">
        <v>2003</v>
      </c>
      <c r="K44" s="5" t="s">
        <v>127</v>
      </c>
      <c r="L44" s="4" t="s">
        <v>128</v>
      </c>
      <c r="M44" s="3" t="s">
        <v>5</v>
      </c>
      <c r="N44" s="4" t="s">
        <v>485</v>
      </c>
      <c r="O44" s="4" t="s">
        <v>487</v>
      </c>
      <c r="P44" s="3" t="s">
        <v>129</v>
      </c>
      <c r="Q44" s="3" t="s">
        <v>415</v>
      </c>
      <c r="R44" s="3" t="str">
        <f ca="1">IF(OR(CELL("contenido",O44)="Baja",CELL("contenido",J44)&gt;2015,CELL("contenido",F44)="N/A"),"N/A",VLOOKUP(F44,#REF!,2,FALSE))</f>
        <v>N/A</v>
      </c>
      <c r="S44" s="3" t="str">
        <f ca="1">IF(OR(CELL("contenido",O44)="Baja",CELL("contenido",J44)&gt;2015,CELL("contenido",F44)="N/A"),"N/A",VLOOKUP(F44,#REF!,2,FALSE))</f>
        <v>N/A</v>
      </c>
      <c r="T44" s="3" t="str">
        <f ca="1">IF(OR(CELL("contenido",O44)="Baja",CELL("contenido",J44)&gt;2015,CELL("contenido",F44)="N/A"),"N/A",VLOOKUP(F44,#REF!,2,FALSE))</f>
        <v>N/A</v>
      </c>
      <c r="U44" s="3" t="str">
        <f ca="1">IF(OR(CELL("contenido",O44)="Baja",CELL("contenido",J44)&gt;2015,CELL("contenido",F44)="N/A"),"N/A",VLOOKUP(F44,#REF!,2,FALSE))</f>
        <v>N/A</v>
      </c>
      <c r="V44" s="3" t="str">
        <f t="shared" ca="1" si="6"/>
        <v>Baja</v>
      </c>
      <c r="W44" s="3" t="str">
        <f t="shared" si="11"/>
        <v>Zona Metropolitana de Guadalajara</v>
      </c>
      <c r="X44" s="3" t="e">
        <f>C44=VLOOKUP($C44,PólizaEstatal!$H$2:$H$82,1,FALSE)</f>
        <v>#N/A</v>
      </c>
      <c r="Y44" s="3" t="str">
        <f t="shared" si="12"/>
        <v>3VWS1A1B63M912674 JCP2820</v>
      </c>
      <c r="AC44" s="71" t="e">
        <f>VLOOKUP($E44,'ResguardosXDir-CZ'!$C$2:$G$123,5,FALSE)</f>
        <v>#N/A</v>
      </c>
      <c r="AD44" s="71" t="e">
        <f>VLOOKUP($E44,'ResguardosXDir-CZ'!$C$2:$G$123,4,FALSE)</f>
        <v>#N/A</v>
      </c>
      <c r="AE44" s="5" t="s">
        <v>957</v>
      </c>
    </row>
    <row r="45" spans="1:31" s="7" customFormat="1" ht="14.25" hidden="1" customHeight="1" x14ac:dyDescent="0.2">
      <c r="A45" s="4" t="str">
        <f t="shared" si="5"/>
        <v>JKM1243</v>
      </c>
      <c r="B45" s="3" t="str">
        <f t="shared" si="8"/>
        <v>IEEAJ-2401-1202-01</v>
      </c>
      <c r="C45" s="3" t="str">
        <f t="shared" si="9"/>
        <v>3VWS1A1B93M912314</v>
      </c>
      <c r="D45" s="3">
        <v>58</v>
      </c>
      <c r="E45" s="3" t="s">
        <v>130</v>
      </c>
      <c r="F45" s="4">
        <f t="shared" si="10"/>
        <v>3</v>
      </c>
      <c r="G45" s="3" t="s">
        <v>447</v>
      </c>
      <c r="H45" s="3" t="s">
        <v>449</v>
      </c>
      <c r="I45" s="3" t="s">
        <v>681</v>
      </c>
      <c r="J45" s="3">
        <v>2003</v>
      </c>
      <c r="K45" s="5" t="s">
        <v>131</v>
      </c>
      <c r="L45" s="4" t="s">
        <v>132</v>
      </c>
      <c r="M45" s="3" t="s">
        <v>5</v>
      </c>
      <c r="N45" s="4" t="s">
        <v>485</v>
      </c>
      <c r="O45" s="4" t="s">
        <v>493</v>
      </c>
      <c r="P45" s="3" t="s">
        <v>133</v>
      </c>
      <c r="R45" s="3" t="e">
        <f ca="1">IF(OR(CELL("contenido",O45)="Baja",CELL("contenido",J45)&gt;2015,CELL("contenido",F45)="N/A"),"N/A",VLOOKUP(F45,#REF!,2,FALSE))</f>
        <v>#REF!</v>
      </c>
      <c r="S45" s="3" t="e">
        <f ca="1">IF(OR(CELL("contenido",O45)="Baja",CELL("contenido",J45)&gt;2015,CELL("contenido",F45)="N/A"),"N/A",VLOOKUP(F45,#REF!,2,FALSE))</f>
        <v>#REF!</v>
      </c>
      <c r="T45" s="3" t="e">
        <f ca="1">IF(OR(CELL("contenido",O45)="Baja",CELL("contenido",J45)&gt;2015,CELL("contenido",F45)="N/A"),"N/A",VLOOKUP(F45,#REF!,2,FALSE))</f>
        <v>#REF!</v>
      </c>
      <c r="U45" s="3" t="e">
        <f ca="1">IF(OR(CELL("contenido",O45)="Baja",CELL("contenido",J45)&gt;2015,CELL("contenido",F45)="N/A"),"N/A",VLOOKUP(F45,#REF!,2,FALSE))</f>
        <v>#REF!</v>
      </c>
      <c r="V45" s="3" t="s">
        <v>720</v>
      </c>
      <c r="W45" s="3" t="str">
        <f t="shared" si="11"/>
        <v>Zona Metropolitana de Guadalajara</v>
      </c>
      <c r="X45" s="3" t="b">
        <f>C45=VLOOKUP($C45,PólizaEstatal!$H$2:$H$82,1,FALSE)</f>
        <v>1</v>
      </c>
      <c r="Y45" s="3" t="str">
        <f t="shared" si="12"/>
        <v>3VWS1A1B93M912314 JKM1243</v>
      </c>
      <c r="AA45" s="3"/>
      <c r="AB45" s="3"/>
      <c r="AC45" s="71" t="e">
        <f>VLOOKUP($E45,'ResguardosXDir-CZ'!$C$2:$G$123,5,FALSE)</f>
        <v>#N/A</v>
      </c>
      <c r="AD45" s="71" t="e">
        <f>VLOOKUP($E45,'ResguardosXDir-CZ'!$C$2:$G$123,4,FALSE)</f>
        <v>#N/A</v>
      </c>
      <c r="AE45" s="4" t="s">
        <v>957</v>
      </c>
    </row>
    <row r="46" spans="1:31" ht="14.25" hidden="1" customHeight="1" x14ac:dyDescent="0.2">
      <c r="A46" s="4" t="str">
        <f t="shared" si="5"/>
        <v>JCP2822</v>
      </c>
      <c r="B46" s="3" t="str">
        <f t="shared" si="8"/>
        <v>IEEAJ-2402-1202-01</v>
      </c>
      <c r="C46" s="3" t="str">
        <f t="shared" si="9"/>
        <v>3VWS1A1B53M912682</v>
      </c>
      <c r="D46" s="3">
        <v>59</v>
      </c>
      <c r="E46" s="3" t="s">
        <v>545</v>
      </c>
      <c r="F46" s="4">
        <f t="shared" si="10"/>
        <v>2</v>
      </c>
      <c r="G46" s="3" t="s">
        <v>447</v>
      </c>
      <c r="H46" s="3" t="s">
        <v>449</v>
      </c>
      <c r="I46" s="3" t="s">
        <v>681</v>
      </c>
      <c r="J46" s="3">
        <v>2003</v>
      </c>
      <c r="K46" s="5" t="s">
        <v>134</v>
      </c>
      <c r="L46" s="4" t="s">
        <v>135</v>
      </c>
      <c r="M46" s="3" t="s">
        <v>5</v>
      </c>
      <c r="N46" s="4" t="s">
        <v>485</v>
      </c>
      <c r="O46" s="4" t="s">
        <v>493</v>
      </c>
      <c r="P46" s="3" t="s">
        <v>136</v>
      </c>
      <c r="R46" s="3" t="e">
        <f ca="1">IF(OR(CELL("contenido",O46)="Baja",CELL("contenido",J46)&gt;2015,CELL("contenido",F46)="N/A"),"N/A",VLOOKUP(F46,#REF!,2,FALSE))</f>
        <v>#REF!</v>
      </c>
      <c r="S46" s="3" t="e">
        <f ca="1">IF(OR(CELL("contenido",O46)="Baja",CELL("contenido",J46)&gt;2015,CELL("contenido",F46)="N/A"),"N/A",VLOOKUP(F46,#REF!,2,FALSE))</f>
        <v>#REF!</v>
      </c>
      <c r="T46" s="3" t="e">
        <f ca="1">IF(OR(CELL("contenido",O46)="Baja",CELL("contenido",J46)&gt;2015,CELL("contenido",F46)="N/A"),"N/A",VLOOKUP(F46,#REF!,2,FALSE))</f>
        <v>#REF!</v>
      </c>
      <c r="U46" s="3" t="e">
        <f ca="1">IF(OR(CELL("contenido",O46)="Baja",CELL("contenido",J46)&gt;2015,CELL("contenido",F46)="N/A"),"N/A",VLOOKUP(F46,#REF!,2,FALSE))</f>
        <v>#REF!</v>
      </c>
      <c r="V46" s="3" t="s">
        <v>720</v>
      </c>
      <c r="W46" s="3" t="str">
        <f t="shared" si="11"/>
        <v>Zona Metropolitana de Guadalajara</v>
      </c>
      <c r="X46" s="3" t="b">
        <f>C46=VLOOKUP($C46,PólizaEstatal!$H$2:$H$82,1,FALSE)</f>
        <v>1</v>
      </c>
      <c r="Y46" s="3" t="str">
        <f t="shared" si="12"/>
        <v>3VWS1A1B53M912682 JCP2822</v>
      </c>
      <c r="AC46" s="71" t="str">
        <f>VLOOKUP($E46,'ResguardosXDir-CZ'!$C$2:$G$123,5,FALSE)</f>
        <v>SGYRM</v>
      </c>
      <c r="AD46" s="71" t="str">
        <f>VLOOKUP($E46,'ResguardosXDir-CZ'!$C$2:$G$123,4,FALSE)</f>
        <v>David Josafat López Polanco</v>
      </c>
      <c r="AE46" s="4" t="s">
        <v>957</v>
      </c>
    </row>
    <row r="47" spans="1:31" s="5" customFormat="1" ht="15" hidden="1" customHeight="1" x14ac:dyDescent="0.25">
      <c r="A47" s="4" t="str">
        <f t="shared" si="5"/>
        <v>JH99211</v>
      </c>
      <c r="B47" s="5" t="str">
        <f t="shared" si="8"/>
        <v>I-480800052-00050-02</v>
      </c>
      <c r="C47" s="3" t="str">
        <f t="shared" si="9"/>
        <v>3FTEF17W63MB09259</v>
      </c>
      <c r="D47" s="5">
        <v>61</v>
      </c>
      <c r="E47" s="15" t="s">
        <v>570</v>
      </c>
      <c r="F47" s="4">
        <f t="shared" si="10"/>
        <v>1</v>
      </c>
      <c r="G47" s="5" t="s">
        <v>434</v>
      </c>
      <c r="H47" s="3" t="s">
        <v>451</v>
      </c>
      <c r="I47" s="3" t="s">
        <v>681</v>
      </c>
      <c r="J47" s="5">
        <v>2003</v>
      </c>
      <c r="K47" s="5" t="s">
        <v>137</v>
      </c>
      <c r="L47" s="5" t="s">
        <v>17</v>
      </c>
      <c r="M47" s="5" t="s">
        <v>9</v>
      </c>
      <c r="N47" s="4" t="s">
        <v>485</v>
      </c>
      <c r="O47" s="5" t="s">
        <v>487</v>
      </c>
      <c r="P47" s="5" t="s">
        <v>138</v>
      </c>
      <c r="Q47" s="5" t="s">
        <v>695</v>
      </c>
      <c r="R47" s="3" t="str">
        <f ca="1">IF(OR(CELL("contenido",O47)="Baja",CELL("contenido",J47)&gt;2015,CELL("contenido",F47)="N/A"),"N/A",VLOOKUP(F47,#REF!,2,FALSE))</f>
        <v>N/A</v>
      </c>
      <c r="S47" s="3" t="str">
        <f ca="1">IF(OR(CELL("contenido",O47)="Baja",CELL("contenido",J47)&gt;2015,CELL("contenido",F47)="N/A"),"N/A",VLOOKUP(F47,#REF!,2,FALSE))</f>
        <v>N/A</v>
      </c>
      <c r="T47" s="3" t="str">
        <f ca="1">IF(OR(CELL("contenido",O47)="Baja",CELL("contenido",J47)&gt;2015,CELL("contenido",F47)="N/A"),"N/A",VLOOKUP(F47,#REF!,2,FALSE))</f>
        <v>N/A</v>
      </c>
      <c r="U47" s="3" t="str">
        <f ca="1">IF(OR(CELL("contenido",O47)="Baja",CELL("contenido",J47)&gt;2015,CELL("contenido",F47)="N/A"),"N/A",VLOOKUP(F47,#REF!,2,FALSE))</f>
        <v>N/A</v>
      </c>
      <c r="V47" s="3" t="s">
        <v>487</v>
      </c>
      <c r="W47" s="3" t="str">
        <f t="shared" si="11"/>
        <v>Zona Metropolitana de Guadalajara</v>
      </c>
      <c r="X47" s="3" t="e">
        <f>C47=VLOOKUP($C47,PólizaEstatal!$H$2:$H$82,1,FALSE)</f>
        <v>#N/A</v>
      </c>
      <c r="Y47" s="3" t="str">
        <f t="shared" si="12"/>
        <v>3FTEF17W63MB09259 JH99211</v>
      </c>
      <c r="AA47" s="3"/>
      <c r="AB47" s="3"/>
      <c r="AC47" s="71" t="e">
        <f>VLOOKUP($E47,'ResguardosXDir-CZ'!$C$2:$G$123,5,FALSE)</f>
        <v>#N/A</v>
      </c>
      <c r="AD47" s="71" t="e">
        <f>VLOOKUP($E47,'ResguardosXDir-CZ'!$C$2:$G$123,4,FALSE)</f>
        <v>#N/A</v>
      </c>
      <c r="AE47" s="5" t="s">
        <v>957</v>
      </c>
    </row>
    <row r="48" spans="1:31" ht="14.25" hidden="1" customHeight="1" x14ac:dyDescent="0.2">
      <c r="A48" s="4" t="str">
        <f t="shared" si="5"/>
        <v>JDD1753</v>
      </c>
      <c r="B48" s="3" t="str">
        <f t="shared" si="8"/>
        <v>IEEAJ-15414-1203-01</v>
      </c>
      <c r="C48" s="3" t="str">
        <f t="shared" si="9"/>
        <v>3G1SF21664S135738</v>
      </c>
      <c r="D48" s="3">
        <v>63</v>
      </c>
      <c r="E48" s="3" t="s">
        <v>564</v>
      </c>
      <c r="F48" s="4">
        <f t="shared" si="10"/>
        <v>3</v>
      </c>
      <c r="G48" s="4" t="s">
        <v>425</v>
      </c>
      <c r="H48" s="3" t="s">
        <v>460</v>
      </c>
      <c r="I48" s="3" t="s">
        <v>681</v>
      </c>
      <c r="J48" s="3">
        <v>2004</v>
      </c>
      <c r="K48" s="5" t="s">
        <v>139</v>
      </c>
      <c r="L48" s="4" t="s">
        <v>4</v>
      </c>
      <c r="M48" s="3" t="s">
        <v>5</v>
      </c>
      <c r="N48" s="4" t="s">
        <v>485</v>
      </c>
      <c r="O48" s="4" t="s">
        <v>493</v>
      </c>
      <c r="P48" s="3" t="s">
        <v>140</v>
      </c>
      <c r="Q48" s="3" t="s">
        <v>621</v>
      </c>
      <c r="R48" s="3" t="e">
        <f ca="1">IF(OR(CELL("contenido",O48)="Baja",CELL("contenido",J48)&gt;2015,CELL("contenido",F48)="N/A"),"N/A",VLOOKUP(F48,#REF!,2,FALSE))</f>
        <v>#REF!</v>
      </c>
      <c r="S48" s="3" t="e">
        <f ca="1">IF(OR(CELL("contenido",O48)="Baja",CELL("contenido",J48)&gt;2015,CELL("contenido",F48)="N/A"),"N/A",VLOOKUP(F48,#REF!,2,FALSE))</f>
        <v>#REF!</v>
      </c>
      <c r="T48" s="3" t="e">
        <f ca="1">IF(OR(CELL("contenido",O48)="Baja",CELL("contenido",J48)&gt;2015,CELL("contenido",F48)="N/A"),"N/A",VLOOKUP(F48,#REF!,2,FALSE))</f>
        <v>#REF!</v>
      </c>
      <c r="U48" s="3" t="e">
        <f ca="1">IF(OR(CELL("contenido",O48)="Baja",CELL("contenido",J48)&gt;2015,CELL("contenido",F48)="N/A"),"N/A",VLOOKUP(F48,#REF!,2,FALSE))</f>
        <v>#REF!</v>
      </c>
      <c r="V48" s="3" t="s">
        <v>720</v>
      </c>
      <c r="W48" s="3" t="str">
        <f t="shared" si="11"/>
        <v>Zona Metropolitana de Guadalajara</v>
      </c>
      <c r="X48" s="3" t="b">
        <f>C48=VLOOKUP($C48,PólizaEstatal!$H$2:$H$82,1,FALSE)</f>
        <v>1</v>
      </c>
      <c r="Y48" s="3" t="str">
        <f t="shared" si="12"/>
        <v>3G1SF21664S135738 JDD1753</v>
      </c>
      <c r="AC48" s="71" t="str">
        <f>VLOOKUP($E48,'ResguardosXDir-CZ'!$C$2:$G$123,5,FALSE)</f>
        <v>SGYRM</v>
      </c>
      <c r="AD48" s="71" t="str">
        <f>VLOOKUP($E48,'ResguardosXDir-CZ'!$C$2:$G$123,4,FALSE)</f>
        <v>David Josafat López Polanco</v>
      </c>
      <c r="AE48" s="4" t="s">
        <v>957</v>
      </c>
    </row>
    <row r="49" spans="1:31" ht="14.25" hidden="1" customHeight="1" x14ac:dyDescent="0.2">
      <c r="A49" s="4" t="str">
        <f t="shared" si="5"/>
        <v>JDD1754</v>
      </c>
      <c r="B49" s="3" t="str">
        <f t="shared" si="8"/>
        <v>IEEAJ-15415-1203-01</v>
      </c>
      <c r="C49" s="3" t="str">
        <f t="shared" si="9"/>
        <v>3G1SF21624S135543</v>
      </c>
      <c r="D49" s="3">
        <v>64</v>
      </c>
      <c r="E49" s="3" t="s">
        <v>598</v>
      </c>
      <c r="F49" s="4">
        <f t="shared" si="10"/>
        <v>4</v>
      </c>
      <c r="G49" s="4" t="s">
        <v>425</v>
      </c>
      <c r="H49" s="3" t="s">
        <v>460</v>
      </c>
      <c r="I49" s="3" t="s">
        <v>681</v>
      </c>
      <c r="J49" s="3">
        <v>2004</v>
      </c>
      <c r="K49" s="5" t="s">
        <v>141</v>
      </c>
      <c r="L49" s="4" t="s">
        <v>4</v>
      </c>
      <c r="M49" s="3" t="s">
        <v>5</v>
      </c>
      <c r="N49" s="4" t="s">
        <v>485</v>
      </c>
      <c r="O49" s="4" t="s">
        <v>493</v>
      </c>
      <c r="P49" s="3" t="s">
        <v>142</v>
      </c>
      <c r="Q49" s="3" t="s">
        <v>621</v>
      </c>
      <c r="R49" s="3" t="e">
        <f ca="1">IF(OR(CELL("contenido",O49)="Baja",CELL("contenido",J49)&gt;2015,CELL("contenido",F49)="N/A"),"N/A",VLOOKUP(F49,#REF!,2,FALSE))</f>
        <v>#REF!</v>
      </c>
      <c r="S49" s="3" t="e">
        <f ca="1">IF(OR(CELL("contenido",O49)="Baja",CELL("contenido",J49)&gt;2015,CELL("contenido",F49)="N/A"),"N/A",VLOOKUP(F49,#REF!,2,FALSE))</f>
        <v>#REF!</v>
      </c>
      <c r="T49" s="3" t="e">
        <f ca="1">IF(OR(CELL("contenido",O49)="Baja",CELL("contenido",J49)&gt;2015,CELL("contenido",F49)="N/A"),"N/A",VLOOKUP(F49,#REF!,2,FALSE))</f>
        <v>#REF!</v>
      </c>
      <c r="U49" s="3" t="e">
        <f ca="1">IF(OR(CELL("contenido",O49)="Baja",CELL("contenido",J49)&gt;2015,CELL("contenido",F49)="N/A"),"N/A",VLOOKUP(F49,#REF!,2,FALSE))</f>
        <v>#REF!</v>
      </c>
      <c r="V49" s="3" t="s">
        <v>720</v>
      </c>
      <c r="W49" s="3" t="str">
        <f t="shared" si="11"/>
        <v>Zona Metropolitana de Guadalajara</v>
      </c>
      <c r="X49" s="3" t="b">
        <f>C49=VLOOKUP($C49,PólizaEstatal!$H$2:$H$82,1,FALSE)</f>
        <v>1</v>
      </c>
      <c r="Y49" s="3" t="str">
        <f t="shared" si="12"/>
        <v>3G1SF21624S135543 JDD1754</v>
      </c>
      <c r="AC49" s="71" t="str">
        <f>VLOOKUP($E49,'ResguardosXDir-CZ'!$C$2:$G$123,5,FALSE)</f>
        <v>SGYRM</v>
      </c>
      <c r="AD49" s="71" t="str">
        <f>VLOOKUP($E49,'ResguardosXDir-CZ'!$C$2:$G$123,4,FALSE)</f>
        <v>David Josafat López Polanco</v>
      </c>
      <c r="AE49" s="4" t="s">
        <v>957</v>
      </c>
    </row>
    <row r="50" spans="1:31" ht="14.25" hidden="1" customHeight="1" x14ac:dyDescent="0.2">
      <c r="A50" s="4" t="str">
        <f t="shared" si="5"/>
        <v>JL04135</v>
      </c>
      <c r="B50" s="3" t="str">
        <f t="shared" si="8"/>
        <v>IEEAJ-09032-1203-01</v>
      </c>
      <c r="C50" s="3" t="str">
        <f t="shared" si="9"/>
        <v>8GGTFRC104A132508</v>
      </c>
      <c r="D50" s="3">
        <v>65</v>
      </c>
      <c r="E50" s="3" t="s">
        <v>561</v>
      </c>
      <c r="F50" s="4">
        <f t="shared" si="10"/>
        <v>5</v>
      </c>
      <c r="G50" s="3" t="s">
        <v>425</v>
      </c>
      <c r="H50" s="3" t="s">
        <v>432</v>
      </c>
      <c r="I50" s="3" t="s">
        <v>681</v>
      </c>
      <c r="J50" s="3">
        <v>2004</v>
      </c>
      <c r="K50" s="5" t="s">
        <v>143</v>
      </c>
      <c r="L50" s="4" t="s">
        <v>4</v>
      </c>
      <c r="M50" s="3" t="s">
        <v>5</v>
      </c>
      <c r="N50" s="4" t="s">
        <v>485</v>
      </c>
      <c r="O50" s="4" t="s">
        <v>493</v>
      </c>
      <c r="P50" s="3" t="s">
        <v>144</v>
      </c>
      <c r="R50" s="3" t="e">
        <f ca="1">IF(OR(CELL("contenido",O50)="Baja",CELL("contenido",J50)&gt;2015,CELL("contenido",F50)="N/A"),"N/A",VLOOKUP(F50,#REF!,2,FALSE))</f>
        <v>#REF!</v>
      </c>
      <c r="S50" s="3" t="e">
        <f ca="1">IF(OR(CELL("contenido",O50)="Baja",CELL("contenido",J50)&gt;2015,CELL("contenido",F50)="N/A"),"N/A",VLOOKUP(F50,#REF!,2,FALSE))</f>
        <v>#REF!</v>
      </c>
      <c r="T50" s="3" t="e">
        <f ca="1">IF(OR(CELL("contenido",O50)="Baja",CELL("contenido",J50)&gt;2015,CELL("contenido",F50)="N/A"),"N/A",VLOOKUP(F50,#REF!,2,FALSE))</f>
        <v>#REF!</v>
      </c>
      <c r="U50" s="3" t="e">
        <f ca="1">IF(OR(CELL("contenido",O50)="Baja",CELL("contenido",J50)&gt;2015,CELL("contenido",F50)="N/A"),"N/A",VLOOKUP(F50,#REF!,2,FALSE))</f>
        <v>#REF!</v>
      </c>
      <c r="V50" s="3" t="s">
        <v>720</v>
      </c>
      <c r="W50" s="3" t="str">
        <f t="shared" si="11"/>
        <v>Zona Metropolitana de Guadalajara</v>
      </c>
      <c r="X50" s="3" t="b">
        <f>C50=VLOOKUP($C50,PólizaEstatal!$H$2:$H$82,1,FALSE)</f>
        <v>1</v>
      </c>
      <c r="Y50" s="3" t="str">
        <f t="shared" si="12"/>
        <v>8GGTFRC104A132508 JL04135</v>
      </c>
      <c r="AA50" s="7"/>
      <c r="AB50" s="7"/>
      <c r="AC50" s="71" t="str">
        <f>VLOOKUP($E50,'ResguardosXDir-CZ'!$C$2:$G$123,5,FALSE)</f>
        <v>SGYRM</v>
      </c>
      <c r="AD50" s="71" t="str">
        <f>VLOOKUP($E50,'ResguardosXDir-CZ'!$C$2:$G$123,4,FALSE)</f>
        <v>David Josafat López Polanco</v>
      </c>
      <c r="AE50" s="4" t="s">
        <v>957</v>
      </c>
    </row>
    <row r="51" spans="1:31" ht="14.25" hidden="1" customHeight="1" x14ac:dyDescent="0.2">
      <c r="A51" s="4" t="str">
        <f t="shared" si="5"/>
        <v>JL04136</v>
      </c>
      <c r="B51" s="3" t="str">
        <f t="shared" si="8"/>
        <v>IEEAJ-09033-1203-01</v>
      </c>
      <c r="C51" s="3" t="str">
        <f t="shared" si="9"/>
        <v>8GGTFRC104A132511</v>
      </c>
      <c r="D51" s="3">
        <v>66</v>
      </c>
      <c r="E51" s="3" t="s">
        <v>513</v>
      </c>
      <c r="F51" s="4">
        <f t="shared" si="10"/>
        <v>6</v>
      </c>
      <c r="G51" s="3" t="s">
        <v>425</v>
      </c>
      <c r="H51" s="3" t="s">
        <v>432</v>
      </c>
      <c r="I51" s="3" t="s">
        <v>681</v>
      </c>
      <c r="J51" s="3">
        <v>2004</v>
      </c>
      <c r="K51" s="5" t="s">
        <v>145</v>
      </c>
      <c r="L51" s="4" t="s">
        <v>146</v>
      </c>
      <c r="M51" s="3" t="s">
        <v>5</v>
      </c>
      <c r="N51" s="4" t="s">
        <v>485</v>
      </c>
      <c r="O51" s="4" t="s">
        <v>493</v>
      </c>
      <c r="P51" s="3" t="s">
        <v>147</v>
      </c>
      <c r="R51" s="3" t="e">
        <f ca="1">IF(OR(CELL("contenido",O51)="Baja",CELL("contenido",J51)&gt;2015,CELL("contenido",F51)="N/A"),"N/A",VLOOKUP(F51,#REF!,2,FALSE))</f>
        <v>#REF!</v>
      </c>
      <c r="S51" s="3" t="e">
        <f ca="1">IF(OR(CELL("contenido",O51)="Baja",CELL("contenido",J51)&gt;2015,CELL("contenido",F51)="N/A"),"N/A",VLOOKUP(F51,#REF!,2,FALSE))</f>
        <v>#REF!</v>
      </c>
      <c r="T51" s="3" t="e">
        <f ca="1">IF(OR(CELL("contenido",O51)="Baja",CELL("contenido",J51)&gt;2015,CELL("contenido",F51)="N/A"),"N/A",VLOOKUP(F51,#REF!,2,FALSE))</f>
        <v>#REF!</v>
      </c>
      <c r="U51" s="3" t="e">
        <f ca="1">IF(OR(CELL("contenido",O51)="Baja",CELL("contenido",J51)&gt;2015,CELL("contenido",F51)="N/A"),"N/A",VLOOKUP(F51,#REF!,2,FALSE))</f>
        <v>#REF!</v>
      </c>
      <c r="V51" s="3" t="s">
        <v>720</v>
      </c>
      <c r="W51" s="3" t="str">
        <f t="shared" si="11"/>
        <v>Zona Metropolitana de Guadalajara</v>
      </c>
      <c r="X51" s="3" t="b">
        <f>C51=VLOOKUP($C51,PólizaEstatal!$H$2:$H$82,1,FALSE)</f>
        <v>1</v>
      </c>
      <c r="Y51" s="3" t="str">
        <f t="shared" si="12"/>
        <v>8GGTFRC104A132511 JL04136</v>
      </c>
      <c r="AC51" s="71" t="e">
        <f>VLOOKUP($E51,'ResguardosXDir-CZ'!$C$2:$G$123,5,FALSE)</f>
        <v>#N/A</v>
      </c>
      <c r="AD51" s="71" t="e">
        <f>VLOOKUP($E51,'ResguardosXDir-CZ'!$C$2:$G$123,4,FALSE)</f>
        <v>#N/A</v>
      </c>
      <c r="AE51" s="4" t="s">
        <v>957</v>
      </c>
    </row>
    <row r="52" spans="1:31" ht="14.25" hidden="1" customHeight="1" x14ac:dyDescent="0.2">
      <c r="A52" s="4" t="str">
        <f t="shared" si="5"/>
        <v>JL04137</v>
      </c>
      <c r="B52" s="3" t="str">
        <f t="shared" si="8"/>
        <v>IEEAJ-09034-1203-01</v>
      </c>
      <c r="C52" s="3" t="str">
        <f t="shared" si="9"/>
        <v>8GGTFRC104A132539</v>
      </c>
      <c r="D52" s="5">
        <v>67</v>
      </c>
      <c r="E52" s="3" t="s">
        <v>523</v>
      </c>
      <c r="F52" s="4">
        <f t="shared" si="10"/>
        <v>7</v>
      </c>
      <c r="G52" s="3" t="s">
        <v>425</v>
      </c>
      <c r="H52" s="3" t="s">
        <v>432</v>
      </c>
      <c r="I52" s="3" t="s">
        <v>681</v>
      </c>
      <c r="J52" s="3">
        <v>2004</v>
      </c>
      <c r="K52" s="5" t="s">
        <v>148</v>
      </c>
      <c r="L52" s="4" t="s">
        <v>4</v>
      </c>
      <c r="M52" s="3" t="s">
        <v>5</v>
      </c>
      <c r="N52" s="4" t="s">
        <v>485</v>
      </c>
      <c r="O52" s="4" t="s">
        <v>493</v>
      </c>
      <c r="P52" s="3" t="s">
        <v>149</v>
      </c>
      <c r="Q52" s="3" t="s">
        <v>709</v>
      </c>
      <c r="R52" s="3" t="e">
        <f ca="1">IF(OR(CELL("contenido",O52)="Baja",CELL("contenido",J52)&gt;2015,CELL("contenido",F52)="N/A"),"N/A",VLOOKUP(F52,#REF!,2,FALSE))</f>
        <v>#REF!</v>
      </c>
      <c r="S52" s="3" t="e">
        <f ca="1">IF(OR(CELL("contenido",O52)="Baja",CELL("contenido",J52)&gt;2015,CELL("contenido",F52)="N/A"),"N/A",VLOOKUP(F52,#REF!,2,FALSE))</f>
        <v>#REF!</v>
      </c>
      <c r="T52" s="3" t="e">
        <f ca="1">IF(OR(CELL("contenido",O52)="Baja",CELL("contenido",J52)&gt;2015,CELL("contenido",F52)="N/A"),"N/A",VLOOKUP(F52,#REF!,2,FALSE))</f>
        <v>#REF!</v>
      </c>
      <c r="U52" s="3" t="e">
        <f ca="1">IF(OR(CELL("contenido",O52)="Baja",CELL("contenido",J52)&gt;2015,CELL("contenido",F52)="N/A"),"N/A",VLOOKUP(F52,#REF!,2,FALSE))</f>
        <v>#REF!</v>
      </c>
      <c r="V52" s="3" t="s">
        <v>720</v>
      </c>
      <c r="W52" s="3" t="str">
        <f t="shared" si="11"/>
        <v>Zona Metropolitana de Guadalajara</v>
      </c>
      <c r="X52" s="3" t="b">
        <f>C52=VLOOKUP($C52,PólizaEstatal!$H$2:$H$82,1,FALSE)</f>
        <v>1</v>
      </c>
      <c r="Y52" s="3" t="str">
        <f t="shared" si="12"/>
        <v>8GGTFRC104A132539 JL04137</v>
      </c>
      <c r="AA52" s="5"/>
      <c r="AB52" s="5"/>
      <c r="AC52" s="71" t="str">
        <f>VLOOKUP($E52,'ResguardosXDir-CZ'!$C$2:$G$123,5,FALSE)</f>
        <v>SGYRM</v>
      </c>
      <c r="AD52" s="71" t="str">
        <f>VLOOKUP($E52,'ResguardosXDir-CZ'!$C$2:$G$123,4,FALSE)</f>
        <v>David Josafat López Polanco</v>
      </c>
      <c r="AE52" s="4" t="s">
        <v>957</v>
      </c>
    </row>
    <row r="53" spans="1:31" ht="14.25" hidden="1" customHeight="1" x14ac:dyDescent="0.25">
      <c r="A53" s="4" t="str">
        <f t="shared" si="5"/>
        <v>JL04138</v>
      </c>
      <c r="B53" s="3" t="str">
        <f t="shared" si="8"/>
        <v>IEEAJ-09035-1203-01</v>
      </c>
      <c r="C53" s="3" t="str">
        <f t="shared" si="9"/>
        <v>3GBKC34G84M100895</v>
      </c>
      <c r="D53" s="3">
        <v>68</v>
      </c>
      <c r="E53" s="3" t="s">
        <v>550</v>
      </c>
      <c r="F53" s="4">
        <f t="shared" si="10"/>
        <v>8</v>
      </c>
      <c r="G53" s="3" t="s">
        <v>425</v>
      </c>
      <c r="H53" s="3" t="s">
        <v>454</v>
      </c>
      <c r="I53" s="3" t="s">
        <v>681</v>
      </c>
      <c r="J53" s="3">
        <v>2004</v>
      </c>
      <c r="K53" s="5" t="s">
        <v>150</v>
      </c>
      <c r="L53" s="4" t="s">
        <v>17</v>
      </c>
      <c r="M53" s="3" t="s">
        <v>5</v>
      </c>
      <c r="N53" s="5" t="s">
        <v>614</v>
      </c>
      <c r="O53" s="5" t="s">
        <v>488</v>
      </c>
      <c r="P53" s="3" t="s">
        <v>151</v>
      </c>
      <c r="R53" s="3" t="e">
        <f ca="1">IF(OR(CELL("contenido",O53)="Baja",CELL("contenido",J53)&gt;2015,CELL("contenido",F53)="N/A"),"N/A",VLOOKUP(F53,#REF!,2,FALSE))</f>
        <v>#REF!</v>
      </c>
      <c r="S53" s="3" t="e">
        <f ca="1">IF(OR(CELL("contenido",O53)="Baja",CELL("contenido",J53)&gt;2015,CELL("contenido",F53)="N/A"),"N/A",VLOOKUP(F53,#REF!,2,FALSE))</f>
        <v>#REF!</v>
      </c>
      <c r="T53" s="3" t="e">
        <f ca="1">IF(OR(CELL("contenido",O53)="Baja",CELL("contenido",J53)&gt;2015,CELL("contenido",F53)="N/A"),"N/A",VLOOKUP(F53,#REF!,2,FALSE))</f>
        <v>#REF!</v>
      </c>
      <c r="U53" s="3" t="e">
        <f ca="1">IF(OR(CELL("contenido",O53)="Baja",CELL("contenido",J53)&gt;2015,CELL("contenido",F53)="N/A"),"N/A",VLOOKUP(F53,#REF!,2,FALSE))</f>
        <v>#REF!</v>
      </c>
      <c r="V53" s="3" t="str">
        <f t="shared" ca="1" si="6"/>
        <v>Activo</v>
      </c>
      <c r="W53" s="3" t="str">
        <f t="shared" si="11"/>
        <v>Zona Metropolitana de Guadalajara</v>
      </c>
      <c r="X53" s="3" t="b">
        <f>C53=VLOOKUP($C53,PólizaEstatal!$H$2:$H$82,1,FALSE)</f>
        <v>1</v>
      </c>
      <c r="Y53" s="3" t="str">
        <f t="shared" si="12"/>
        <v>3GBKC34G84M100895 JL04138</v>
      </c>
      <c r="AC53" s="11" t="str">
        <f>VLOOKUP($E53,'ResguardosXDir-CZ'!$C$2:$G$123,5,FALSE)</f>
        <v>ALMACEN</v>
      </c>
      <c r="AD53" s="11" t="str">
        <f>VLOOKUP($E53,'ResguardosXDir-CZ'!$C$2:$G$123,4,FALSE)</f>
        <v>Jose Osorio Lomelí</v>
      </c>
      <c r="AE53" s="4">
        <v>8</v>
      </c>
    </row>
    <row r="54" spans="1:31" s="5" customFormat="1" ht="14.25" hidden="1" customHeight="1" x14ac:dyDescent="0.2">
      <c r="A54" s="4" t="str">
        <f t="shared" si="5"/>
        <v>HZR7704</v>
      </c>
      <c r="B54" s="5" t="str">
        <f t="shared" si="8"/>
        <v>I-480800156-00004-98</v>
      </c>
      <c r="C54" s="3" t="str">
        <f t="shared" si="9"/>
        <v>3GCEC26K8WG134891</v>
      </c>
      <c r="D54" s="5">
        <v>69</v>
      </c>
      <c r="E54" s="5" t="s">
        <v>582</v>
      </c>
      <c r="F54" s="4">
        <f t="shared" si="10"/>
        <v>4</v>
      </c>
      <c r="G54" s="3" t="s">
        <v>425</v>
      </c>
      <c r="H54" s="5" t="s">
        <v>152</v>
      </c>
      <c r="J54" s="5">
        <v>1998</v>
      </c>
      <c r="K54" s="5" t="s">
        <v>153</v>
      </c>
      <c r="L54" s="5" t="s">
        <v>4</v>
      </c>
      <c r="M54" s="5" t="s">
        <v>9</v>
      </c>
      <c r="N54" s="4" t="s">
        <v>485</v>
      </c>
      <c r="O54" s="5" t="s">
        <v>487</v>
      </c>
      <c r="P54" s="5" t="s">
        <v>154</v>
      </c>
      <c r="Q54" s="5" t="s">
        <v>414</v>
      </c>
      <c r="R54" s="3" t="str">
        <f ca="1">IF(OR(CELL("contenido",O54)="Baja",CELL("contenido",J54)&gt;2015,CELL("contenido",F54)="N/A"),"N/A",VLOOKUP(F54,#REF!,2,FALSE))</f>
        <v>N/A</v>
      </c>
      <c r="S54" s="3" t="str">
        <f ca="1">IF(OR(CELL("contenido",O54)="Baja",CELL("contenido",J54)&gt;2015,CELL("contenido",F54)="N/A"),"N/A",VLOOKUP(F54,#REF!,2,FALSE))</f>
        <v>N/A</v>
      </c>
      <c r="T54" s="3" t="str">
        <f ca="1">IF(OR(CELL("contenido",O54)="Baja",CELL("contenido",J54)&gt;2015,CELL("contenido",F54)="N/A"),"N/A",VLOOKUP(F54,#REF!,2,FALSE))</f>
        <v>N/A</v>
      </c>
      <c r="U54" s="3" t="str">
        <f ca="1">IF(OR(CELL("contenido",O54)="Baja",CELL("contenido",J54)&gt;2015,CELL("contenido",F54)="N/A"),"N/A",VLOOKUP(F54,#REF!,2,FALSE))</f>
        <v>N/A</v>
      </c>
      <c r="V54" s="3" t="str">
        <f t="shared" ca="1" si="6"/>
        <v>Baja</v>
      </c>
      <c r="W54" s="3" t="str">
        <f t="shared" si="11"/>
        <v>Zona Metropolitana de Guadalajara</v>
      </c>
      <c r="X54" s="3" t="e">
        <f>C54=VLOOKUP($C54,PólizaEstatal!$H$2:$H$82,1,FALSE)</f>
        <v>#N/A</v>
      </c>
      <c r="Y54" s="3" t="str">
        <f t="shared" si="12"/>
        <v>3GCEC26K8WG134891 HZR7704</v>
      </c>
      <c r="AA54" s="3"/>
      <c r="AB54" s="3"/>
      <c r="AC54" s="71" t="e">
        <f>VLOOKUP($E54,'ResguardosXDir-CZ'!$C$2:$G$123,5,FALSE)</f>
        <v>#N/A</v>
      </c>
      <c r="AD54" s="71" t="e">
        <f>VLOOKUP($E54,'ResguardosXDir-CZ'!$C$2:$G$123,4,FALSE)</f>
        <v>#N/A</v>
      </c>
      <c r="AE54" s="5" t="s">
        <v>957</v>
      </c>
    </row>
    <row r="55" spans="1:31" s="5" customFormat="1" ht="15" hidden="1" customHeight="1" x14ac:dyDescent="0.25">
      <c r="A55" s="4" t="str">
        <f t="shared" si="5"/>
        <v>JDE4821</v>
      </c>
      <c r="B55" s="5" t="str">
        <f t="shared" si="8"/>
        <v>I-480800016-00028-03</v>
      </c>
      <c r="C55" s="3" t="str">
        <f t="shared" si="9"/>
        <v>3G1SE51694S137181</v>
      </c>
      <c r="D55" s="5">
        <v>70</v>
      </c>
      <c r="E55" s="15" t="s">
        <v>405</v>
      </c>
      <c r="F55" s="4">
        <f t="shared" si="10"/>
        <v>1</v>
      </c>
      <c r="G55" s="4" t="s">
        <v>425</v>
      </c>
      <c r="H55" s="5" t="s">
        <v>460</v>
      </c>
      <c r="I55" s="5" t="s">
        <v>681</v>
      </c>
      <c r="J55" s="5">
        <v>2004</v>
      </c>
      <c r="K55" s="5" t="s">
        <v>155</v>
      </c>
      <c r="L55" s="5" t="s">
        <v>17</v>
      </c>
      <c r="M55" s="5" t="s">
        <v>9</v>
      </c>
      <c r="N55" s="5" t="s">
        <v>485</v>
      </c>
      <c r="O55" s="5" t="s">
        <v>487</v>
      </c>
      <c r="P55" s="5" t="s">
        <v>156</v>
      </c>
      <c r="Q55" s="5" t="s">
        <v>695</v>
      </c>
      <c r="R55" s="3" t="str">
        <f ca="1">IF(OR(CELL("contenido",O55)="Baja",CELL("contenido",J55)&gt;2015,CELL("contenido",F55)="N/A"),"N/A",VLOOKUP(F55,#REF!,2,FALSE))</f>
        <v>N/A</v>
      </c>
      <c r="S55" s="3" t="str">
        <f ca="1">IF(OR(CELL("contenido",O55)="Baja",CELL("contenido",J55)&gt;2015,CELL("contenido",F55)="N/A"),"N/A",VLOOKUP(F55,#REF!,2,FALSE))</f>
        <v>N/A</v>
      </c>
      <c r="T55" s="3" t="str">
        <f ca="1">IF(OR(CELL("contenido",O55)="Baja",CELL("contenido",J55)&gt;2015,CELL("contenido",F55)="N/A"),"N/A",VLOOKUP(F55,#REF!,2,FALSE))</f>
        <v>N/A</v>
      </c>
      <c r="U55" s="3" t="str">
        <f ca="1">IF(OR(CELL("contenido",O55)="Baja",CELL("contenido",J55)&gt;2015,CELL("contenido",F55)="N/A"),"N/A",VLOOKUP(F55,#REF!,2,FALSE))</f>
        <v>N/A</v>
      </c>
      <c r="V55" s="3" t="s">
        <v>487</v>
      </c>
      <c r="W55" s="3" t="str">
        <f t="shared" si="11"/>
        <v>Zona Metropolitana de Guadalajara</v>
      </c>
      <c r="X55" s="3" t="e">
        <f>C55=VLOOKUP($C55,PólizaEstatal!$H$2:$H$82,1,FALSE)</f>
        <v>#N/A</v>
      </c>
      <c r="Y55" s="3" t="str">
        <f t="shared" si="12"/>
        <v>3G1SE51694S137181 JDE4821</v>
      </c>
      <c r="AA55" s="3"/>
      <c r="AB55" s="3"/>
      <c r="AC55" s="71" t="e">
        <f>VLOOKUP($E55,'ResguardosXDir-CZ'!$C$2:$G$123,5,FALSE)</f>
        <v>#N/A</v>
      </c>
      <c r="AD55" s="71" t="e">
        <f>VLOOKUP($E55,'ResguardosXDir-CZ'!$C$2:$G$123,4,FALSE)</f>
        <v>#N/A</v>
      </c>
      <c r="AE55" s="5" t="s">
        <v>957</v>
      </c>
    </row>
    <row r="56" spans="1:31" s="5" customFormat="1" ht="15" hidden="1" customHeight="1" x14ac:dyDescent="0.25">
      <c r="A56" s="4" t="str">
        <f t="shared" si="5"/>
        <v>JDE4822</v>
      </c>
      <c r="B56" s="5" t="str">
        <f t="shared" si="8"/>
        <v>I-480800016-00027-03</v>
      </c>
      <c r="C56" s="3" t="str">
        <f t="shared" si="9"/>
        <v>3G1SE51674S138216</v>
      </c>
      <c r="D56" s="5">
        <v>71</v>
      </c>
      <c r="E56" s="15" t="s">
        <v>403</v>
      </c>
      <c r="F56" s="4">
        <f t="shared" si="10"/>
        <v>2</v>
      </c>
      <c r="G56" s="4" t="s">
        <v>425</v>
      </c>
      <c r="H56" s="5" t="s">
        <v>460</v>
      </c>
      <c r="I56" s="5" t="s">
        <v>681</v>
      </c>
      <c r="J56" s="5">
        <v>2004</v>
      </c>
      <c r="K56" s="5" t="s">
        <v>157</v>
      </c>
      <c r="L56" s="5" t="s">
        <v>17</v>
      </c>
      <c r="M56" s="5" t="s">
        <v>9</v>
      </c>
      <c r="N56" s="5" t="s">
        <v>485</v>
      </c>
      <c r="O56" s="5" t="s">
        <v>487</v>
      </c>
      <c r="P56" s="5" t="s">
        <v>158</v>
      </c>
      <c r="Q56" s="5" t="s">
        <v>695</v>
      </c>
      <c r="R56" s="3" t="str">
        <f ca="1">IF(OR(CELL("contenido",O56)="Baja",CELL("contenido",J56)&gt;2015,CELL("contenido",F56)="N/A"),"N/A",VLOOKUP(F56,#REF!,2,FALSE))</f>
        <v>N/A</v>
      </c>
      <c r="S56" s="3" t="str">
        <f ca="1">IF(OR(CELL("contenido",O56)="Baja",CELL("contenido",J56)&gt;2015,CELL("contenido",F56)="N/A"),"N/A",VLOOKUP(F56,#REF!,2,FALSE))</f>
        <v>N/A</v>
      </c>
      <c r="T56" s="3" t="str">
        <f ca="1">IF(OR(CELL("contenido",O56)="Baja",CELL("contenido",J56)&gt;2015,CELL("contenido",F56)="N/A"),"N/A",VLOOKUP(F56,#REF!,2,FALSE))</f>
        <v>N/A</v>
      </c>
      <c r="U56" s="3" t="str">
        <f ca="1">IF(OR(CELL("contenido",O56)="Baja",CELL("contenido",J56)&gt;2015,CELL("contenido",F56)="N/A"),"N/A",VLOOKUP(F56,#REF!,2,FALSE))</f>
        <v>N/A</v>
      </c>
      <c r="V56" s="3" t="s">
        <v>487</v>
      </c>
      <c r="W56" s="3" t="str">
        <f t="shared" si="11"/>
        <v>Zona Metropolitana de Guadalajara</v>
      </c>
      <c r="X56" s="3" t="e">
        <f>C56=VLOOKUP($C56,PólizaEstatal!$H$2:$H$82,1,FALSE)</f>
        <v>#N/A</v>
      </c>
      <c r="Y56" s="3" t="str">
        <f t="shared" si="12"/>
        <v>3G1SE51674S138216 JDE4822</v>
      </c>
      <c r="AA56" s="3"/>
      <c r="AB56" s="3"/>
      <c r="AC56" s="71" t="e">
        <f>VLOOKUP($E56,'ResguardosXDir-CZ'!$C$2:$G$123,5,FALSE)</f>
        <v>#N/A</v>
      </c>
      <c r="AD56" s="71" t="e">
        <f>VLOOKUP($E56,'ResguardosXDir-CZ'!$C$2:$G$123,4,FALSE)</f>
        <v>#N/A</v>
      </c>
      <c r="AE56" s="5" t="s">
        <v>957</v>
      </c>
    </row>
    <row r="57" spans="1:31" s="5" customFormat="1" ht="15" hidden="1" customHeight="1" x14ac:dyDescent="0.25">
      <c r="A57" s="4" t="str">
        <f t="shared" si="5"/>
        <v>JN20661</v>
      </c>
      <c r="B57" s="5" t="str">
        <f t="shared" si="8"/>
        <v>I-480800136-00002-03</v>
      </c>
      <c r="C57" s="3" t="str">
        <f t="shared" si="9"/>
        <v>3MBAA1CN33M005009</v>
      </c>
      <c r="D57" s="5">
        <v>72</v>
      </c>
      <c r="E57" s="15" t="s">
        <v>575</v>
      </c>
      <c r="F57" s="4">
        <f t="shared" si="10"/>
        <v>1</v>
      </c>
      <c r="G57" s="5" t="s">
        <v>689</v>
      </c>
      <c r="H57" s="3" t="s">
        <v>717</v>
      </c>
      <c r="I57" s="3" t="s">
        <v>681</v>
      </c>
      <c r="J57" s="5">
        <v>2003</v>
      </c>
      <c r="K57" s="5" t="s">
        <v>159</v>
      </c>
      <c r="L57" s="5" t="s">
        <v>160</v>
      </c>
      <c r="M57" s="5" t="s">
        <v>9</v>
      </c>
      <c r="N57" s="4" t="s">
        <v>485</v>
      </c>
      <c r="O57" s="5" t="s">
        <v>487</v>
      </c>
      <c r="P57" s="5" t="s">
        <v>716</v>
      </c>
      <c r="Q57" s="5" t="s">
        <v>695</v>
      </c>
      <c r="R57" s="3" t="str">
        <f ca="1">IF(OR(CELL("contenido",O57)="Baja",CELL("contenido",J57)&gt;2015,CELL("contenido",F57)="N/A"),"N/A",VLOOKUP(F57,#REF!,2,FALSE))</f>
        <v>N/A</v>
      </c>
      <c r="S57" s="3" t="str">
        <f ca="1">IF(OR(CELL("contenido",O57)="Baja",CELL("contenido",J57)&gt;2015,CELL("contenido",F57)="N/A"),"N/A",VLOOKUP(F57,#REF!,2,FALSE))</f>
        <v>N/A</v>
      </c>
      <c r="T57" s="3" t="str">
        <f ca="1">IF(OR(CELL("contenido",O57)="Baja",CELL("contenido",J57)&gt;2015,CELL("contenido",F57)="N/A"),"N/A",VLOOKUP(F57,#REF!,2,FALSE))</f>
        <v>N/A</v>
      </c>
      <c r="U57" s="3" t="str">
        <f ca="1">IF(OR(CELL("contenido",O57)="Baja",CELL("contenido",J57)&gt;2015,CELL("contenido",F57)="N/A"),"N/A",VLOOKUP(F57,#REF!,2,FALSE))</f>
        <v>N/A</v>
      </c>
      <c r="V57" s="3" t="s">
        <v>487</v>
      </c>
      <c r="W57" s="3" t="str">
        <f t="shared" si="11"/>
        <v>Zona Metropolitana de Guadalajara</v>
      </c>
      <c r="X57" s="3" t="e">
        <f>C57=VLOOKUP($C57,PólizaEstatal!$H$2:$H$82,1,FALSE)</f>
        <v>#N/A</v>
      </c>
      <c r="Y57" s="3" t="str">
        <f t="shared" si="12"/>
        <v>3MBAA1CN33M005009 JN20661</v>
      </c>
      <c r="AA57" s="3"/>
      <c r="AB57" s="3"/>
      <c r="AC57" s="71" t="e">
        <f>VLOOKUP($E57,'ResguardosXDir-CZ'!$C$2:$G$123,5,FALSE)</f>
        <v>#N/A</v>
      </c>
      <c r="AD57" s="71" t="e">
        <f>VLOOKUP($E57,'ResguardosXDir-CZ'!$C$2:$G$123,4,FALSE)</f>
        <v>#N/A</v>
      </c>
      <c r="AE57" s="5" t="s">
        <v>957</v>
      </c>
    </row>
    <row r="58" spans="1:31" ht="14.25" hidden="1" customHeight="1" x14ac:dyDescent="0.2">
      <c r="A58" s="4" t="str">
        <f t="shared" si="5"/>
        <v>JM52176</v>
      </c>
      <c r="B58" s="3" t="str">
        <f t="shared" si="8"/>
        <v>IEEAJ-03610-0905-09</v>
      </c>
      <c r="C58" s="3" t="str">
        <f t="shared" si="9"/>
        <v>8GGTFRC125A148680</v>
      </c>
      <c r="D58" s="3">
        <v>73</v>
      </c>
      <c r="E58" s="3" t="s">
        <v>499</v>
      </c>
      <c r="F58" s="4">
        <f t="shared" si="10"/>
        <v>6</v>
      </c>
      <c r="G58" s="3" t="s">
        <v>425</v>
      </c>
      <c r="H58" s="3" t="s">
        <v>432</v>
      </c>
      <c r="J58" s="3">
        <v>2005</v>
      </c>
      <c r="K58" s="5" t="s">
        <v>161</v>
      </c>
      <c r="L58" s="4" t="s">
        <v>146</v>
      </c>
      <c r="M58" s="3" t="s">
        <v>5</v>
      </c>
      <c r="N58" s="4" t="s">
        <v>475</v>
      </c>
      <c r="O58" s="4" t="s">
        <v>487</v>
      </c>
      <c r="P58" s="3" t="s">
        <v>162</v>
      </c>
      <c r="Q58" s="3" t="s">
        <v>163</v>
      </c>
      <c r="R58" s="3" t="str">
        <f ca="1">IF(OR(CELL("contenido",O58)="Baja",CELL("contenido",J58)&gt;2015,CELL("contenido",F58)="N/A"),"N/A",VLOOKUP(F58,#REF!,2,FALSE))</f>
        <v>N/A</v>
      </c>
      <c r="S58" s="3" t="str">
        <f ca="1">IF(OR(CELL("contenido",O58)="Baja",CELL("contenido",J58)&gt;2015,CELL("contenido",F58)="N/A"),"N/A",VLOOKUP(F58,#REF!,2,FALSE))</f>
        <v>N/A</v>
      </c>
      <c r="T58" s="3" t="str">
        <f ca="1">IF(OR(CELL("contenido",O58)="Baja",CELL("contenido",J58)&gt;2015,CELL("contenido",F58)="N/A"),"N/A",VLOOKUP(F58,#REF!,2,FALSE))</f>
        <v>N/A</v>
      </c>
      <c r="U58" s="3" t="str">
        <f ca="1">IF(OR(CELL("contenido",O58)="Baja",CELL("contenido",J58)&gt;2015,CELL("contenido",F58)="N/A"),"N/A",VLOOKUP(F58,#REF!,2,FALSE))</f>
        <v>N/A</v>
      </c>
      <c r="V58" s="3" t="str">
        <f t="shared" ca="1" si="6"/>
        <v>Baja</v>
      </c>
      <c r="W58" s="3" t="str">
        <f t="shared" si="11"/>
        <v>Lagos de Moreno</v>
      </c>
      <c r="X58" s="3" t="e">
        <f>C58=VLOOKUP($C58,PólizaEstatal!$H$2:$H$82,1,FALSE)</f>
        <v>#N/A</v>
      </c>
      <c r="Y58" s="3" t="str">
        <f t="shared" si="12"/>
        <v>8GGTFRC125A148680 JM52176</v>
      </c>
      <c r="AC58" s="71" t="e">
        <f>VLOOKUP($E58,'ResguardosXDir-CZ'!$C$2:$G$123,5,FALSE)</f>
        <v>#N/A</v>
      </c>
      <c r="AD58" s="71" t="e">
        <f>VLOOKUP($E58,'ResguardosXDir-CZ'!$C$2:$G$123,4,FALSE)</f>
        <v>#N/A</v>
      </c>
      <c r="AE58" s="5" t="s">
        <v>957</v>
      </c>
    </row>
    <row r="59" spans="1:31" ht="14.25" hidden="1" customHeight="1" x14ac:dyDescent="0.25">
      <c r="A59" s="4" t="str">
        <f t="shared" si="5"/>
        <v>JM52177</v>
      </c>
      <c r="B59" s="3" t="str">
        <f t="shared" si="8"/>
        <v>IEEAJ-03610-0905-10</v>
      </c>
      <c r="C59" s="3" t="str">
        <f t="shared" si="9"/>
        <v>8GGTFRC135A148946</v>
      </c>
      <c r="D59" s="3">
        <v>74</v>
      </c>
      <c r="E59" s="3" t="s">
        <v>543</v>
      </c>
      <c r="F59" s="4">
        <f t="shared" si="10"/>
        <v>7</v>
      </c>
      <c r="G59" s="3" t="s">
        <v>425</v>
      </c>
      <c r="H59" s="3" t="s">
        <v>432</v>
      </c>
      <c r="I59" s="3" t="s">
        <v>681</v>
      </c>
      <c r="J59" s="3">
        <v>2005</v>
      </c>
      <c r="K59" s="5" t="s">
        <v>164</v>
      </c>
      <c r="L59" s="4" t="s">
        <v>146</v>
      </c>
      <c r="M59" s="3" t="s">
        <v>5</v>
      </c>
      <c r="N59" s="4" t="s">
        <v>485</v>
      </c>
      <c r="O59" s="4" t="s">
        <v>851</v>
      </c>
      <c r="P59" s="3" t="s">
        <v>165</v>
      </c>
      <c r="Q59" s="3" t="s">
        <v>829</v>
      </c>
      <c r="R59" s="3" t="e">
        <f ca="1">IF(OR(CELL("contenido",O59)="Baja",CELL("contenido",J59)&gt;2015,CELL("contenido",F59)="N/A"),"N/A",VLOOKUP(F59,#REF!,2,FALSE))</f>
        <v>#REF!</v>
      </c>
      <c r="S59" s="3" t="e">
        <f ca="1">IF(OR(CELL("contenido",O59)="Baja",CELL("contenido",J59)&gt;2015,CELL("contenido",F59)="N/A"),"N/A",VLOOKUP(F59,#REF!,2,FALSE))</f>
        <v>#REF!</v>
      </c>
      <c r="T59" s="3" t="e">
        <f ca="1">IF(OR(CELL("contenido",O59)="Baja",CELL("contenido",J59)&gt;2015,CELL("contenido",F59)="N/A"),"N/A",VLOOKUP(F59,#REF!,2,FALSE))</f>
        <v>#REF!</v>
      </c>
      <c r="U59" s="3" t="e">
        <f ca="1">IF(OR(CELL("contenido",O59)="Baja",CELL("contenido",J59)&gt;2015,CELL("contenido",F59)="N/A"),"N/A",VLOOKUP(F59,#REF!,2,FALSE))</f>
        <v>#REF!</v>
      </c>
      <c r="V59" s="3" t="str">
        <f t="shared" ca="1" si="6"/>
        <v>Activo</v>
      </c>
      <c r="W59" s="3" t="str">
        <f t="shared" si="11"/>
        <v>Zona Metropolitana de Guadalajara</v>
      </c>
      <c r="X59" s="3" t="b">
        <f>C59=VLOOKUP($C59,PólizaEstatal!$H$2:$H$82,1,FALSE)</f>
        <v>1</v>
      </c>
      <c r="Y59" s="3" t="str">
        <f t="shared" si="12"/>
        <v>8GGTFRC135A148946 JM52177</v>
      </c>
      <c r="AA59" s="5"/>
      <c r="AB59" s="5"/>
      <c r="AC59" s="11" t="str">
        <f>VLOOKUP($E59,'ResguardosXDir-CZ'!$C$2:$G$123,5,FALSE)</f>
        <v>ALMACEN</v>
      </c>
      <c r="AD59" s="11" t="str">
        <f>VLOOKUP($E59,'ResguardosXDir-CZ'!$C$2:$G$123,4,FALSE)</f>
        <v>Jose Osorio Lomelí</v>
      </c>
      <c r="AE59" s="4">
        <v>4</v>
      </c>
    </row>
    <row r="60" spans="1:31" ht="14.25" hidden="1" customHeight="1" x14ac:dyDescent="0.2">
      <c r="A60" s="4" t="str">
        <f t="shared" si="5"/>
        <v>JM52178</v>
      </c>
      <c r="B60" s="3" t="str">
        <f t="shared" si="8"/>
        <v>IEEAJ-03611-0905-01</v>
      </c>
      <c r="C60" s="3" t="str">
        <f t="shared" si="9"/>
        <v>8GGTFRC145A148678</v>
      </c>
      <c r="D60" s="5">
        <v>75</v>
      </c>
      <c r="E60" s="3" t="s">
        <v>529</v>
      </c>
      <c r="F60" s="4">
        <f t="shared" si="10"/>
        <v>8</v>
      </c>
      <c r="G60" s="3" t="s">
        <v>425</v>
      </c>
      <c r="H60" s="3" t="s">
        <v>432</v>
      </c>
      <c r="I60" s="3" t="s">
        <v>681</v>
      </c>
      <c r="J60" s="3">
        <v>2005</v>
      </c>
      <c r="K60" s="5" t="s">
        <v>166</v>
      </c>
      <c r="L60" s="4" t="s">
        <v>146</v>
      </c>
      <c r="M60" s="3" t="s">
        <v>5</v>
      </c>
      <c r="N60" s="4" t="s">
        <v>471</v>
      </c>
      <c r="O60" s="5" t="s">
        <v>490</v>
      </c>
      <c r="P60" s="3" t="s">
        <v>167</v>
      </c>
      <c r="R60" s="3" t="e">
        <f ca="1">IF(OR(CELL("contenido",O60)="Baja",CELL("contenido",J60)&gt;2015,CELL("contenido",F60)="N/A"),"N/A",VLOOKUP(F60,#REF!,2,FALSE))</f>
        <v>#REF!</v>
      </c>
      <c r="S60" s="3" t="e">
        <f ca="1">IF(OR(CELL("contenido",O60)="Baja",CELL("contenido",J60)&gt;2015,CELL("contenido",F60)="N/A"),"N/A",VLOOKUP(F60,#REF!,2,FALSE))</f>
        <v>#REF!</v>
      </c>
      <c r="T60" s="3" t="e">
        <f ca="1">IF(OR(CELL("contenido",O60)="Baja",CELL("contenido",J60)&gt;2015,CELL("contenido",F60)="N/A"),"N/A",VLOOKUP(F60,#REF!,2,FALSE))</f>
        <v>#REF!</v>
      </c>
      <c r="U60" s="3" t="e">
        <f ca="1">IF(OR(CELL("contenido",O60)="Baja",CELL("contenido",J60)&gt;2015,CELL("contenido",F60)="N/A"),"N/A",VLOOKUP(F60,#REF!,2,FALSE))</f>
        <v>#REF!</v>
      </c>
      <c r="V60" s="3" t="s">
        <v>720</v>
      </c>
      <c r="W60" s="3" t="str">
        <f t="shared" si="11"/>
        <v>Zona Metropolitana de Guadalajara</v>
      </c>
      <c r="X60" s="3" t="b">
        <f>C60=VLOOKUP($C60,PólizaEstatal!$H$2:$H$82,1,FALSE)</f>
        <v>1</v>
      </c>
      <c r="Y60" s="3" t="str">
        <f t="shared" si="12"/>
        <v>8GGTFRC145A148678 JM52178</v>
      </c>
      <c r="AA60" s="5"/>
      <c r="AB60" s="5"/>
      <c r="AC60" s="71" t="str">
        <f>VLOOKUP($E60,'ResguardosXDir-CZ'!$C$2:$G$123,5,FALSE)</f>
        <v>ALMACEN</v>
      </c>
      <c r="AD60" s="71" t="str">
        <f>VLOOKUP($E60,'ResguardosXDir-CZ'!$C$2:$G$123,4,FALSE)</f>
        <v>Jose Osorio Lomelí</v>
      </c>
      <c r="AE60" s="4" t="s">
        <v>957</v>
      </c>
    </row>
    <row r="61" spans="1:31" ht="15" hidden="1" customHeight="1" x14ac:dyDescent="0.25">
      <c r="A61" s="4" t="str">
        <f t="shared" si="5"/>
        <v>JM52179</v>
      </c>
      <c r="B61" s="3" t="str">
        <f t="shared" si="8"/>
        <v>IEEAJ-03612-0905-01</v>
      </c>
      <c r="C61" s="3" t="str">
        <f t="shared" si="9"/>
        <v>8GGTFRC155A148947</v>
      </c>
      <c r="D61" s="3">
        <v>76</v>
      </c>
      <c r="E61" s="3" t="s">
        <v>541</v>
      </c>
      <c r="F61" s="4">
        <f t="shared" si="10"/>
        <v>9</v>
      </c>
      <c r="G61" s="3" t="s">
        <v>425</v>
      </c>
      <c r="H61" s="3" t="s">
        <v>432</v>
      </c>
      <c r="I61" s="3" t="s">
        <v>681</v>
      </c>
      <c r="J61" s="3">
        <v>2005</v>
      </c>
      <c r="K61" s="5" t="s">
        <v>168</v>
      </c>
      <c r="L61" s="4" t="s">
        <v>146</v>
      </c>
      <c r="M61" s="3" t="s">
        <v>5</v>
      </c>
      <c r="N61" s="4" t="s">
        <v>482</v>
      </c>
      <c r="O61" s="4" t="s">
        <v>735</v>
      </c>
      <c r="P61" s="3" t="s">
        <v>169</v>
      </c>
      <c r="R61" s="3" t="e">
        <f ca="1">IF(OR(CELL("contenido",O61)="Baja",CELL("contenido",J61)&gt;2015,CELL("contenido",F61)="N/A"),"N/A",VLOOKUP(F61,#REF!,2,FALSE))</f>
        <v>#REF!</v>
      </c>
      <c r="S61" s="3" t="e">
        <f ca="1">IF(OR(CELL("contenido",O61)="Baja",CELL("contenido",J61)&gt;2015,CELL("contenido",F61)="N/A"),"N/A",VLOOKUP(F61,#REF!,2,FALSE))</f>
        <v>#REF!</v>
      </c>
      <c r="T61" s="3" t="e">
        <f ca="1">IF(OR(CELL("contenido",O61)="Baja",CELL("contenido",J61)&gt;2015,CELL("contenido",F61)="N/A"),"N/A",VLOOKUP(F61,#REF!,2,FALSE))</f>
        <v>#REF!</v>
      </c>
      <c r="U61" s="3" t="e">
        <f ca="1">IF(OR(CELL("contenido",O61)="Baja",CELL("contenido",J61)&gt;2015,CELL("contenido",F61)="N/A"),"N/A",VLOOKUP(F61,#REF!,2,FALSE))</f>
        <v>#REF!</v>
      </c>
      <c r="V61" s="3" t="str">
        <f t="shared" ca="1" si="6"/>
        <v>Activo</v>
      </c>
      <c r="W61" s="3" t="str">
        <f t="shared" si="11"/>
        <v>Tepatitlán</v>
      </c>
      <c r="X61" s="3" t="b">
        <f>C61=VLOOKUP($C61,PólizaEstatal!$H$2:$H$82,1,FALSE)</f>
        <v>1</v>
      </c>
      <c r="Y61" s="3" t="str">
        <f t="shared" si="12"/>
        <v>8GGTFRC155A148947 JM52179</v>
      </c>
      <c r="AA61" s="5"/>
      <c r="AB61" s="5"/>
      <c r="AC61" s="11" t="str">
        <f>VLOOKUP($E61,'ResguardosXDir-CZ'!$C$2:$G$123,5,FALSE)</f>
        <v>20 TEPATITLAN</v>
      </c>
      <c r="AD61" s="11" t="str">
        <f>VLOOKUP($E61,'ResguardosXDir-CZ'!$C$2:$G$123,4,FALSE)</f>
        <v>Diego Armando Hernández González</v>
      </c>
      <c r="AE61" s="4">
        <v>4</v>
      </c>
    </row>
    <row r="62" spans="1:31" ht="14.25" hidden="1" customHeight="1" x14ac:dyDescent="0.2">
      <c r="A62" s="4" t="str">
        <f t="shared" si="5"/>
        <v>JM52180</v>
      </c>
      <c r="B62" s="3" t="str">
        <f t="shared" si="8"/>
        <v>IEEAJ-03613-0905-01</v>
      </c>
      <c r="C62" s="3" t="str">
        <f t="shared" si="9"/>
        <v>8GGTFRC165A148679</v>
      </c>
      <c r="D62" s="3">
        <v>77</v>
      </c>
      <c r="E62" s="3" t="s">
        <v>562</v>
      </c>
      <c r="F62" s="4">
        <f t="shared" si="10"/>
        <v>0</v>
      </c>
      <c r="G62" s="3" t="s">
        <v>425</v>
      </c>
      <c r="H62" s="3" t="s">
        <v>432</v>
      </c>
      <c r="J62" s="3">
        <v>2005</v>
      </c>
      <c r="K62" s="5" t="s">
        <v>170</v>
      </c>
      <c r="L62" s="4" t="s">
        <v>146</v>
      </c>
      <c r="M62" s="3" t="s">
        <v>5</v>
      </c>
      <c r="N62" s="4" t="s">
        <v>485</v>
      </c>
      <c r="O62" s="4" t="s">
        <v>487</v>
      </c>
      <c r="P62" s="3" t="s">
        <v>171</v>
      </c>
      <c r="Q62" s="3" t="s">
        <v>415</v>
      </c>
      <c r="R62" s="3" t="str">
        <f ca="1">IF(OR(CELL("contenido",O62)="Baja",CELL("contenido",J62)&gt;2015,CELL("contenido",F62)="N/A"),"N/A",VLOOKUP(F62,#REF!,2,FALSE))</f>
        <v>N/A</v>
      </c>
      <c r="S62" s="3" t="str">
        <f ca="1">IF(OR(CELL("contenido",O62)="Baja",CELL("contenido",J62)&gt;2015,CELL("contenido",F62)="N/A"),"N/A",VLOOKUP(F62,#REF!,2,FALSE))</f>
        <v>N/A</v>
      </c>
      <c r="T62" s="3" t="str">
        <f ca="1">IF(OR(CELL("contenido",O62)="Baja",CELL("contenido",J62)&gt;2015,CELL("contenido",F62)="N/A"),"N/A",VLOOKUP(F62,#REF!,2,FALSE))</f>
        <v>N/A</v>
      </c>
      <c r="U62" s="3" t="str">
        <f ca="1">IF(OR(CELL("contenido",O62)="Baja",CELL("contenido",J62)&gt;2015,CELL("contenido",F62)="N/A"),"N/A",VLOOKUP(F62,#REF!,2,FALSE))</f>
        <v>N/A</v>
      </c>
      <c r="V62" s="3" t="str">
        <f t="shared" ca="1" si="6"/>
        <v>Baja</v>
      </c>
      <c r="W62" s="3" t="str">
        <f t="shared" si="11"/>
        <v>Zona Metropolitana de Guadalajara</v>
      </c>
      <c r="X62" s="3" t="e">
        <f>C62=VLOOKUP($C62,PólizaEstatal!$H$2:$H$82,1,FALSE)</f>
        <v>#N/A</v>
      </c>
      <c r="Y62" s="3" t="str">
        <f t="shared" si="12"/>
        <v>8GGTFRC165A148679 JM52180</v>
      </c>
      <c r="AA62" s="5"/>
      <c r="AB62" s="5"/>
      <c r="AC62" s="71" t="e">
        <f>VLOOKUP($E62,'ResguardosXDir-CZ'!$C$2:$G$123,5,FALSE)</f>
        <v>#N/A</v>
      </c>
      <c r="AD62" s="71" t="e">
        <f>VLOOKUP($E62,'ResguardosXDir-CZ'!$C$2:$G$123,4,FALSE)</f>
        <v>#N/A</v>
      </c>
      <c r="AE62" s="5" t="s">
        <v>957</v>
      </c>
    </row>
    <row r="63" spans="1:31" s="5" customFormat="1" ht="14.25" hidden="1" customHeight="1" x14ac:dyDescent="0.2">
      <c r="A63" s="4" t="str">
        <f t="shared" si="5"/>
        <v>JN13147</v>
      </c>
      <c r="B63" s="5" t="str">
        <f t="shared" si="8"/>
        <v>I-480800052-00024-05</v>
      </c>
      <c r="C63" s="3" t="str">
        <f t="shared" si="9"/>
        <v>3N6DD13S96K015460</v>
      </c>
      <c r="D63" s="5">
        <v>78</v>
      </c>
      <c r="E63" s="5" t="s">
        <v>525</v>
      </c>
      <c r="F63" s="4">
        <f t="shared" si="10"/>
        <v>7</v>
      </c>
      <c r="G63" s="5" t="s">
        <v>426</v>
      </c>
      <c r="H63" s="3" t="s">
        <v>427</v>
      </c>
      <c r="I63" s="3" t="s">
        <v>681</v>
      </c>
      <c r="J63" s="5">
        <v>2006</v>
      </c>
      <c r="K63" s="5" t="s">
        <v>172</v>
      </c>
      <c r="L63" s="5" t="s">
        <v>173</v>
      </c>
      <c r="M63" s="5" t="s">
        <v>9</v>
      </c>
      <c r="N63" s="4" t="s">
        <v>480</v>
      </c>
      <c r="O63" s="5" t="s">
        <v>487</v>
      </c>
      <c r="P63" s="5" t="s">
        <v>174</v>
      </c>
      <c r="Q63" s="5" t="s">
        <v>607</v>
      </c>
      <c r="R63" s="3" t="str">
        <f ca="1">IF(OR(CELL("contenido",O63)="Baja",CELL("contenido",J63)&gt;2015,CELL("contenido",F63)="N/A"),"N/A",VLOOKUP(F63,#REF!,2,FALSE))</f>
        <v>N/A</v>
      </c>
      <c r="S63" s="3" t="str">
        <f ca="1">IF(OR(CELL("contenido",O63)="Baja",CELL("contenido",J63)&gt;2015,CELL("contenido",F63)="N/A"),"N/A",VLOOKUP(F63,#REF!,2,FALSE))</f>
        <v>N/A</v>
      </c>
      <c r="T63" s="3" t="str">
        <f ca="1">IF(OR(CELL("contenido",O63)="Baja",CELL("contenido",J63)&gt;2015,CELL("contenido",F63)="N/A"),"N/A",VLOOKUP(F63,#REF!,2,FALSE))</f>
        <v>N/A</v>
      </c>
      <c r="U63" s="3" t="str">
        <f ca="1">IF(OR(CELL("contenido",O63)="Baja",CELL("contenido",J63)&gt;2015,CELL("contenido",F63)="N/A"),"N/A",VLOOKUP(F63,#REF!,2,FALSE))</f>
        <v>N/A</v>
      </c>
      <c r="V63" s="3" t="str">
        <f t="shared" ca="1" si="6"/>
        <v>Baja</v>
      </c>
      <c r="W63" s="3" t="str">
        <f t="shared" si="11"/>
        <v>Zona Metropolitana de Guadalajara</v>
      </c>
      <c r="X63" s="3" t="e">
        <f>C63=VLOOKUP($C63,PólizaEstatal!$H$2:$H$82,1,FALSE)</f>
        <v>#N/A</v>
      </c>
      <c r="Y63" s="3" t="str">
        <f t="shared" si="12"/>
        <v>3N6DD13S96K015460 JN13147</v>
      </c>
      <c r="AA63" s="3"/>
      <c r="AB63" s="3"/>
      <c r="AC63" s="71" t="e">
        <f>VLOOKUP($E63,'ResguardosXDir-CZ'!$C$2:$G$123,5,FALSE)</f>
        <v>#N/A</v>
      </c>
      <c r="AD63" s="71" t="e">
        <f>VLOOKUP($E63,'ResguardosXDir-CZ'!$C$2:$G$123,4,FALSE)</f>
        <v>#N/A</v>
      </c>
      <c r="AE63" s="5" t="s">
        <v>957</v>
      </c>
    </row>
    <row r="64" spans="1:31" s="5" customFormat="1" ht="15" hidden="1" customHeight="1" x14ac:dyDescent="0.25">
      <c r="A64" s="4" t="str">
        <f t="shared" si="5"/>
        <v>JN13350</v>
      </c>
      <c r="B64" s="5" t="str">
        <f t="shared" si="8"/>
        <v>I-480800052-00065-06</v>
      </c>
      <c r="C64" s="3" t="str">
        <f t="shared" si="9"/>
        <v>3N6DD13S57K006272</v>
      </c>
      <c r="D64" s="5">
        <v>79</v>
      </c>
      <c r="E64" s="15" t="s">
        <v>505</v>
      </c>
      <c r="F64" s="4">
        <f t="shared" si="10"/>
        <v>0</v>
      </c>
      <c r="G64" s="5" t="s">
        <v>426</v>
      </c>
      <c r="H64" s="3" t="s">
        <v>427</v>
      </c>
      <c r="I64" s="3" t="s">
        <v>681</v>
      </c>
      <c r="J64" s="5">
        <v>2007</v>
      </c>
      <c r="K64" s="5" t="s">
        <v>175</v>
      </c>
      <c r="L64" s="5" t="s">
        <v>176</v>
      </c>
      <c r="M64" s="5" t="s">
        <v>9</v>
      </c>
      <c r="N64" s="4" t="s">
        <v>485</v>
      </c>
      <c r="O64" s="5" t="s">
        <v>487</v>
      </c>
      <c r="P64" s="5" t="s">
        <v>177</v>
      </c>
      <c r="Q64" s="5" t="s">
        <v>695</v>
      </c>
      <c r="R64" s="3" t="str">
        <f ca="1">IF(OR(CELL("contenido",O64)="Baja",CELL("contenido",J64)&gt;2015,CELL("contenido",F64)="N/A"),"N/A",VLOOKUP(F64,#REF!,2,FALSE))</f>
        <v>N/A</v>
      </c>
      <c r="S64" s="3" t="str">
        <f ca="1">IF(OR(CELL("contenido",O64)="Baja",CELL("contenido",J64)&gt;2015,CELL("contenido",F64)="N/A"),"N/A",VLOOKUP(F64,#REF!,2,FALSE))</f>
        <v>N/A</v>
      </c>
      <c r="T64" s="3" t="str">
        <f ca="1">IF(OR(CELL("contenido",O64)="Baja",CELL("contenido",J64)&gt;2015,CELL("contenido",F64)="N/A"),"N/A",VLOOKUP(F64,#REF!,2,FALSE))</f>
        <v>N/A</v>
      </c>
      <c r="U64" s="3" t="str">
        <f ca="1">IF(OR(CELL("contenido",O64)="Baja",CELL("contenido",J64)&gt;2015,CELL("contenido",F64)="N/A"),"N/A",VLOOKUP(F64,#REF!,2,FALSE))</f>
        <v>N/A</v>
      </c>
      <c r="V64" s="3" t="s">
        <v>487</v>
      </c>
      <c r="W64" s="3" t="str">
        <f t="shared" si="11"/>
        <v>Zona Metropolitana de Guadalajara</v>
      </c>
      <c r="X64" s="3" t="e">
        <f>C64=VLOOKUP($C64,PólizaEstatal!$H$2:$H$82,1,FALSE)</f>
        <v>#N/A</v>
      </c>
      <c r="Y64" s="3" t="str">
        <f t="shared" si="12"/>
        <v>3N6DD13S57K006272 JN13350</v>
      </c>
      <c r="AA64" s="3"/>
      <c r="AB64" s="3"/>
      <c r="AC64" s="71" t="e">
        <f>VLOOKUP($E64,'ResguardosXDir-CZ'!$C$2:$G$123,5,FALSE)</f>
        <v>#N/A</v>
      </c>
      <c r="AD64" s="71" t="e">
        <f>VLOOKUP($E64,'ResguardosXDir-CZ'!$C$2:$G$123,4,FALSE)</f>
        <v>#N/A</v>
      </c>
      <c r="AE64" s="5" t="s">
        <v>957</v>
      </c>
    </row>
    <row r="65" spans="1:31" s="5" customFormat="1" ht="15" hidden="1" customHeight="1" x14ac:dyDescent="0.25">
      <c r="A65" s="4" t="str">
        <f t="shared" si="5"/>
        <v>JFK1881</v>
      </c>
      <c r="B65" s="5" t="str">
        <f t="shared" ref="B65:B96" si="13">P65</f>
        <v>I-480800014-00010-06</v>
      </c>
      <c r="C65" s="3" t="str">
        <f t="shared" ref="C65:C96" si="14">K65</f>
        <v>3N1JH01SX6L240670</v>
      </c>
      <c r="D65" s="5">
        <v>81</v>
      </c>
      <c r="E65" s="14" t="s">
        <v>595</v>
      </c>
      <c r="F65" s="4">
        <f t="shared" si="10"/>
        <v>1</v>
      </c>
      <c r="G65" s="5" t="s">
        <v>426</v>
      </c>
      <c r="H65" s="5" t="s">
        <v>178</v>
      </c>
      <c r="I65" s="5" t="s">
        <v>681</v>
      </c>
      <c r="J65" s="5">
        <v>2006</v>
      </c>
      <c r="K65" s="5" t="s">
        <v>179</v>
      </c>
      <c r="L65" s="5" t="s">
        <v>180</v>
      </c>
      <c r="M65" s="5" t="s">
        <v>9</v>
      </c>
      <c r="N65" s="5" t="s">
        <v>181</v>
      </c>
      <c r="O65" s="5" t="s">
        <v>491</v>
      </c>
      <c r="P65" s="5" t="s">
        <v>182</v>
      </c>
      <c r="Q65" s="14" t="s">
        <v>702</v>
      </c>
      <c r="R65" s="3" t="e">
        <f ca="1">IF(OR(CELL("contenido",O65)="Baja",CELL("contenido",J65)&gt;2015,CELL("contenido",F65)="N/A"),"N/A",VLOOKUP(F65,#REF!,2,FALSE))</f>
        <v>#REF!</v>
      </c>
      <c r="S65" s="3" t="e">
        <f ca="1">IF(OR(CELL("contenido",O65)="Baja",CELL("contenido",J65)&gt;2015,CELL("contenido",F65)="N/A"),"N/A",VLOOKUP(F65,#REF!,2,FALSE))</f>
        <v>#REF!</v>
      </c>
      <c r="T65" s="3" t="e">
        <f ca="1">IF(OR(CELL("contenido",O65)="Baja",CELL("contenido",J65)&gt;2015,CELL("contenido",F65)="N/A"),"N/A",VLOOKUP(F65,#REF!,2,FALSE))</f>
        <v>#REF!</v>
      </c>
      <c r="U65" s="3" t="e">
        <f ca="1">IF(OR(CELL("contenido",O65)="Baja",CELL("contenido",J65)&gt;2015,CELL("contenido",F65)="N/A"),"N/A",VLOOKUP(F65,#REF!,2,FALSE))</f>
        <v>#REF!</v>
      </c>
      <c r="V65" s="3" t="str">
        <f t="shared" ca="1" si="6"/>
        <v>Activo</v>
      </c>
      <c r="W65" s="3" t="str">
        <f>VLOOKUP(N65,$AA$2:$AB$33,2,FALSE)</f>
        <v>Zona Metropolitana de Guadalajara</v>
      </c>
      <c r="X65" s="3" t="e">
        <f>C65=VLOOKUP($C65,PólizaEstatal!$H$2:$H$82,1,FALSE)</f>
        <v>#N/A</v>
      </c>
      <c r="Y65" s="3" t="str">
        <f t="shared" si="12"/>
        <v>3N1JH01SX6L240670 JFK1881</v>
      </c>
      <c r="AA65" s="3"/>
      <c r="AB65" s="3"/>
      <c r="AC65" s="11" t="str">
        <f>VLOOKUP($E65,'ResguardosXDir-CZ'!$C$2:$G$123,5,FALSE)</f>
        <v>SNTEA FEDERAL</v>
      </c>
      <c r="AD65" s="11" t="str">
        <f>VLOOKUP($E65,'ResguardosXDir-CZ'!$C$2:$G$123,4,FALSE)</f>
        <v>Fernando Gómez Gómez</v>
      </c>
      <c r="AE65" s="4">
        <v>4</v>
      </c>
    </row>
    <row r="66" spans="1:31" ht="14.25" hidden="1" customHeight="1" x14ac:dyDescent="0.25">
      <c r="A66" s="4" t="str">
        <f t="shared" si="5"/>
        <v>JFX1631</v>
      </c>
      <c r="B66" s="3" t="str">
        <f t="shared" si="13"/>
        <v>IEEAJ-08553-0707-01</v>
      </c>
      <c r="C66" s="3" t="str">
        <f t="shared" si="14"/>
        <v>3G1SE51X78S100595</v>
      </c>
      <c r="D66" s="3">
        <v>82</v>
      </c>
      <c r="E66" s="3" t="s">
        <v>554</v>
      </c>
      <c r="F66" s="4">
        <f t="shared" ref="F66:F97" si="15">VALUE(RIGHT(E66))</f>
        <v>1</v>
      </c>
      <c r="G66" s="4" t="s">
        <v>425</v>
      </c>
      <c r="H66" s="3" t="s">
        <v>183</v>
      </c>
      <c r="I66" s="3" t="s">
        <v>681</v>
      </c>
      <c r="J66" s="3">
        <v>2008</v>
      </c>
      <c r="K66" s="5" t="s">
        <v>184</v>
      </c>
      <c r="L66" s="4" t="s">
        <v>17</v>
      </c>
      <c r="M66" s="3" t="s">
        <v>5</v>
      </c>
      <c r="N66" s="5" t="s">
        <v>485</v>
      </c>
      <c r="O66" s="4" t="s">
        <v>851</v>
      </c>
      <c r="P66" s="3" t="s">
        <v>185</v>
      </c>
      <c r="Q66" s="3" t="s">
        <v>621</v>
      </c>
      <c r="R66" s="3" t="e">
        <f ca="1">IF(OR(CELL("contenido",O66)="Baja",CELL("contenido",J66)&gt;2015,CELL("contenido",F66)="N/A"),"N/A",VLOOKUP(F66,#REF!,2,FALSE))</f>
        <v>#REF!</v>
      </c>
      <c r="S66" s="3" t="e">
        <f ca="1">IF(OR(CELL("contenido",O66)="Baja",CELL("contenido",J66)&gt;2015,CELL("contenido",F66)="N/A"),"N/A",VLOOKUP(F66,#REF!,2,FALSE))</f>
        <v>#REF!</v>
      </c>
      <c r="T66" s="3" t="e">
        <f ca="1">IF(OR(CELL("contenido",O66)="Baja",CELL("contenido",J66)&gt;2015,CELL("contenido",F66)="N/A"),"N/A",VLOOKUP(F66,#REF!,2,FALSE))</f>
        <v>#REF!</v>
      </c>
      <c r="U66" s="3" t="e">
        <f ca="1">IF(OR(CELL("contenido",O66)="Baja",CELL("contenido",J66)&gt;2015,CELL("contenido",F66)="N/A"),"N/A",VLOOKUP(F66,#REF!,2,FALSE))</f>
        <v>#REF!</v>
      </c>
      <c r="V66" s="3" t="s">
        <v>720</v>
      </c>
      <c r="W66" s="3" t="str">
        <f t="shared" ref="W66:W97" si="16">VLOOKUP(N66,$AA$2:$AB$33,2,FALSE)</f>
        <v>Zona Metropolitana de Guadalajara</v>
      </c>
      <c r="X66" s="3" t="b">
        <f>C66=VLOOKUP($C66,PólizaEstatal!$H$2:$H$82,1,FALSE)</f>
        <v>1</v>
      </c>
      <c r="Y66" s="3" t="str">
        <f t="shared" ref="Y66:Y97" si="17">CONCATENATE(TRIM(C66)," ",TRIM(E66))</f>
        <v>3G1SE51X78S100595 JFX1631</v>
      </c>
      <c r="AC66" s="11" t="str">
        <f>VLOOKUP($E66,'ResguardosXDir-CZ'!$C$2:$G$123,5,FALSE)</f>
        <v>SGYRM</v>
      </c>
      <c r="AD66" s="11" t="str">
        <f>VLOOKUP($E66,'ResguardosXDir-CZ'!$C$2:$G$123,4,FALSE)</f>
        <v>David Josafat López Polanco</v>
      </c>
      <c r="AE66" s="4" t="s">
        <v>957</v>
      </c>
    </row>
    <row r="67" spans="1:31" s="5" customFormat="1" ht="15" hidden="1" customHeight="1" x14ac:dyDescent="0.25">
      <c r="A67" s="4" t="str">
        <f t="shared" ref="A67:A130" si="18">E67</f>
        <v>XYW97</v>
      </c>
      <c r="B67" s="5" t="str">
        <f t="shared" si="13"/>
        <v>I-480800132-00019-07</v>
      </c>
      <c r="C67" s="3" t="str">
        <f t="shared" si="14"/>
        <v>LC6PCJK6370801203</v>
      </c>
      <c r="D67" s="5">
        <v>83</v>
      </c>
      <c r="E67" s="15" t="s">
        <v>519</v>
      </c>
      <c r="F67" s="4">
        <f t="shared" si="15"/>
        <v>7</v>
      </c>
      <c r="G67" s="3" t="s">
        <v>444</v>
      </c>
      <c r="H67" s="5" t="s">
        <v>443</v>
      </c>
      <c r="I67" s="5" t="s">
        <v>682</v>
      </c>
      <c r="J67" s="5">
        <v>2007</v>
      </c>
      <c r="K67" s="5" t="s">
        <v>186</v>
      </c>
      <c r="L67" s="5" t="s">
        <v>187</v>
      </c>
      <c r="M67" s="5" t="s">
        <v>9</v>
      </c>
      <c r="N67" s="5" t="s">
        <v>485</v>
      </c>
      <c r="O67" s="5" t="s">
        <v>487</v>
      </c>
      <c r="P67" s="5" t="s">
        <v>188</v>
      </c>
      <c r="Q67" s="5" t="s">
        <v>695</v>
      </c>
      <c r="R67" s="3" t="str">
        <f ca="1">IF(OR(CELL("contenido",O67)="Baja",CELL("contenido",J67)&gt;2015,CELL("contenido",F67)="N/A"),"N/A",VLOOKUP(F67,#REF!,2,FALSE))</f>
        <v>N/A</v>
      </c>
      <c r="S67" s="3" t="str">
        <f ca="1">IF(OR(CELL("contenido",O67)="Baja",CELL("contenido",J67)&gt;2015,CELL("contenido",F67)="N/A"),"N/A",VLOOKUP(F67,#REF!,2,FALSE))</f>
        <v>N/A</v>
      </c>
      <c r="T67" s="3" t="str">
        <f ca="1">IF(OR(CELL("contenido",O67)="Baja",CELL("contenido",J67)&gt;2015,CELL("contenido",F67)="N/A"),"N/A",VLOOKUP(F67,#REF!,2,FALSE))</f>
        <v>N/A</v>
      </c>
      <c r="U67" s="3" t="str">
        <f ca="1">IF(OR(CELL("contenido",O67)="Baja",CELL("contenido",J67)&gt;2015,CELL("contenido",F67)="N/A"),"N/A",VLOOKUP(F67,#REF!,2,FALSE))</f>
        <v>N/A</v>
      </c>
      <c r="V67" s="3" t="s">
        <v>487</v>
      </c>
      <c r="W67" s="3" t="str">
        <f t="shared" si="16"/>
        <v>Zona Metropolitana de Guadalajara</v>
      </c>
      <c r="X67" s="3" t="e">
        <f>C67=VLOOKUP($C67,PólizaEstatal!$H$2:$H$82,1,FALSE)</f>
        <v>#N/A</v>
      </c>
      <c r="Y67" s="3" t="str">
        <f t="shared" si="17"/>
        <v>LC6PCJK6370801203 XYW97</v>
      </c>
      <c r="AA67" s="3"/>
      <c r="AB67" s="3"/>
      <c r="AC67" s="71" t="e">
        <f>VLOOKUP($E67,'ResguardosXDir-CZ'!$C$2:$G$123,5,FALSE)</f>
        <v>#N/A</v>
      </c>
      <c r="AD67" s="71" t="e">
        <f>VLOOKUP($E67,'ResguardosXDir-CZ'!$C$2:$G$123,4,FALSE)</f>
        <v>#N/A</v>
      </c>
      <c r="AE67" s="5" t="s">
        <v>957</v>
      </c>
    </row>
    <row r="68" spans="1:31" s="5" customFormat="1" ht="15" hidden="1" customHeight="1" x14ac:dyDescent="0.25">
      <c r="A68" s="4" t="str">
        <f t="shared" si="18"/>
        <v>XYW98</v>
      </c>
      <c r="B68" s="5" t="str">
        <f t="shared" si="13"/>
        <v>I-480800132-00027-07</v>
      </c>
      <c r="C68" s="3" t="str">
        <f t="shared" si="14"/>
        <v>LC6PCJK6370801282</v>
      </c>
      <c r="D68" s="5">
        <v>84</v>
      </c>
      <c r="E68" s="15" t="s">
        <v>497</v>
      </c>
      <c r="F68" s="4">
        <f t="shared" si="15"/>
        <v>8</v>
      </c>
      <c r="G68" s="3" t="s">
        <v>444</v>
      </c>
      <c r="H68" s="5" t="s">
        <v>443</v>
      </c>
      <c r="I68" s="5" t="s">
        <v>682</v>
      </c>
      <c r="J68" s="5">
        <v>2007</v>
      </c>
      <c r="K68" s="5" t="s">
        <v>622</v>
      </c>
      <c r="L68" s="5" t="s">
        <v>189</v>
      </c>
      <c r="M68" s="5" t="s">
        <v>9</v>
      </c>
      <c r="N68" s="5" t="s">
        <v>485</v>
      </c>
      <c r="O68" s="5" t="s">
        <v>487</v>
      </c>
      <c r="P68" s="5" t="s">
        <v>190</v>
      </c>
      <c r="Q68" s="5" t="s">
        <v>695</v>
      </c>
      <c r="R68" s="3" t="str">
        <f ca="1">IF(OR(CELL("contenido",O68)="Baja",CELL("contenido",J68)&gt;2015,CELL("contenido",F68)="N/A"),"N/A",VLOOKUP(F68,#REF!,2,FALSE))</f>
        <v>N/A</v>
      </c>
      <c r="S68" s="3" t="str">
        <f ca="1">IF(OR(CELL("contenido",O68)="Baja",CELL("contenido",J68)&gt;2015,CELL("contenido",F68)="N/A"),"N/A",VLOOKUP(F68,#REF!,2,FALSE))</f>
        <v>N/A</v>
      </c>
      <c r="T68" s="3" t="str">
        <f ca="1">IF(OR(CELL("contenido",O68)="Baja",CELL("contenido",J68)&gt;2015,CELL("contenido",F68)="N/A"),"N/A",VLOOKUP(F68,#REF!,2,FALSE))</f>
        <v>N/A</v>
      </c>
      <c r="U68" s="3" t="str">
        <f ca="1">IF(OR(CELL("contenido",O68)="Baja",CELL("contenido",J68)&gt;2015,CELL("contenido",F68)="N/A"),"N/A",VLOOKUP(F68,#REF!,2,FALSE))</f>
        <v>N/A</v>
      </c>
      <c r="V68" s="3" t="s">
        <v>487</v>
      </c>
      <c r="W68" s="3" t="str">
        <f t="shared" si="16"/>
        <v>Zona Metropolitana de Guadalajara</v>
      </c>
      <c r="X68" s="3" t="e">
        <f>C68=VLOOKUP($C68,PólizaEstatal!$H$2:$H$82,1,FALSE)</f>
        <v>#N/A</v>
      </c>
      <c r="Y68" s="3" t="str">
        <f t="shared" si="17"/>
        <v>LC6PCJK6370801282 XYW98</v>
      </c>
      <c r="AC68" s="71" t="e">
        <f>VLOOKUP($E68,'ResguardosXDir-CZ'!$C$2:$G$123,5,FALSE)</f>
        <v>#N/A</v>
      </c>
      <c r="AD68" s="71" t="e">
        <f>VLOOKUP($E68,'ResguardosXDir-CZ'!$C$2:$G$123,4,FALSE)</f>
        <v>#N/A</v>
      </c>
      <c r="AE68" s="5" t="s">
        <v>957</v>
      </c>
    </row>
    <row r="69" spans="1:31" ht="15" hidden="1" customHeight="1" x14ac:dyDescent="0.25">
      <c r="A69" s="4" t="str">
        <f t="shared" si="18"/>
        <v>JN93825</v>
      </c>
      <c r="B69" s="3" t="str">
        <f t="shared" si="13"/>
        <v>IEEAJ-38060-1207-01</v>
      </c>
      <c r="C69" s="3" t="str">
        <f t="shared" si="14"/>
        <v>3N6DD13S58K002997</v>
      </c>
      <c r="D69" s="3">
        <v>85</v>
      </c>
      <c r="E69" s="3" t="s">
        <v>398</v>
      </c>
      <c r="F69" s="4">
        <f t="shared" si="15"/>
        <v>5</v>
      </c>
      <c r="G69" s="3" t="s">
        <v>426</v>
      </c>
      <c r="H69" s="3" t="s">
        <v>427</v>
      </c>
      <c r="I69" s="3" t="s">
        <v>681</v>
      </c>
      <c r="J69" s="3">
        <v>2008</v>
      </c>
      <c r="K69" s="5" t="s">
        <v>191</v>
      </c>
      <c r="L69" s="4" t="s">
        <v>192</v>
      </c>
      <c r="M69" s="3" t="s">
        <v>5</v>
      </c>
      <c r="N69" s="4" t="s">
        <v>476</v>
      </c>
      <c r="O69" s="4" t="s">
        <v>825</v>
      </c>
      <c r="P69" s="3" t="s">
        <v>193</v>
      </c>
      <c r="R69" s="3" t="e">
        <f ca="1">IF(OR(CELL("contenido",O69)="Baja",CELL("contenido",J69)&gt;2015,CELL("contenido",F69)="N/A"),"N/A",VLOOKUP(F69,#REF!,2,FALSE))</f>
        <v>#REF!</v>
      </c>
      <c r="S69" s="3" t="e">
        <f ca="1">IF(OR(CELL("contenido",O69)="Baja",CELL("contenido",J69)&gt;2015,CELL("contenido",F69)="N/A"),"N/A",VLOOKUP(F69,#REF!,2,FALSE))</f>
        <v>#REF!</v>
      </c>
      <c r="T69" s="3" t="e">
        <f ca="1">IF(OR(CELL("contenido",O69)="Baja",CELL("contenido",J69)&gt;2015,CELL("contenido",F69)="N/A"),"N/A",VLOOKUP(F69,#REF!,2,FALSE))</f>
        <v>#REF!</v>
      </c>
      <c r="U69" s="3" t="e">
        <f ca="1">IF(OR(CELL("contenido",O69)="Baja",CELL("contenido",J69)&gt;2015,CELL("contenido",F69)="N/A"),"N/A",VLOOKUP(F69,#REF!,2,FALSE))</f>
        <v>#REF!</v>
      </c>
      <c r="V69" s="3" t="str">
        <f t="shared" ref="V69:V130" ca="1" si="19">IF(CELL("contenido",O69)&lt;&gt;"Baja","Activo",O69)</f>
        <v>Activo</v>
      </c>
      <c r="W69" s="3" t="str">
        <f t="shared" si="16"/>
        <v>Ocotlán</v>
      </c>
      <c r="X69" s="3" t="b">
        <f>C69=VLOOKUP($C69,PólizaEstatal!$H$2:$H$82,1,FALSE)</f>
        <v>1</v>
      </c>
      <c r="Y69" s="3" t="str">
        <f t="shared" si="17"/>
        <v>3N6DD13S58K002997 JN93825</v>
      </c>
      <c r="AA69" s="5"/>
      <c r="AB69" s="5"/>
      <c r="AC69" s="11" t="str">
        <f>VLOOKUP($E69,'ResguardosXDir-CZ'!$C$2:$G$123,5,FALSE)</f>
        <v>05 OCOTLAN</v>
      </c>
      <c r="AD69" s="11" t="str">
        <f>VLOOKUP($E69,'ResguardosXDir-CZ'!$C$2:$G$123,4,FALSE)</f>
        <v>Hugo Adrián Cerda Aguilar</v>
      </c>
      <c r="AE69" s="4">
        <v>4</v>
      </c>
    </row>
    <row r="70" spans="1:31" ht="15" hidden="1" customHeight="1" x14ac:dyDescent="0.25">
      <c r="A70" s="4" t="str">
        <f t="shared" si="18"/>
        <v>JN93827</v>
      </c>
      <c r="B70" s="3" t="str">
        <f t="shared" si="13"/>
        <v>IEEAJ-2385-1202-01</v>
      </c>
      <c r="C70" s="3" t="str">
        <f t="shared" si="14"/>
        <v>3N6DD13S18K012040</v>
      </c>
      <c r="D70" s="3">
        <v>86</v>
      </c>
      <c r="E70" s="3" t="s">
        <v>502</v>
      </c>
      <c r="F70" s="4">
        <f t="shared" si="15"/>
        <v>7</v>
      </c>
      <c r="G70" s="3" t="s">
        <v>426</v>
      </c>
      <c r="H70" s="3" t="s">
        <v>427</v>
      </c>
      <c r="I70" s="3" t="s">
        <v>681</v>
      </c>
      <c r="J70" s="3">
        <v>2008</v>
      </c>
      <c r="K70" s="5" t="s">
        <v>194</v>
      </c>
      <c r="L70" s="4" t="s">
        <v>684</v>
      </c>
      <c r="M70" s="3" t="s">
        <v>5</v>
      </c>
      <c r="N70" s="4" t="s">
        <v>466</v>
      </c>
      <c r="O70" s="4" t="s">
        <v>730</v>
      </c>
      <c r="P70" s="3" t="s">
        <v>101</v>
      </c>
      <c r="R70" s="3" t="e">
        <f ca="1">IF(OR(CELL("contenido",O70)="Baja",CELL("contenido",J70)&gt;2015,CELL("contenido",F70)="N/A"),"N/A",VLOOKUP(F70,#REF!,2,FALSE))</f>
        <v>#REF!</v>
      </c>
      <c r="S70" s="3" t="e">
        <f ca="1">IF(OR(CELL("contenido",O70)="Baja",CELL("contenido",J70)&gt;2015,CELL("contenido",F70)="N/A"),"N/A",VLOOKUP(F70,#REF!,2,FALSE))</f>
        <v>#REF!</v>
      </c>
      <c r="T70" s="3" t="e">
        <f ca="1">IF(OR(CELL("contenido",O70)="Baja",CELL("contenido",J70)&gt;2015,CELL("contenido",F70)="N/A"),"N/A",VLOOKUP(F70,#REF!,2,FALSE))</f>
        <v>#REF!</v>
      </c>
      <c r="U70" s="3" t="e">
        <f ca="1">IF(OR(CELL("contenido",O70)="Baja",CELL("contenido",J70)&gt;2015,CELL("contenido",F70)="N/A"),"N/A",VLOOKUP(F70,#REF!,2,FALSE))</f>
        <v>#REF!</v>
      </c>
      <c r="V70" s="3" t="str">
        <f t="shared" ca="1" si="19"/>
        <v>Activo</v>
      </c>
      <c r="W70" s="3" t="str">
        <f t="shared" si="16"/>
        <v>Mazamitla</v>
      </c>
      <c r="X70" s="3" t="b">
        <f>C70=VLOOKUP($C70,PólizaEstatal!$H$2:$H$82,1,FALSE)</f>
        <v>1</v>
      </c>
      <c r="Y70" s="3" t="str">
        <f t="shared" si="17"/>
        <v>3N6DD13S18K012040 JN93827</v>
      </c>
      <c r="AA70" s="5"/>
      <c r="AB70" s="5"/>
      <c r="AC70" s="11" t="str">
        <f>VLOOKUP($E70,'ResguardosXDir-CZ'!$C$2:$G$123,5,FALSE)</f>
        <v>06 MAZAMITLA</v>
      </c>
      <c r="AD70" s="11" t="str">
        <f>VLOOKUP($E70,'ResguardosXDir-CZ'!$C$2:$G$123,4,FALSE)</f>
        <v>Humberto Acevedo Trinidad</v>
      </c>
      <c r="AE70" s="4">
        <v>4</v>
      </c>
    </row>
    <row r="71" spans="1:31" ht="15" hidden="1" customHeight="1" x14ac:dyDescent="0.25">
      <c r="A71" s="4" t="str">
        <f t="shared" si="18"/>
        <v>JP82742</v>
      </c>
      <c r="B71" s="3" t="str">
        <f t="shared" si="13"/>
        <v>IEEAJ-38061-1207-01</v>
      </c>
      <c r="C71" s="3" t="str">
        <f t="shared" si="14"/>
        <v>3N6DD13S68K009814</v>
      </c>
      <c r="D71" s="3">
        <v>87</v>
      </c>
      <c r="E71" s="3" t="s">
        <v>520</v>
      </c>
      <c r="F71" s="4">
        <f t="shared" si="15"/>
        <v>2</v>
      </c>
      <c r="G71" s="3" t="s">
        <v>426</v>
      </c>
      <c r="H71" s="3" t="s">
        <v>427</v>
      </c>
      <c r="I71" s="3" t="s">
        <v>681</v>
      </c>
      <c r="J71" s="3">
        <v>2008</v>
      </c>
      <c r="K71" s="5" t="s">
        <v>195</v>
      </c>
      <c r="L71" s="4" t="s">
        <v>196</v>
      </c>
      <c r="M71" s="3" t="s">
        <v>5</v>
      </c>
      <c r="N71" s="4" t="s">
        <v>470</v>
      </c>
      <c r="O71" s="5" t="s">
        <v>734</v>
      </c>
      <c r="P71" s="3" t="s">
        <v>197</v>
      </c>
      <c r="R71" s="3" t="e">
        <f ca="1">IF(OR(CELL("contenido",O71)="Baja",CELL("contenido",J71)&gt;2015,CELL("contenido",F71)="N/A"),"N/A",VLOOKUP(F71,#REF!,2,FALSE))</f>
        <v>#REF!</v>
      </c>
      <c r="S71" s="3" t="e">
        <f ca="1">IF(OR(CELL("contenido",O71)="Baja",CELL("contenido",J71)&gt;2015,CELL("contenido",F71)="N/A"),"N/A",VLOOKUP(F71,#REF!,2,FALSE))</f>
        <v>#REF!</v>
      </c>
      <c r="T71" s="3" t="e">
        <f ca="1">IF(OR(CELL("contenido",O71)="Baja",CELL("contenido",J71)&gt;2015,CELL("contenido",F71)="N/A"),"N/A",VLOOKUP(F71,#REF!,2,FALSE))</f>
        <v>#REF!</v>
      </c>
      <c r="U71" s="3" t="e">
        <f ca="1">IF(OR(CELL("contenido",O71)="Baja",CELL("contenido",J71)&gt;2015,CELL("contenido",F71)="N/A"),"N/A",VLOOKUP(F71,#REF!,2,FALSE))</f>
        <v>#REF!</v>
      </c>
      <c r="V71" s="3" t="str">
        <f t="shared" ca="1" si="19"/>
        <v>Activo</v>
      </c>
      <c r="W71" s="3" t="str">
        <f t="shared" si="16"/>
        <v>Mascota</v>
      </c>
      <c r="X71" s="3" t="b">
        <f>C71=VLOOKUP($C71,PólizaEstatal!$H$2:$H$82,1,FALSE)</f>
        <v>1</v>
      </c>
      <c r="Y71" s="3" t="str">
        <f t="shared" si="17"/>
        <v>3N6DD13S68K009814 JP82742</v>
      </c>
      <c r="AC71" s="11" t="str">
        <f>VLOOKUP($E71,'ResguardosXDir-CZ'!$C$2:$G$123,5,FALSE)</f>
        <v>13 MASCOTA</v>
      </c>
      <c r="AD71" s="11" t="str">
        <f>VLOOKUP($E71,'ResguardosXDir-CZ'!$C$2:$G$123,4,FALSE)</f>
        <v>Jesus Damián Vázquez Barajas</v>
      </c>
      <c r="AE71" s="4">
        <v>4</v>
      </c>
    </row>
    <row r="72" spans="1:31" ht="14.25" hidden="1" customHeight="1" x14ac:dyDescent="0.25">
      <c r="A72" s="4" t="str">
        <f t="shared" si="18"/>
        <v>JN93824</v>
      </c>
      <c r="B72" s="3" t="str">
        <f t="shared" si="13"/>
        <v>IEEAJ-38062-1207-01</v>
      </c>
      <c r="C72" s="3" t="str">
        <f t="shared" si="14"/>
        <v>3N6DD13S18K002043</v>
      </c>
      <c r="D72" s="3">
        <v>88</v>
      </c>
      <c r="E72" s="3" t="s">
        <v>538</v>
      </c>
      <c r="F72" s="4">
        <f t="shared" si="15"/>
        <v>4</v>
      </c>
      <c r="G72" s="3" t="s">
        <v>426</v>
      </c>
      <c r="H72" s="3" t="s">
        <v>427</v>
      </c>
      <c r="I72" s="3" t="s">
        <v>681</v>
      </c>
      <c r="J72" s="3">
        <v>2008</v>
      </c>
      <c r="K72" s="5" t="s">
        <v>198</v>
      </c>
      <c r="L72" s="4" t="s">
        <v>199</v>
      </c>
      <c r="M72" s="3" t="s">
        <v>5</v>
      </c>
      <c r="N72" s="4" t="s">
        <v>614</v>
      </c>
      <c r="O72" s="4" t="s">
        <v>488</v>
      </c>
      <c r="P72" s="3" t="s">
        <v>200</v>
      </c>
      <c r="Q72" s="3" t="s">
        <v>823</v>
      </c>
      <c r="R72" s="3" t="e">
        <f ca="1">IF(OR(CELL("contenido",O72)="Baja",CELL("contenido",J72)&gt;2015,CELL("contenido",F72)="N/A"),"N/A",VLOOKUP(F72,#REF!,2,FALSE))</f>
        <v>#REF!</v>
      </c>
      <c r="S72" s="3" t="e">
        <f ca="1">IF(OR(CELL("contenido",O72)="Baja",CELL("contenido",J72)&gt;2015,CELL("contenido",F72)="N/A"),"N/A",VLOOKUP(F72,#REF!,2,FALSE))</f>
        <v>#REF!</v>
      </c>
      <c r="T72" s="3" t="e">
        <f ca="1">IF(OR(CELL("contenido",O72)="Baja",CELL("contenido",J72)&gt;2015,CELL("contenido",F72)="N/A"),"N/A",VLOOKUP(F72,#REF!,2,FALSE))</f>
        <v>#REF!</v>
      </c>
      <c r="U72" s="3" t="e">
        <f ca="1">IF(OR(CELL("contenido",O72)="Baja",CELL("contenido",J72)&gt;2015,CELL("contenido",F72)="N/A"),"N/A",VLOOKUP(F72,#REF!,2,FALSE))</f>
        <v>#REF!</v>
      </c>
      <c r="V72" s="3" t="str">
        <f t="shared" ca="1" si="19"/>
        <v>Activo</v>
      </c>
      <c r="W72" s="3" t="str">
        <f t="shared" si="16"/>
        <v>Zona Metropolitana de Guadalajara</v>
      </c>
      <c r="X72" s="3" t="b">
        <f>C72=VLOOKUP($C72,PólizaEstatal!$H$2:$H$82,1,FALSE)</f>
        <v>1</v>
      </c>
      <c r="Y72" s="3" t="str">
        <f t="shared" si="17"/>
        <v>3N6DD13S18K002043 JN93824</v>
      </c>
      <c r="AA72" s="5"/>
      <c r="AB72" s="5"/>
      <c r="AC72" s="11" t="str">
        <f>VLOOKUP($E72,'ResguardosXDir-CZ'!$C$2:$G$123,5,FALSE)</f>
        <v>ALMACEN</v>
      </c>
      <c r="AD72" s="11" t="str">
        <f>VLOOKUP($E72,'ResguardosXDir-CZ'!$C$2:$G$123,4,FALSE)</f>
        <v>Jose Osorio Lomelí</v>
      </c>
      <c r="AE72" s="4">
        <v>4</v>
      </c>
    </row>
    <row r="73" spans="1:31" ht="14.25" hidden="1" customHeight="1" x14ac:dyDescent="0.2">
      <c r="A73" s="4" t="str">
        <f t="shared" si="18"/>
        <v>JN93823</v>
      </c>
      <c r="B73" s="3" t="str">
        <f t="shared" si="13"/>
        <v>IEEAJ-38063-1207-01</v>
      </c>
      <c r="C73" s="3" t="str">
        <f t="shared" si="14"/>
        <v>3N6DD13S48K003123</v>
      </c>
      <c r="D73" s="3">
        <v>89</v>
      </c>
      <c r="E73" s="3" t="s">
        <v>547</v>
      </c>
      <c r="F73" s="4">
        <f t="shared" si="15"/>
        <v>3</v>
      </c>
      <c r="G73" s="3" t="s">
        <v>426</v>
      </c>
      <c r="H73" s="3" t="s">
        <v>427</v>
      </c>
      <c r="I73" s="3" t="s">
        <v>681</v>
      </c>
      <c r="J73" s="3">
        <v>2008</v>
      </c>
      <c r="K73" s="5" t="s">
        <v>201</v>
      </c>
      <c r="L73" s="4" t="s">
        <v>202</v>
      </c>
      <c r="M73" s="3" t="s">
        <v>5</v>
      </c>
      <c r="N73" s="4" t="s">
        <v>473</v>
      </c>
      <c r="O73" s="4" t="s">
        <v>487</v>
      </c>
      <c r="P73" s="3" t="s">
        <v>203</v>
      </c>
      <c r="Q73" s="3" t="s">
        <v>386</v>
      </c>
      <c r="R73" s="3" t="str">
        <f ca="1">IF(OR(CELL("contenido",O73)="Baja",CELL("contenido",J73)&gt;2015,CELL("contenido",F73)="N/A"),"N/A",VLOOKUP(F73,#REF!,2,FALSE))</f>
        <v>N/A</v>
      </c>
      <c r="S73" s="3" t="str">
        <f ca="1">IF(OR(CELL("contenido",O73)="Baja",CELL("contenido",J73)&gt;2015,CELL("contenido",F73)="N/A"),"N/A",VLOOKUP(F73,#REF!,2,FALSE))</f>
        <v>N/A</v>
      </c>
      <c r="T73" s="3" t="str">
        <f ca="1">IF(OR(CELL("contenido",O73)="Baja",CELL("contenido",J73)&gt;2015,CELL("contenido",F73)="N/A"),"N/A",VLOOKUP(F73,#REF!,2,FALSE))</f>
        <v>N/A</v>
      </c>
      <c r="U73" s="3" t="str">
        <f ca="1">IF(OR(CELL("contenido",O73)="Baja",CELL("contenido",J73)&gt;2015,CELL("contenido",F73)="N/A"),"N/A",VLOOKUP(F73,#REF!,2,FALSE))</f>
        <v>N/A</v>
      </c>
      <c r="V73" s="3" t="str">
        <f t="shared" ca="1" si="19"/>
        <v>Baja</v>
      </c>
      <c r="W73" s="3" t="str">
        <f t="shared" si="16"/>
        <v>Zona Metropolitana de Guadalajara</v>
      </c>
      <c r="X73" s="3" t="e">
        <f>C73=VLOOKUP($C73,PólizaEstatal!$H$2:$H$82,1,FALSE)</f>
        <v>#N/A</v>
      </c>
      <c r="Y73" s="3" t="str">
        <f t="shared" si="17"/>
        <v>3N6DD13S48K003123 JN93823</v>
      </c>
      <c r="AA73" s="5"/>
      <c r="AB73" s="5"/>
      <c r="AC73" s="71" t="e">
        <f>VLOOKUP($E73,'ResguardosXDir-CZ'!$C$2:$G$123,5,FALSE)</f>
        <v>#N/A</v>
      </c>
      <c r="AD73" s="71" t="e">
        <f>VLOOKUP($E73,'ResguardosXDir-CZ'!$C$2:$G$123,4,FALSE)</f>
        <v>#N/A</v>
      </c>
      <c r="AE73" s="5" t="s">
        <v>957</v>
      </c>
    </row>
    <row r="74" spans="1:31" ht="14.25" hidden="1" customHeight="1" x14ac:dyDescent="0.25">
      <c r="A74" s="4" t="str">
        <f t="shared" si="18"/>
        <v>JGC5503</v>
      </c>
      <c r="B74" s="3" t="str">
        <f t="shared" si="13"/>
        <v>IEEAJ-11892-1207-01</v>
      </c>
      <c r="C74" s="3" t="str">
        <f t="shared" si="14"/>
        <v>3N1AB61D48L670798</v>
      </c>
      <c r="D74" s="3">
        <v>90</v>
      </c>
      <c r="E74" s="3" t="s">
        <v>409</v>
      </c>
      <c r="F74" s="4">
        <f t="shared" si="15"/>
        <v>3</v>
      </c>
      <c r="G74" s="5" t="s">
        <v>426</v>
      </c>
      <c r="H74" s="3" t="s">
        <v>456</v>
      </c>
      <c r="I74" s="3" t="s">
        <v>682</v>
      </c>
      <c r="J74" s="3">
        <v>2008</v>
      </c>
      <c r="K74" s="5" t="s">
        <v>204</v>
      </c>
      <c r="L74" s="4" t="s">
        <v>205</v>
      </c>
      <c r="M74" s="3" t="s">
        <v>5</v>
      </c>
      <c r="N74" s="4" t="s">
        <v>693</v>
      </c>
      <c r="O74" s="4" t="s">
        <v>736</v>
      </c>
      <c r="P74" s="3" t="s">
        <v>206</v>
      </c>
      <c r="Q74" s="3" t="s">
        <v>707</v>
      </c>
      <c r="R74" s="3" t="e">
        <f ca="1">IF(OR(CELL("contenido",O74)="Baja",CELL("contenido",J74)&gt;2015,CELL("contenido",F74)="N/A"),"N/A",VLOOKUP(F74,#REF!,2,FALSE))</f>
        <v>#REF!</v>
      </c>
      <c r="S74" s="3" t="e">
        <f ca="1">IF(OR(CELL("contenido",O74)="Baja",CELL("contenido",J74)&gt;2015,CELL("contenido",F74)="N/A"),"N/A",VLOOKUP(F74,#REF!,2,FALSE))</f>
        <v>#REF!</v>
      </c>
      <c r="T74" s="3" t="e">
        <f ca="1">IF(OR(CELL("contenido",O74)="Baja",CELL("contenido",J74)&gt;2015,CELL("contenido",F74)="N/A"),"N/A",VLOOKUP(F74,#REF!,2,FALSE))</f>
        <v>#REF!</v>
      </c>
      <c r="U74" s="3" t="e">
        <f ca="1">IF(OR(CELL("contenido",O74)="Baja",CELL("contenido",J74)&gt;2015,CELL("contenido",F74)="N/A"),"N/A",VLOOKUP(F74,#REF!,2,FALSE))</f>
        <v>#REF!</v>
      </c>
      <c r="V74" s="3" t="str">
        <f t="shared" ca="1" si="19"/>
        <v>Activo</v>
      </c>
      <c r="W74" s="3" t="str">
        <f t="shared" si="16"/>
        <v>Zona Metropolitana de Guadalajara</v>
      </c>
      <c r="X74" s="3" t="b">
        <f>C74=VLOOKUP($C74,PólizaEstatal!$H$2:$H$82,1,FALSE)</f>
        <v>1</v>
      </c>
      <c r="Y74" s="3" t="str">
        <f t="shared" si="17"/>
        <v>3N1AB61D48L670798 JGC5503</v>
      </c>
      <c r="AC74" s="11" t="str">
        <f>VLOOKUP($E74,'ResguardosXDir-CZ'!$C$2:$G$123,5,FALSE)</f>
        <v>COORD. A. JURÍDICOS</v>
      </c>
      <c r="AD74" s="11" t="str">
        <f>VLOOKUP($E74,'ResguardosXDir-CZ'!$C$2:$G$123,4,FALSE)</f>
        <v>Miroslava Genoveva Janet Díaz Hernández</v>
      </c>
      <c r="AE74" s="4">
        <v>4</v>
      </c>
    </row>
    <row r="75" spans="1:31" ht="14.25" x14ac:dyDescent="0.2">
      <c r="A75" s="4" t="str">
        <f t="shared" si="18"/>
        <v>JN93904</v>
      </c>
      <c r="B75" s="3" t="str">
        <f t="shared" si="13"/>
        <v>IEEAJ-38095-1207-01</v>
      </c>
      <c r="C75" s="3" t="str">
        <f t="shared" si="14"/>
        <v>3N6DD13S58K014535</v>
      </c>
      <c r="D75" s="3">
        <v>91</v>
      </c>
      <c r="E75" s="3" t="s">
        <v>532</v>
      </c>
      <c r="F75" s="4">
        <f t="shared" si="15"/>
        <v>4</v>
      </c>
      <c r="G75" s="3" t="s">
        <v>426</v>
      </c>
      <c r="H75" s="3" t="s">
        <v>427</v>
      </c>
      <c r="I75" s="3" t="s">
        <v>681</v>
      </c>
      <c r="J75" s="3">
        <v>2008</v>
      </c>
      <c r="K75" s="5" t="s">
        <v>207</v>
      </c>
      <c r="L75" s="4" t="s">
        <v>208</v>
      </c>
      <c r="M75" s="3" t="s">
        <v>5</v>
      </c>
      <c r="N75" s="4" t="s">
        <v>471</v>
      </c>
      <c r="O75" s="5" t="s">
        <v>490</v>
      </c>
      <c r="P75" s="3" t="s">
        <v>209</v>
      </c>
      <c r="R75" s="3" t="e">
        <f ca="1">IF(OR(CELL("contenido",O75)="Baja",CELL("contenido",J75)&gt;2015,CELL("contenido",F75)="N/A"),"N/A",VLOOKUP(F75,#REF!,2,FALSE))</f>
        <v>#REF!</v>
      </c>
      <c r="S75" s="3" t="e">
        <f ca="1">IF(OR(CELL("contenido",O75)="Baja",CELL("contenido",J75)&gt;2015,CELL("contenido",F75)="N/A"),"N/A",VLOOKUP(F75,#REF!,2,FALSE))</f>
        <v>#REF!</v>
      </c>
      <c r="T75" s="3" t="e">
        <f ca="1">IF(OR(CELL("contenido",O75)="Baja",CELL("contenido",J75)&gt;2015,CELL("contenido",F75)="N/A"),"N/A",VLOOKUP(F75,#REF!,2,FALSE))</f>
        <v>#REF!</v>
      </c>
      <c r="U75" s="3" t="e">
        <f ca="1">IF(OR(CELL("contenido",O75)="Baja",CELL("contenido",J75)&gt;2015,CELL("contenido",F75)="N/A"),"N/A",VLOOKUP(F75,#REF!,2,FALSE))</f>
        <v>#REF!</v>
      </c>
      <c r="V75" s="3" t="s">
        <v>720</v>
      </c>
      <c r="W75" s="3" t="str">
        <f t="shared" si="16"/>
        <v>Zona Metropolitana de Guadalajara</v>
      </c>
      <c r="X75" s="3" t="b">
        <f>C75=VLOOKUP($C75,PólizaEstatal!$H$2:$H$82,1,FALSE)</f>
        <v>1</v>
      </c>
      <c r="Y75" s="3" t="str">
        <f t="shared" si="17"/>
        <v>3N6DD13S58K014535 JN93904</v>
      </c>
      <c r="AC75" s="71" t="str">
        <f>VLOOKUP($E75,'ResguardosXDir-CZ'!$C$2:$G$123,5,FALSE)</f>
        <v>ALMACEN</v>
      </c>
      <c r="AD75" s="71" t="str">
        <f>VLOOKUP($E75,'ResguardosXDir-CZ'!$C$2:$G$123,4,FALSE)</f>
        <v>Jose Osorio Lomelí</v>
      </c>
      <c r="AE75" s="4" t="s">
        <v>957</v>
      </c>
    </row>
    <row r="76" spans="1:31" s="5" customFormat="1" ht="14.25" x14ac:dyDescent="0.2">
      <c r="A76" s="4" t="str">
        <f t="shared" si="18"/>
        <v>JGF6032</v>
      </c>
      <c r="B76" s="5" t="str">
        <f t="shared" si="13"/>
        <v>I-480800014-00020-07</v>
      </c>
      <c r="C76" s="3" t="str">
        <f t="shared" si="14"/>
        <v>3GNDA13P88S541306</v>
      </c>
      <c r="D76" s="5">
        <v>92</v>
      </c>
      <c r="E76" s="13" t="s">
        <v>560</v>
      </c>
      <c r="F76" s="4">
        <f t="shared" si="15"/>
        <v>2</v>
      </c>
      <c r="G76" s="5" t="s">
        <v>425</v>
      </c>
      <c r="H76" s="3" t="s">
        <v>431</v>
      </c>
      <c r="I76" s="3" t="s">
        <v>681</v>
      </c>
      <c r="J76" s="5">
        <v>2008</v>
      </c>
      <c r="K76" s="5" t="s">
        <v>210</v>
      </c>
      <c r="L76" s="5" t="s">
        <v>17</v>
      </c>
      <c r="M76" s="5" t="s">
        <v>9</v>
      </c>
      <c r="N76" s="4" t="s">
        <v>485</v>
      </c>
      <c r="O76" s="4" t="s">
        <v>487</v>
      </c>
      <c r="P76" s="5" t="s">
        <v>211</v>
      </c>
      <c r="Q76" s="5" t="s">
        <v>695</v>
      </c>
      <c r="R76" s="3" t="str">
        <f ca="1">IF(OR(CELL("contenido",O76)="Baja",CELL("contenido",J76)&gt;2015,CELL("contenido",F76)="N/A"),"N/A",VLOOKUP(F76,#REF!,2,FALSE))</f>
        <v>N/A</v>
      </c>
      <c r="S76" s="3" t="str">
        <f ca="1">IF(OR(CELL("contenido",O76)="Baja",CELL("contenido",J76)&gt;2015,CELL("contenido",F76)="N/A"),"N/A",VLOOKUP(F76,#REF!,2,FALSE))</f>
        <v>N/A</v>
      </c>
      <c r="T76" s="3" t="str">
        <f ca="1">IF(OR(CELL("contenido",O76)="Baja",CELL("contenido",J76)&gt;2015,CELL("contenido",F76)="N/A"),"N/A",VLOOKUP(F76,#REF!,2,FALSE))</f>
        <v>N/A</v>
      </c>
      <c r="U76" s="3" t="str">
        <f ca="1">IF(OR(CELL("contenido",O76)="Baja",CELL("contenido",J76)&gt;2015,CELL("contenido",F76)="N/A"),"N/A",VLOOKUP(F76,#REF!,2,FALSE))</f>
        <v>N/A</v>
      </c>
      <c r="V76" s="3" t="str">
        <f t="shared" ca="1" si="19"/>
        <v>Baja</v>
      </c>
      <c r="W76" s="3" t="str">
        <f t="shared" si="16"/>
        <v>Zona Metropolitana de Guadalajara</v>
      </c>
      <c r="X76" s="3" t="e">
        <f>C76=VLOOKUP($C76,PólizaEstatal!$H$2:$H$82,1,FALSE)</f>
        <v>#N/A</v>
      </c>
      <c r="Y76" s="3" t="str">
        <f t="shared" si="17"/>
        <v>3GNDA13P88S541306 JGF6032</v>
      </c>
      <c r="AA76" s="3"/>
      <c r="AB76" s="3"/>
      <c r="AC76" s="71" t="e">
        <f>VLOOKUP($E76,'ResguardosXDir-CZ'!$C$2:$G$123,5,FALSE)</f>
        <v>#N/A</v>
      </c>
      <c r="AD76" s="71" t="e">
        <f>VLOOKUP($E76,'ResguardosXDir-CZ'!$C$2:$G$123,4,FALSE)</f>
        <v>#N/A</v>
      </c>
      <c r="AE76" s="5" t="s">
        <v>957</v>
      </c>
    </row>
    <row r="77" spans="1:31" ht="14.25" customHeight="1" x14ac:dyDescent="0.25">
      <c r="A77" s="84" t="str">
        <f t="shared" si="18"/>
        <v>JP62285</v>
      </c>
      <c r="B77" s="3" t="str">
        <f t="shared" si="13"/>
        <v>IEEAJ-46536-1108-01</v>
      </c>
      <c r="C77" s="3" t="str">
        <f t="shared" si="14"/>
        <v>8AFDT50D796202328</v>
      </c>
      <c r="D77" s="3">
        <v>93</v>
      </c>
      <c r="E77" s="3" t="s">
        <v>571</v>
      </c>
      <c r="F77" s="4">
        <f t="shared" si="15"/>
        <v>5</v>
      </c>
      <c r="G77" s="3" t="s">
        <v>434</v>
      </c>
      <c r="H77" s="3" t="s">
        <v>436</v>
      </c>
      <c r="I77" s="3" t="s">
        <v>681</v>
      </c>
      <c r="J77" s="3">
        <v>2009</v>
      </c>
      <c r="K77" s="5" t="s">
        <v>212</v>
      </c>
      <c r="L77" s="4" t="s">
        <v>213</v>
      </c>
      <c r="M77" s="3" t="s">
        <v>5</v>
      </c>
      <c r="N77" s="4" t="s">
        <v>485</v>
      </c>
      <c r="O77" s="4" t="s">
        <v>851</v>
      </c>
      <c r="P77" s="3" t="s">
        <v>214</v>
      </c>
      <c r="Q77" s="3" t="s">
        <v>1029</v>
      </c>
      <c r="R77" s="3" t="e">
        <f ca="1">IF(OR(CELL("contenido",O77)="Baja",CELL("contenido",J77)&gt;2015,CELL("contenido",F77)="N/A"),"N/A",VLOOKUP(F77,#REF!,2,FALSE))</f>
        <v>#REF!</v>
      </c>
      <c r="S77" s="3" t="e">
        <f ca="1">IF(OR(CELL("contenido",O77)="Baja",CELL("contenido",J77)&gt;2015,CELL("contenido",F77)="N/A"),"N/A",VLOOKUP(F77,#REF!,2,FALSE))</f>
        <v>#REF!</v>
      </c>
      <c r="T77" s="3" t="e">
        <f ca="1">IF(OR(CELL("contenido",O77)="Baja",CELL("contenido",J77)&gt;2015,CELL("contenido",F77)="N/A"),"N/A",VLOOKUP(F77,#REF!,2,FALSE))</f>
        <v>#REF!</v>
      </c>
      <c r="U77" s="3" t="e">
        <f ca="1">IF(OR(CELL("contenido",O77)="Baja",CELL("contenido",J77)&gt;2015,CELL("contenido",F77)="N/A"),"N/A",VLOOKUP(F77,#REF!,2,FALSE))</f>
        <v>#REF!</v>
      </c>
      <c r="V77" s="3" t="str">
        <f t="shared" ca="1" si="19"/>
        <v>Activo</v>
      </c>
      <c r="W77" s="3" t="str">
        <f t="shared" si="16"/>
        <v>Zona Metropolitana de Guadalajara</v>
      </c>
      <c r="X77" s="3" t="b">
        <f>C77=VLOOKUP($C77,PólizaEstatal!$H$2:$H$82,1,FALSE)</f>
        <v>1</v>
      </c>
      <c r="Y77" s="3" t="str">
        <f t="shared" si="17"/>
        <v>8AFDT50D796202328 JP62285</v>
      </c>
      <c r="AC77" s="11" t="str">
        <f>VLOOKUP($E77,'ResguardosXDir-CZ'!$C$2:$G$123,5,FALSE)</f>
        <v>SGYRM</v>
      </c>
      <c r="AD77" s="11" t="str">
        <f>VLOOKUP($E77,'ResguardosXDir-CZ'!$C$2:$G$123,4,FALSE)</f>
        <v>David Josafat López Polanco</v>
      </c>
      <c r="AE77" s="4">
        <v>4</v>
      </c>
    </row>
    <row r="78" spans="1:31" ht="14.25" hidden="1" customHeight="1" x14ac:dyDescent="0.25">
      <c r="A78" s="4" t="str">
        <f t="shared" si="18"/>
        <v>JGU4377</v>
      </c>
      <c r="B78" s="3" t="str">
        <f t="shared" si="13"/>
        <v>IEEAJ-46465-1108-01</v>
      </c>
      <c r="C78" s="3" t="str">
        <f t="shared" si="14"/>
        <v>9BFBT10N498321478</v>
      </c>
      <c r="D78" s="3">
        <v>94</v>
      </c>
      <c r="E78" s="3" t="s">
        <v>555</v>
      </c>
      <c r="F78" s="4">
        <f t="shared" si="15"/>
        <v>7</v>
      </c>
      <c r="G78" s="3" t="s">
        <v>434</v>
      </c>
      <c r="H78" s="3" t="s">
        <v>435</v>
      </c>
      <c r="I78" s="3" t="s">
        <v>681</v>
      </c>
      <c r="J78" s="3">
        <v>2009</v>
      </c>
      <c r="K78" s="5" t="s">
        <v>215</v>
      </c>
      <c r="L78" s="4" t="s">
        <v>4</v>
      </c>
      <c r="M78" s="3" t="s">
        <v>5</v>
      </c>
      <c r="N78" s="4" t="s">
        <v>486</v>
      </c>
      <c r="O78" s="4" t="s">
        <v>494</v>
      </c>
      <c r="P78" s="3" t="s">
        <v>216</v>
      </c>
      <c r="Q78" s="3" t="s">
        <v>705</v>
      </c>
      <c r="R78" s="3" t="e">
        <f ca="1">IF(OR(CELL("contenido",O78)="Baja",CELL("contenido",J78)&gt;2015,CELL("contenido",F78)="N/A"),"N/A",VLOOKUP(F78,#REF!,2,FALSE))</f>
        <v>#REF!</v>
      </c>
      <c r="S78" s="3" t="e">
        <f ca="1">IF(OR(CELL("contenido",O78)="Baja",CELL("contenido",J78)&gt;2015,CELL("contenido",F78)="N/A"),"N/A",VLOOKUP(F78,#REF!,2,FALSE))</f>
        <v>#REF!</v>
      </c>
      <c r="T78" s="3" t="e">
        <f ca="1">IF(OR(CELL("contenido",O78)="Baja",CELL("contenido",J78)&gt;2015,CELL("contenido",F78)="N/A"),"N/A",VLOOKUP(F78,#REF!,2,FALSE))</f>
        <v>#REF!</v>
      </c>
      <c r="U78" s="3" t="e">
        <f ca="1">IF(OR(CELL("contenido",O78)="Baja",CELL("contenido",J78)&gt;2015,CELL("contenido",F78)="N/A"),"N/A",VLOOKUP(F78,#REF!,2,FALSE))</f>
        <v>#REF!</v>
      </c>
      <c r="V78" s="3" t="str">
        <f t="shared" ca="1" si="19"/>
        <v>Activo</v>
      </c>
      <c r="W78" s="3" t="str">
        <f t="shared" si="16"/>
        <v>Zona Metropolitana de Guadalajara</v>
      </c>
      <c r="X78" s="3" t="b">
        <f>C78=VLOOKUP($C78,PólizaEstatal!$H$2:$H$82,1,FALSE)</f>
        <v>1</v>
      </c>
      <c r="Y78" s="3" t="str">
        <f t="shared" si="17"/>
        <v>9BFBT10N498321478 JGU4377</v>
      </c>
      <c r="AC78" s="11" t="str">
        <f>VLOOKUP($E78,'ResguardosXDir-CZ'!$C$2:$G$123,5,FALSE)</f>
        <v>SINDICATO ESTATAL</v>
      </c>
      <c r="AD78" s="11" t="str">
        <f>VLOOKUP($E78,'ResguardosXDir-CZ'!$C$2:$G$123,4,FALSE)</f>
        <v>Noelia Plascencia Martinez</v>
      </c>
      <c r="AE78" s="4">
        <v>4</v>
      </c>
    </row>
    <row r="79" spans="1:31" ht="15" customHeight="1" x14ac:dyDescent="0.25">
      <c r="A79" s="4" t="str">
        <f t="shared" si="18"/>
        <v>JP62281</v>
      </c>
      <c r="B79" s="3" t="str">
        <f t="shared" si="13"/>
        <v>S/N</v>
      </c>
      <c r="C79" s="3" t="str">
        <f t="shared" si="14"/>
        <v>8AFDT50D496202318</v>
      </c>
      <c r="D79" s="3">
        <v>95</v>
      </c>
      <c r="E79" s="3" t="s">
        <v>495</v>
      </c>
      <c r="F79" s="4">
        <f t="shared" si="15"/>
        <v>1</v>
      </c>
      <c r="G79" s="3" t="s">
        <v>434</v>
      </c>
      <c r="H79" s="3" t="s">
        <v>436</v>
      </c>
      <c r="I79" s="3" t="s">
        <v>681</v>
      </c>
      <c r="J79" s="3">
        <v>2009</v>
      </c>
      <c r="K79" s="5" t="s">
        <v>217</v>
      </c>
      <c r="L79" s="4" t="s">
        <v>4</v>
      </c>
      <c r="M79" s="3" t="s">
        <v>5</v>
      </c>
      <c r="N79" s="5" t="s">
        <v>474</v>
      </c>
      <c r="O79" s="4" t="s">
        <v>729</v>
      </c>
      <c r="P79" s="3" t="s">
        <v>4</v>
      </c>
      <c r="R79" s="3" t="e">
        <f ca="1">IF(OR(CELL("contenido",O79)="Baja",CELL("contenido",J79)&gt;2015,CELL("contenido",F79)="N/A"),"N/A",VLOOKUP(F79,#REF!,2,FALSE))</f>
        <v>#REF!</v>
      </c>
      <c r="S79" s="3" t="e">
        <f ca="1">IF(OR(CELL("contenido",O79)="Baja",CELL("contenido",J79)&gt;2015,CELL("contenido",F79)="N/A"),"N/A",VLOOKUP(F79,#REF!,2,FALSE))</f>
        <v>#REF!</v>
      </c>
      <c r="T79" s="3" t="e">
        <f ca="1">IF(OR(CELL("contenido",O79)="Baja",CELL("contenido",J79)&gt;2015,CELL("contenido",F79)="N/A"),"N/A",VLOOKUP(F79,#REF!,2,FALSE))</f>
        <v>#REF!</v>
      </c>
      <c r="U79" s="3" t="e">
        <f ca="1">IF(OR(CELL("contenido",O79)="Baja",CELL("contenido",J79)&gt;2015,CELL("contenido",F79)="N/A"),"N/A",VLOOKUP(F79,#REF!,2,FALSE))</f>
        <v>#REF!</v>
      </c>
      <c r="V79" s="3" t="str">
        <f t="shared" ca="1" si="19"/>
        <v>Activo</v>
      </c>
      <c r="W79" s="3" t="str">
        <f t="shared" si="16"/>
        <v>Colotlán</v>
      </c>
      <c r="X79" s="3" t="b">
        <f>C79=VLOOKUP($C79,PólizaEstatal!$H$2:$H$82,1,FALSE)</f>
        <v>1</v>
      </c>
      <c r="Y79" s="3" t="str">
        <f t="shared" si="17"/>
        <v>8AFDT50D496202318 JP62281</v>
      </c>
      <c r="AC79" s="11" t="str">
        <f>VLOOKUP($E79,'ResguardosXDir-CZ'!$C$2:$G$123,5,FALSE)</f>
        <v>01 COLOTLAN</v>
      </c>
      <c r="AD79" s="11" t="str">
        <f>VLOOKUP($E79,'ResguardosXDir-CZ'!$C$2:$G$123,4,FALSE)</f>
        <v>Luis Enrique Gándara Alcantar</v>
      </c>
      <c r="AE79" s="4">
        <v>4</v>
      </c>
    </row>
    <row r="80" spans="1:31" ht="15" customHeight="1" x14ac:dyDescent="0.25">
      <c r="A80" s="4" t="str">
        <f t="shared" si="18"/>
        <v>JR71675</v>
      </c>
      <c r="B80" s="3" t="str">
        <f t="shared" si="13"/>
        <v>IEEAJ-46535-1108-01</v>
      </c>
      <c r="C80" s="3" t="str">
        <f t="shared" si="14"/>
        <v>8AFDT50D596202330</v>
      </c>
      <c r="D80" s="3">
        <v>96</v>
      </c>
      <c r="E80" s="3" t="s">
        <v>515</v>
      </c>
      <c r="F80" s="4">
        <f t="shared" si="15"/>
        <v>5</v>
      </c>
      <c r="G80" s="3" t="s">
        <v>434</v>
      </c>
      <c r="H80" s="3" t="s">
        <v>436</v>
      </c>
      <c r="I80" s="3" t="s">
        <v>681</v>
      </c>
      <c r="J80" s="3">
        <v>2009</v>
      </c>
      <c r="K80" s="5" t="s">
        <v>218</v>
      </c>
      <c r="L80" s="4" t="s">
        <v>4</v>
      </c>
      <c r="M80" s="3" t="s">
        <v>5</v>
      </c>
      <c r="N80" s="4" t="s">
        <v>469</v>
      </c>
      <c r="O80" s="4" t="s">
        <v>733</v>
      </c>
      <c r="P80" s="3" t="s">
        <v>219</v>
      </c>
      <c r="R80" s="3" t="e">
        <f ca="1">IF(OR(CELL("contenido",O80)="Baja",CELL("contenido",J80)&gt;2015,CELL("contenido",F80)="N/A"),"N/A",VLOOKUP(F80,#REF!,2,FALSE))</f>
        <v>#REF!</v>
      </c>
      <c r="S80" s="3" t="e">
        <f ca="1">IF(OR(CELL("contenido",O80)="Baja",CELL("contenido",J80)&gt;2015,CELL("contenido",F80)="N/A"),"N/A",VLOOKUP(F80,#REF!,2,FALSE))</f>
        <v>#REF!</v>
      </c>
      <c r="T80" s="3" t="e">
        <f ca="1">IF(OR(CELL("contenido",O80)="Baja",CELL("contenido",J80)&gt;2015,CELL("contenido",F80)="N/A"),"N/A",VLOOKUP(F80,#REF!,2,FALSE))</f>
        <v>#REF!</v>
      </c>
      <c r="U80" s="3" t="e">
        <f ca="1">IF(OR(CELL("contenido",O80)="Baja",CELL("contenido",J80)&gt;2015,CELL("contenido",F80)="N/A"),"N/A",VLOOKUP(F80,#REF!,2,FALSE))</f>
        <v>#REF!</v>
      </c>
      <c r="V80" s="3" t="str">
        <f t="shared" ca="1" si="19"/>
        <v>Activo</v>
      </c>
      <c r="W80" s="3" t="str">
        <f t="shared" si="16"/>
        <v>Ameca</v>
      </c>
      <c r="X80" s="3" t="b">
        <f>C80=VLOOKUP($C80,PólizaEstatal!$H$2:$H$82,1,FALSE)</f>
        <v>1</v>
      </c>
      <c r="Y80" s="3" t="str">
        <f t="shared" si="17"/>
        <v>8AFDT50D596202330 JR71675</v>
      </c>
      <c r="AC80" s="11" t="str">
        <f>VLOOKUP($E80,'ResguardosXDir-CZ'!$C$2:$G$123,5,FALSE)</f>
        <v>12 AMECA</v>
      </c>
      <c r="AD80" s="11" t="str">
        <f>VLOOKUP($E80,'ResguardosXDir-CZ'!$C$2:$G$123,4,FALSE)</f>
        <v>Cesar Octavio Salazar Murillo</v>
      </c>
      <c r="AE80" s="4">
        <v>4</v>
      </c>
    </row>
    <row r="81" spans="1:31" ht="14.25" customHeight="1" x14ac:dyDescent="0.25">
      <c r="A81" s="84" t="str">
        <f t="shared" si="18"/>
        <v>JP62283</v>
      </c>
      <c r="B81" s="3" t="str">
        <f t="shared" si="13"/>
        <v>IEEAJ-46532-1108-01</v>
      </c>
      <c r="C81" s="3" t="str">
        <f t="shared" si="14"/>
        <v>8AFDT50D196199412</v>
      </c>
      <c r="D81" s="3">
        <v>97</v>
      </c>
      <c r="E81" s="3" t="s">
        <v>556</v>
      </c>
      <c r="F81" s="4">
        <f t="shared" si="15"/>
        <v>3</v>
      </c>
      <c r="G81" s="3" t="s">
        <v>434</v>
      </c>
      <c r="H81" s="3" t="s">
        <v>436</v>
      </c>
      <c r="I81" s="3" t="s">
        <v>681</v>
      </c>
      <c r="J81" s="3">
        <v>2009</v>
      </c>
      <c r="K81" s="5" t="s">
        <v>220</v>
      </c>
      <c r="L81" s="4" t="s">
        <v>221</v>
      </c>
      <c r="M81" s="3" t="s">
        <v>5</v>
      </c>
      <c r="N81" s="4" t="s">
        <v>485</v>
      </c>
      <c r="O81" s="4" t="s">
        <v>851</v>
      </c>
      <c r="P81" s="3" t="s">
        <v>222</v>
      </c>
      <c r="R81" s="3" t="e">
        <f ca="1">IF(OR(CELL("contenido",O81)="Baja",CELL("contenido",J81)&gt;2015,CELL("contenido",F81)="N/A"),"N/A",VLOOKUP(F81,#REF!,2,FALSE))</f>
        <v>#REF!</v>
      </c>
      <c r="S81" s="3" t="e">
        <f ca="1">IF(OR(CELL("contenido",O81)="Baja",CELL("contenido",J81)&gt;2015,CELL("contenido",F81)="N/A"),"N/A",VLOOKUP(F81,#REF!,2,FALSE))</f>
        <v>#REF!</v>
      </c>
      <c r="T81" s="3" t="e">
        <f ca="1">IF(OR(CELL("contenido",O81)="Baja",CELL("contenido",J81)&gt;2015,CELL("contenido",F81)="N/A"),"N/A",VLOOKUP(F81,#REF!,2,FALSE))</f>
        <v>#REF!</v>
      </c>
      <c r="U81" s="3" t="e">
        <f ca="1">IF(OR(CELL("contenido",O81)="Baja",CELL("contenido",J81)&gt;2015,CELL("contenido",F81)="N/A"),"N/A",VLOOKUP(F81,#REF!,2,FALSE))</f>
        <v>#REF!</v>
      </c>
      <c r="V81" s="3" t="str">
        <f t="shared" ca="1" si="19"/>
        <v>Activo</v>
      </c>
      <c r="W81" s="3" t="str">
        <f t="shared" si="16"/>
        <v>Zona Metropolitana de Guadalajara</v>
      </c>
      <c r="X81" s="3" t="b">
        <f>C81=VLOOKUP($C81,PólizaEstatal!$H$2:$H$82,1,FALSE)</f>
        <v>1</v>
      </c>
      <c r="Y81" s="3" t="str">
        <f t="shared" si="17"/>
        <v>8AFDT50D196199412 JP62283</v>
      </c>
      <c r="AA81" s="5"/>
      <c r="AB81" s="5"/>
      <c r="AC81" s="11" t="str">
        <f>VLOOKUP($E81,'ResguardosXDir-CZ'!$C$2:$G$123,5,FALSE)</f>
        <v>COORD. VINCULACION</v>
      </c>
      <c r="AD81" s="11" t="str">
        <f>VLOOKUP($E81,'ResguardosXDir-CZ'!$C$2:$G$123,4,FALSE)</f>
        <v>Lucio Gabriel Sedano Anguiano</v>
      </c>
      <c r="AE81" s="4">
        <v>4</v>
      </c>
    </row>
    <row r="82" spans="1:31" ht="15" customHeight="1" x14ac:dyDescent="0.25">
      <c r="A82" s="4" t="str">
        <f t="shared" si="18"/>
        <v>JP62286</v>
      </c>
      <c r="B82" s="3" t="str">
        <f t="shared" si="13"/>
        <v>IEEAJ-46533-1108-01</v>
      </c>
      <c r="C82" s="3" t="str">
        <f t="shared" si="14"/>
        <v>8AFDT50D396199413</v>
      </c>
      <c r="D82" s="3">
        <v>98</v>
      </c>
      <c r="E82" s="3" t="s">
        <v>526</v>
      </c>
      <c r="F82" s="4">
        <f t="shared" si="15"/>
        <v>6</v>
      </c>
      <c r="G82" s="3" t="s">
        <v>434</v>
      </c>
      <c r="H82" s="3" t="s">
        <v>436</v>
      </c>
      <c r="I82" s="3" t="s">
        <v>681</v>
      </c>
      <c r="J82" s="3">
        <v>2009</v>
      </c>
      <c r="K82" s="5" t="s">
        <v>223</v>
      </c>
      <c r="L82" s="4" t="s">
        <v>4</v>
      </c>
      <c r="M82" s="3" t="s">
        <v>5</v>
      </c>
      <c r="N82" s="4" t="s">
        <v>481</v>
      </c>
      <c r="O82" s="4" t="s">
        <v>739</v>
      </c>
      <c r="P82" s="3" t="s">
        <v>224</v>
      </c>
      <c r="R82" s="3" t="e">
        <f ca="1">IF(OR(CELL("contenido",O82)="Baja",CELL("contenido",J82)&gt;2015,CELL("contenido",F82)="N/A"),"N/A",VLOOKUP(F82,#REF!,2,FALSE))</f>
        <v>#REF!</v>
      </c>
      <c r="S82" s="3" t="e">
        <f ca="1">IF(OR(CELL("contenido",O82)="Baja",CELL("contenido",J82)&gt;2015,CELL("contenido",F82)="N/A"),"N/A",VLOOKUP(F82,#REF!,2,FALSE))</f>
        <v>#REF!</v>
      </c>
      <c r="T82" s="3" t="e">
        <f ca="1">IF(OR(CELL("contenido",O82)="Baja",CELL("contenido",J82)&gt;2015,CELL("contenido",F82)="N/A"),"N/A",VLOOKUP(F82,#REF!,2,FALSE))</f>
        <v>#REF!</v>
      </c>
      <c r="U82" s="3" t="e">
        <f ca="1">IF(OR(CELL("contenido",O82)="Baja",CELL("contenido",J82)&gt;2015,CELL("contenido",F82)="N/A"),"N/A",VLOOKUP(F82,#REF!,2,FALSE))</f>
        <v>#REF!</v>
      </c>
      <c r="V82" s="3" t="str">
        <f t="shared" ca="1" si="19"/>
        <v>Activo</v>
      </c>
      <c r="W82" s="3" t="str">
        <f t="shared" si="16"/>
        <v>Zona Metropolitana de Guadalajara</v>
      </c>
      <c r="X82" s="3" t="b">
        <f>C82=VLOOKUP($C82,PólizaEstatal!$H$2:$H$82,1,FALSE)</f>
        <v>1</v>
      </c>
      <c r="Y82" s="3" t="str">
        <f t="shared" si="17"/>
        <v>8AFDT50D396199413 JP62286</v>
      </c>
      <c r="AC82" s="11" t="str">
        <f>VLOOKUP($E82,'ResguardosXDir-CZ'!$C$2:$G$123,5,FALSE)</f>
        <v>17 GUADALAJARA</v>
      </c>
      <c r="AD82" s="11" t="str">
        <f>VLOOKUP($E82,'ResguardosXDir-CZ'!$C$2:$G$123,4,FALSE)</f>
        <v>Karolina Edwur Rosales Barrera</v>
      </c>
      <c r="AE82" s="4">
        <v>4</v>
      </c>
    </row>
    <row r="83" spans="1:31" ht="15" customHeight="1" x14ac:dyDescent="0.25">
      <c r="A83" s="4" t="str">
        <f t="shared" si="18"/>
        <v>JP62284</v>
      </c>
      <c r="B83" s="3" t="str">
        <f t="shared" si="13"/>
        <v>IEEAJ-46534-1108-01</v>
      </c>
      <c r="C83" s="3" t="str">
        <f t="shared" si="14"/>
        <v>8AFDT50D496202321</v>
      </c>
      <c r="D83" s="5">
        <v>99</v>
      </c>
      <c r="E83" s="3" t="s">
        <v>506</v>
      </c>
      <c r="F83" s="4">
        <f t="shared" si="15"/>
        <v>4</v>
      </c>
      <c r="G83" s="3" t="s">
        <v>434</v>
      </c>
      <c r="H83" s="3" t="s">
        <v>436</v>
      </c>
      <c r="I83" s="3" t="s">
        <v>681</v>
      </c>
      <c r="J83" s="3">
        <v>2009</v>
      </c>
      <c r="K83" s="5" t="s">
        <v>225</v>
      </c>
      <c r="L83" s="4" t="s">
        <v>4</v>
      </c>
      <c r="M83" s="3" t="s">
        <v>5</v>
      </c>
      <c r="N83" s="4" t="s">
        <v>478</v>
      </c>
      <c r="O83" s="4" t="s">
        <v>926</v>
      </c>
      <c r="P83" s="3" t="s">
        <v>226</v>
      </c>
      <c r="R83" s="3" t="e">
        <f ca="1">IF(OR(CELL("contenido",O83)="Baja",CELL("contenido",J83)&gt;2015,CELL("contenido",F83)="N/A"),"N/A",VLOOKUP(F83,#REF!,2,FALSE))</f>
        <v>#REF!</v>
      </c>
      <c r="S83" s="3" t="e">
        <f ca="1">IF(OR(CELL("contenido",O83)="Baja",CELL("contenido",J83)&gt;2015,CELL("contenido",F83)="N/A"),"N/A",VLOOKUP(F83,#REF!,2,FALSE))</f>
        <v>#REF!</v>
      </c>
      <c r="T83" s="3" t="e">
        <f ca="1">IF(OR(CELL("contenido",O83)="Baja",CELL("contenido",J83)&gt;2015,CELL("contenido",F83)="N/A"),"N/A",VLOOKUP(F83,#REF!,2,FALSE))</f>
        <v>#REF!</v>
      </c>
      <c r="U83" s="3" t="e">
        <f ca="1">IF(OR(CELL("contenido",O83)="Baja",CELL("contenido",J83)&gt;2015,CELL("contenido",F83)="N/A"),"N/A",VLOOKUP(F83,#REF!,2,FALSE))</f>
        <v>#REF!</v>
      </c>
      <c r="V83" s="3" t="str">
        <f t="shared" ca="1" si="19"/>
        <v>Activo</v>
      </c>
      <c r="W83" s="3" t="str">
        <f t="shared" si="16"/>
        <v>Autlán</v>
      </c>
      <c r="X83" s="3" t="b">
        <f>C83=VLOOKUP($C83,PólizaEstatal!$H$2:$H$82,1,FALSE)</f>
        <v>1</v>
      </c>
      <c r="Y83" s="3" t="str">
        <f t="shared" si="17"/>
        <v>8AFDT50D496202321 JP62284</v>
      </c>
      <c r="AC83" s="11" t="str">
        <f>VLOOKUP($E83,'ResguardosXDir-CZ'!$C$2:$G$123,5,FALSE)</f>
        <v>09 AUTLAN</v>
      </c>
      <c r="AD83" s="11" t="str">
        <f>VLOOKUP($E83,'ResguardosXDir-CZ'!$C$2:$G$123,4,FALSE)</f>
        <v>Ramon Gómez Macedo</v>
      </c>
      <c r="AE83" s="4">
        <v>4</v>
      </c>
    </row>
    <row r="84" spans="1:31" s="5" customFormat="1" ht="15" customHeight="1" x14ac:dyDescent="0.25">
      <c r="A84" s="4" t="str">
        <f t="shared" si="18"/>
        <v>JP82765</v>
      </c>
      <c r="B84" s="5" t="str">
        <f t="shared" si="13"/>
        <v>I-48080005200141-08</v>
      </c>
      <c r="C84" s="3" t="str">
        <f t="shared" si="14"/>
        <v>8AFDT50D396199539</v>
      </c>
      <c r="D84" s="5">
        <v>100</v>
      </c>
      <c r="E84" s="5" t="s">
        <v>507</v>
      </c>
      <c r="F84" s="4">
        <f t="shared" si="15"/>
        <v>5</v>
      </c>
      <c r="G84" s="5" t="s">
        <v>434</v>
      </c>
      <c r="H84" s="3" t="s">
        <v>436</v>
      </c>
      <c r="I84" s="3" t="s">
        <v>681</v>
      </c>
      <c r="J84" s="5">
        <v>2009</v>
      </c>
      <c r="K84" s="5" t="s">
        <v>227</v>
      </c>
      <c r="L84" s="5" t="s">
        <v>4</v>
      </c>
      <c r="M84" s="5" t="s">
        <v>9</v>
      </c>
      <c r="N84" s="4" t="s">
        <v>478</v>
      </c>
      <c r="O84" s="4" t="s">
        <v>926</v>
      </c>
      <c r="P84" s="5" t="s">
        <v>229</v>
      </c>
      <c r="R84" s="3" t="e">
        <f ca="1">IF(OR(CELL("contenido",O84)="Baja",CELL("contenido",J84)&gt;2015,CELL("contenido",F84)="N/A"),"N/A",VLOOKUP(F84,#REF!,2,FALSE))</f>
        <v>#REF!</v>
      </c>
      <c r="S84" s="3" t="e">
        <f ca="1">IF(OR(CELL("contenido",O84)="Baja",CELL("contenido",J84)&gt;2015,CELL("contenido",F84)="N/A"),"N/A",VLOOKUP(F84,#REF!,2,FALSE))</f>
        <v>#REF!</v>
      </c>
      <c r="T84" s="3" t="e">
        <f ca="1">IF(OR(CELL("contenido",O84)="Baja",CELL("contenido",J84)&gt;2015,CELL("contenido",F84)="N/A"),"N/A",VLOOKUP(F84,#REF!,2,FALSE))</f>
        <v>#REF!</v>
      </c>
      <c r="U84" s="3" t="e">
        <f ca="1">IF(OR(CELL("contenido",O84)="Baja",CELL("contenido",J84)&gt;2015,CELL("contenido",F84)="N/A"),"N/A",VLOOKUP(F84,#REF!,2,FALSE))</f>
        <v>#REF!</v>
      </c>
      <c r="V84" s="3" t="str">
        <f t="shared" ca="1" si="19"/>
        <v>Activo</v>
      </c>
      <c r="W84" s="3" t="str">
        <f t="shared" si="16"/>
        <v>Autlán</v>
      </c>
      <c r="X84" s="3" t="e">
        <f>C84=VLOOKUP($C84,PólizaEstatal!$H$2:$H$82,1,FALSE)</f>
        <v>#N/A</v>
      </c>
      <c r="Y84" s="3" t="str">
        <f t="shared" si="17"/>
        <v>8AFDT50D396199539 JP82765</v>
      </c>
      <c r="AA84" s="3"/>
      <c r="AB84" s="3"/>
      <c r="AC84" s="11" t="str">
        <f>VLOOKUP($E84,'ResguardosXDir-CZ'!$C$2:$G$123,5,FALSE)</f>
        <v>09 AUTLAN</v>
      </c>
      <c r="AD84" s="11" t="str">
        <f>VLOOKUP($E84,'ResguardosXDir-CZ'!$C$2:$G$123,4,FALSE)</f>
        <v>Ramon Gómez Macedo</v>
      </c>
      <c r="AE84" s="4">
        <v>4</v>
      </c>
    </row>
    <row r="85" spans="1:31" s="5" customFormat="1" ht="14.25" customHeight="1" x14ac:dyDescent="0.25">
      <c r="A85" s="4" t="str">
        <f t="shared" si="18"/>
        <v>JP40488</v>
      </c>
      <c r="B85" s="5" t="str">
        <f t="shared" si="13"/>
        <v>I-480800052-00140-08</v>
      </c>
      <c r="C85" s="3" t="str">
        <f t="shared" si="14"/>
        <v>8AFDT50D196211218</v>
      </c>
      <c r="D85" s="5">
        <v>101</v>
      </c>
      <c r="E85" s="5" t="s">
        <v>524</v>
      </c>
      <c r="F85" s="4">
        <f t="shared" si="15"/>
        <v>8</v>
      </c>
      <c r="G85" s="5" t="s">
        <v>434</v>
      </c>
      <c r="H85" s="3" t="s">
        <v>436</v>
      </c>
      <c r="I85" s="3" t="s">
        <v>681</v>
      </c>
      <c r="J85" s="5">
        <v>2009</v>
      </c>
      <c r="K85" s="5" t="s">
        <v>230</v>
      </c>
      <c r="L85" s="5" t="s">
        <v>228</v>
      </c>
      <c r="M85" s="5" t="s">
        <v>9</v>
      </c>
      <c r="N85" s="4" t="s">
        <v>480</v>
      </c>
      <c r="O85" s="4" t="s">
        <v>810</v>
      </c>
      <c r="P85" s="5" t="s">
        <v>231</v>
      </c>
      <c r="R85" s="3" t="e">
        <f ca="1">IF(OR(CELL("contenido",O85)="Baja",CELL("contenido",J85)&gt;2015,CELL("contenido",F85)="N/A"),"N/A",VLOOKUP(F85,#REF!,2,FALSE))</f>
        <v>#REF!</v>
      </c>
      <c r="S85" s="3" t="e">
        <f ca="1">IF(OR(CELL("contenido",O85)="Baja",CELL("contenido",J85)&gt;2015,CELL("contenido",F85)="N/A"),"N/A",VLOOKUP(F85,#REF!,2,FALSE))</f>
        <v>#REF!</v>
      </c>
      <c r="T85" s="3" t="e">
        <f ca="1">IF(OR(CELL("contenido",O85)="Baja",CELL("contenido",J85)&gt;2015,CELL("contenido",F85)="N/A"),"N/A",VLOOKUP(F85,#REF!,2,FALSE))</f>
        <v>#REF!</v>
      </c>
      <c r="U85" s="3" t="e">
        <f ca="1">IF(OR(CELL("contenido",O85)="Baja",CELL("contenido",J85)&gt;2015,CELL("contenido",F85)="N/A"),"N/A",VLOOKUP(F85,#REF!,2,FALSE))</f>
        <v>#REF!</v>
      </c>
      <c r="V85" s="3" t="str">
        <f t="shared" ca="1" si="19"/>
        <v>Activo</v>
      </c>
      <c r="W85" s="3" t="str">
        <f t="shared" si="16"/>
        <v>Zona Metropolitana de Guadalajara</v>
      </c>
      <c r="X85" s="3" t="e">
        <f>C85=VLOOKUP($C85,PólizaEstatal!$H$2:$H$82,1,FALSE)</f>
        <v>#N/A</v>
      </c>
      <c r="Y85" s="3" t="str">
        <f t="shared" si="17"/>
        <v>8AFDT50D196211218 JP40488</v>
      </c>
      <c r="AA85" s="3"/>
      <c r="AB85" s="3"/>
      <c r="AC85" s="11" t="str">
        <f>VLOOKUP($E85,'ResguardosXDir-CZ'!$C$2:$G$123,5,FALSE)</f>
        <v xml:space="preserve">15 GUADALAJARA  </v>
      </c>
      <c r="AD85" s="11" t="str">
        <f>VLOOKUP($E85,'ResguardosXDir-CZ'!$C$2:$G$123,4,FALSE)</f>
        <v>Betbirai González Cajides</v>
      </c>
      <c r="AE85" s="4">
        <v>4</v>
      </c>
    </row>
    <row r="86" spans="1:31" s="5" customFormat="1" ht="14.25" customHeight="1" x14ac:dyDescent="0.25">
      <c r="A86" s="84" t="str">
        <f t="shared" si="18"/>
        <v>JP40491</v>
      </c>
      <c r="B86" s="5" t="str">
        <f t="shared" si="13"/>
        <v>I-480800052-00102-08</v>
      </c>
      <c r="C86" s="3" t="str">
        <f t="shared" si="14"/>
        <v>8AFDT50DX96211220</v>
      </c>
      <c r="D86" s="5">
        <v>102</v>
      </c>
      <c r="E86" s="5" t="s">
        <v>572</v>
      </c>
      <c r="F86" s="4">
        <f t="shared" si="15"/>
        <v>1</v>
      </c>
      <c r="G86" s="5" t="s">
        <v>434</v>
      </c>
      <c r="H86" s="3" t="s">
        <v>436</v>
      </c>
      <c r="I86" s="3" t="s">
        <v>681</v>
      </c>
      <c r="J86" s="5">
        <v>2009</v>
      </c>
      <c r="K86" s="5" t="s">
        <v>232</v>
      </c>
      <c r="L86" s="5" t="s">
        <v>228</v>
      </c>
      <c r="M86" s="5" t="s">
        <v>9</v>
      </c>
      <c r="N86" s="4" t="s">
        <v>485</v>
      </c>
      <c r="O86" s="75" t="s">
        <v>851</v>
      </c>
      <c r="P86" s="5" t="s">
        <v>233</v>
      </c>
      <c r="R86" s="3" t="e">
        <f ca="1">IF(OR(CELL("contenido",O86)="Baja",CELL("contenido",J86)&gt;2015,CELL("contenido",F86)="N/A"),"N/A",VLOOKUP(F86,#REF!,2,FALSE))</f>
        <v>#REF!</v>
      </c>
      <c r="S86" s="3" t="e">
        <f ca="1">IF(OR(CELL("contenido",O86)="Baja",CELL("contenido",J86)&gt;2015,CELL("contenido",F86)="N/A"),"N/A",VLOOKUP(F86,#REF!,2,FALSE))</f>
        <v>#REF!</v>
      </c>
      <c r="T86" s="3" t="e">
        <f ca="1">IF(OR(CELL("contenido",O86)="Baja",CELL("contenido",J86)&gt;2015,CELL("contenido",F86)="N/A"),"N/A",VLOOKUP(F86,#REF!,2,FALSE))</f>
        <v>#REF!</v>
      </c>
      <c r="U86" s="3" t="e">
        <f ca="1">IF(OR(CELL("contenido",O86)="Baja",CELL("contenido",J86)&gt;2015,CELL("contenido",F86)="N/A"),"N/A",VLOOKUP(F86,#REF!,2,FALSE))</f>
        <v>#REF!</v>
      </c>
      <c r="V86" s="3" t="str">
        <f t="shared" ca="1" si="19"/>
        <v>Activo</v>
      </c>
      <c r="W86" s="3" t="str">
        <f t="shared" si="16"/>
        <v>Zona Metropolitana de Guadalajara</v>
      </c>
      <c r="X86" s="3" t="e">
        <f>C86=VLOOKUP($C86,PólizaEstatal!$H$2:$H$82,1,FALSE)</f>
        <v>#N/A</v>
      </c>
      <c r="Y86" s="3" t="str">
        <f t="shared" si="17"/>
        <v>8AFDT50DX96211220 JP40491</v>
      </c>
      <c r="AA86" s="3"/>
      <c r="AB86" s="3"/>
      <c r="AC86" s="11" t="str">
        <f>VLOOKUP($E86,'ResguardosXDir-CZ'!$C$2:$G$123,5,FALSE)</f>
        <v>ALMACEN</v>
      </c>
      <c r="AD86" s="11" t="str">
        <f>VLOOKUP($E86,'ResguardosXDir-CZ'!$C$2:$G$123,4,FALSE)</f>
        <v>Jose Osorio Lomelí</v>
      </c>
      <c r="AE86" s="4">
        <v>4</v>
      </c>
    </row>
    <row r="87" spans="1:31" s="5" customFormat="1" ht="14.25" customHeight="1" x14ac:dyDescent="0.25">
      <c r="A87" s="4" t="str">
        <f t="shared" si="18"/>
        <v>JP40487</v>
      </c>
      <c r="B87" s="5" t="str">
        <f t="shared" si="13"/>
        <v>I-480800052-00142-08</v>
      </c>
      <c r="C87" s="3" t="str">
        <f t="shared" si="14"/>
        <v>8AFDT50D396211222</v>
      </c>
      <c r="D87" s="5">
        <v>103</v>
      </c>
      <c r="E87" s="5" t="s">
        <v>573</v>
      </c>
      <c r="F87" s="4">
        <f t="shared" si="15"/>
        <v>7</v>
      </c>
      <c r="G87" s="5" t="s">
        <v>434</v>
      </c>
      <c r="H87" s="3" t="s">
        <v>436</v>
      </c>
      <c r="I87" s="3" t="s">
        <v>681</v>
      </c>
      <c r="J87" s="5">
        <v>2009</v>
      </c>
      <c r="K87" s="5" t="s">
        <v>234</v>
      </c>
      <c r="L87" s="5" t="s">
        <v>228</v>
      </c>
      <c r="M87" s="5" t="s">
        <v>9</v>
      </c>
      <c r="N87" s="4" t="s">
        <v>468</v>
      </c>
      <c r="O87" s="4" t="s">
        <v>489</v>
      </c>
      <c r="P87" s="5" t="s">
        <v>235</v>
      </c>
      <c r="R87" s="3" t="e">
        <f ca="1">IF(OR(CELL("contenido",O87)="Baja",CELL("contenido",J87)&gt;2015,CELL("contenido",F87)="N/A"),"N/A",VLOOKUP(F87,#REF!,2,FALSE))</f>
        <v>#REF!</v>
      </c>
      <c r="S87" s="3" t="e">
        <f ca="1">IF(OR(CELL("contenido",O87)="Baja",CELL("contenido",J87)&gt;2015,CELL("contenido",F87)="N/A"),"N/A",VLOOKUP(F87,#REF!,2,FALSE))</f>
        <v>#REF!</v>
      </c>
      <c r="T87" s="3" t="e">
        <f ca="1">IF(OR(CELL("contenido",O87)="Baja",CELL("contenido",J87)&gt;2015,CELL("contenido",F87)="N/A"),"N/A",VLOOKUP(F87,#REF!,2,FALSE))</f>
        <v>#REF!</v>
      </c>
      <c r="U87" s="3" t="e">
        <f ca="1">IF(OR(CELL("contenido",O87)="Baja",CELL("contenido",J87)&gt;2015,CELL("contenido",F87)="N/A"),"N/A",VLOOKUP(F87,#REF!,2,FALSE))</f>
        <v>#REF!</v>
      </c>
      <c r="V87" s="3" t="str">
        <f t="shared" ca="1" si="19"/>
        <v>Activo</v>
      </c>
      <c r="W87" s="3" t="str">
        <f t="shared" si="16"/>
        <v>Zona Metropolitana de Guadalajara</v>
      </c>
      <c r="X87" s="3" t="e">
        <f>C87=VLOOKUP($C87,PólizaEstatal!$H$2:$H$82,1,FALSE)</f>
        <v>#N/A</v>
      </c>
      <c r="Y87" s="3" t="str">
        <f t="shared" si="17"/>
        <v>8AFDT50D396211222 JP40487</v>
      </c>
      <c r="AA87" s="3"/>
      <c r="AB87" s="3"/>
      <c r="AC87" s="11" t="str">
        <f>VLOOKUP($E87,'ResguardosXDir-CZ'!$C$2:$G$123,5,FALSE)</f>
        <v>11 GUADALAJARA</v>
      </c>
      <c r="AD87" s="11" t="str">
        <f>VLOOKUP($E87,'ResguardosXDir-CZ'!$C$2:$G$123,4,FALSE)</f>
        <v>Laura Verónica Lambarén Verdín</v>
      </c>
      <c r="AE87" s="4">
        <v>4</v>
      </c>
    </row>
    <row r="88" spans="1:31" s="5" customFormat="1" ht="15" customHeight="1" x14ac:dyDescent="0.25">
      <c r="A88" s="4" t="str">
        <f t="shared" si="18"/>
        <v>JP40489</v>
      </c>
      <c r="B88" s="5" t="str">
        <f t="shared" si="13"/>
        <v>I-480800052-00103-08</v>
      </c>
      <c r="C88" s="3" t="str">
        <f t="shared" si="14"/>
        <v>8AFDT50D996215453</v>
      </c>
      <c r="D88" s="5">
        <v>104</v>
      </c>
      <c r="E88" s="5" t="s">
        <v>511</v>
      </c>
      <c r="F88" s="4">
        <f t="shared" si="15"/>
        <v>9</v>
      </c>
      <c r="G88" s="5" t="s">
        <v>434</v>
      </c>
      <c r="H88" s="3" t="s">
        <v>436</v>
      </c>
      <c r="I88" s="3" t="s">
        <v>681</v>
      </c>
      <c r="J88" s="5">
        <v>2009</v>
      </c>
      <c r="K88" s="5" t="s">
        <v>236</v>
      </c>
      <c r="L88" s="5" t="s">
        <v>228</v>
      </c>
      <c r="M88" s="5" t="s">
        <v>9</v>
      </c>
      <c r="N88" s="5" t="s">
        <v>467</v>
      </c>
      <c r="O88" s="4" t="s">
        <v>732</v>
      </c>
      <c r="P88" s="5" t="s">
        <v>237</v>
      </c>
      <c r="R88" s="3" t="e">
        <f ca="1">IF(OR(CELL("contenido",O88)="Baja",CELL("contenido",J88)&gt;2015,CELL("contenido",F88)="N/A"),"N/A",VLOOKUP(F88,#REF!,2,FALSE))</f>
        <v>#REF!</v>
      </c>
      <c r="S88" s="3" t="e">
        <f ca="1">IF(OR(CELL("contenido",O88)="Baja",CELL("contenido",J88)&gt;2015,CELL("contenido",F88)="N/A"),"N/A",VLOOKUP(F88,#REF!,2,FALSE))</f>
        <v>#REF!</v>
      </c>
      <c r="T88" s="3" t="e">
        <f ca="1">IF(OR(CELL("contenido",O88)="Baja",CELL("contenido",J88)&gt;2015,CELL("contenido",F88)="N/A"),"N/A",VLOOKUP(F88,#REF!,2,FALSE))</f>
        <v>#REF!</v>
      </c>
      <c r="U88" s="3" t="e">
        <f ca="1">IF(OR(CELL("contenido",O88)="Baja",CELL("contenido",J88)&gt;2015,CELL("contenido",F88)="N/A"),"N/A",VLOOKUP(F88,#REF!,2,FALSE))</f>
        <v>#REF!</v>
      </c>
      <c r="V88" s="3" t="str">
        <f t="shared" ca="1" si="19"/>
        <v>Activo</v>
      </c>
      <c r="W88" s="3" t="str">
        <f t="shared" si="16"/>
        <v>Grullo</v>
      </c>
      <c r="X88" s="3" t="e">
        <f>C88=VLOOKUP($C88,PólizaEstatal!$H$2:$H$82,1,FALSE)</f>
        <v>#N/A</v>
      </c>
      <c r="Y88" s="3" t="str">
        <f t="shared" si="17"/>
        <v>8AFDT50D996215453 JP40489</v>
      </c>
      <c r="AA88" s="3"/>
      <c r="AB88" s="3"/>
      <c r="AC88" s="11" t="str">
        <f>VLOOKUP($E88,'ResguardosXDir-CZ'!$C$2:$G$123,5,FALSE)</f>
        <v>10 GRULLO</v>
      </c>
      <c r="AD88" s="11" t="str">
        <f>VLOOKUP($E88,'ResguardosXDir-CZ'!$C$2:$G$123,4,FALSE)</f>
        <v>Francisco Edén Flores Ramírez</v>
      </c>
      <c r="AE88" s="4">
        <v>4</v>
      </c>
    </row>
    <row r="89" spans="1:31" s="5" customFormat="1" ht="15" customHeight="1" x14ac:dyDescent="0.25">
      <c r="A89" s="4" t="str">
        <f t="shared" si="18"/>
        <v>JP40490</v>
      </c>
      <c r="B89" s="5" t="str">
        <f t="shared" si="13"/>
        <v>I-480800052-00104-08</v>
      </c>
      <c r="C89" s="3" t="str">
        <f t="shared" si="14"/>
        <v>8AFDT50D396216579</v>
      </c>
      <c r="D89" s="5">
        <v>105</v>
      </c>
      <c r="E89" s="5" t="s">
        <v>518</v>
      </c>
      <c r="F89" s="4">
        <f t="shared" si="15"/>
        <v>0</v>
      </c>
      <c r="G89" s="5" t="s">
        <v>434</v>
      </c>
      <c r="H89" s="3" t="s">
        <v>436</v>
      </c>
      <c r="I89" s="3" t="s">
        <v>681</v>
      </c>
      <c r="J89" s="5">
        <v>2009</v>
      </c>
      <c r="K89" s="5" t="s">
        <v>238</v>
      </c>
      <c r="L89" s="5" t="s">
        <v>228</v>
      </c>
      <c r="M89" s="5" t="s">
        <v>9</v>
      </c>
      <c r="N89" s="5" t="s">
        <v>470</v>
      </c>
      <c r="O89" s="5" t="s">
        <v>734</v>
      </c>
      <c r="P89" s="5" t="s">
        <v>239</v>
      </c>
      <c r="R89" s="3" t="e">
        <f ca="1">IF(OR(CELL("contenido",O89)="Baja",CELL("contenido",J89)&gt;2015,CELL("contenido",F89)="N/A"),"N/A",VLOOKUP(F89,#REF!,2,FALSE))</f>
        <v>#REF!</v>
      </c>
      <c r="S89" s="3" t="e">
        <f ca="1">IF(OR(CELL("contenido",O89)="Baja",CELL("contenido",J89)&gt;2015,CELL("contenido",F89)="N/A"),"N/A",VLOOKUP(F89,#REF!,2,FALSE))</f>
        <v>#REF!</v>
      </c>
      <c r="T89" s="3" t="e">
        <f ca="1">IF(OR(CELL("contenido",O89)="Baja",CELL("contenido",J89)&gt;2015,CELL("contenido",F89)="N/A"),"N/A",VLOOKUP(F89,#REF!,2,FALSE))</f>
        <v>#REF!</v>
      </c>
      <c r="U89" s="3" t="e">
        <f ca="1">IF(OR(CELL("contenido",O89)="Baja",CELL("contenido",J89)&gt;2015,CELL("contenido",F89)="N/A"),"N/A",VLOOKUP(F89,#REF!,2,FALSE))</f>
        <v>#REF!</v>
      </c>
      <c r="V89" s="3" t="str">
        <f t="shared" ca="1" si="19"/>
        <v>Activo</v>
      </c>
      <c r="W89" s="3" t="str">
        <f t="shared" si="16"/>
        <v>Mascota</v>
      </c>
      <c r="X89" s="3" t="e">
        <f>C89=VLOOKUP($C89,PólizaEstatal!$H$2:$H$82,1,FALSE)</f>
        <v>#N/A</v>
      </c>
      <c r="Y89" s="3" t="str">
        <f t="shared" si="17"/>
        <v>8AFDT50D396216579 JP40490</v>
      </c>
      <c r="AC89" s="11" t="str">
        <f>VLOOKUP($E89,'ResguardosXDir-CZ'!$C$2:$G$123,5,FALSE)</f>
        <v>13 MASCOTA</v>
      </c>
      <c r="AD89" s="11" t="str">
        <f>VLOOKUP($E89,'ResguardosXDir-CZ'!$C$2:$G$123,4,FALSE)</f>
        <v>Jesus Damián Vázquez Barajas</v>
      </c>
      <c r="AE89" s="4">
        <v>4</v>
      </c>
    </row>
    <row r="90" spans="1:31" s="5" customFormat="1" ht="14.25" hidden="1" customHeight="1" x14ac:dyDescent="0.2">
      <c r="A90" s="4" t="str">
        <f t="shared" si="18"/>
        <v>JGT5796</v>
      </c>
      <c r="B90" s="5" t="str">
        <f t="shared" si="13"/>
        <v>I-480800156-0009-08</v>
      </c>
      <c r="C90" s="3" t="str">
        <f t="shared" si="14"/>
        <v>1GNFG154581225616</v>
      </c>
      <c r="D90" s="5">
        <v>106</v>
      </c>
      <c r="E90" s="13" t="s">
        <v>568</v>
      </c>
      <c r="F90" s="4">
        <f t="shared" si="15"/>
        <v>6</v>
      </c>
      <c r="G90" s="4" t="s">
        <v>425</v>
      </c>
      <c r="H90" s="5" t="s">
        <v>240</v>
      </c>
      <c r="I90" s="5" t="s">
        <v>681</v>
      </c>
      <c r="J90" s="5">
        <v>2008</v>
      </c>
      <c r="K90" s="5" t="s">
        <v>241</v>
      </c>
      <c r="L90" s="5" t="s">
        <v>242</v>
      </c>
      <c r="M90" s="5" t="s">
        <v>9</v>
      </c>
      <c r="N90" s="4" t="s">
        <v>485</v>
      </c>
      <c r="O90" s="5" t="s">
        <v>487</v>
      </c>
      <c r="P90" s="5" t="s">
        <v>243</v>
      </c>
      <c r="Q90" s="5" t="s">
        <v>695</v>
      </c>
      <c r="R90" s="3" t="str">
        <f ca="1">IF(OR(CELL("contenido",O90)="Baja",CELL("contenido",J90)&gt;2015,CELL("contenido",F90)="N/A"),"N/A",VLOOKUP(F90,#REF!,2,FALSE))</f>
        <v>N/A</v>
      </c>
      <c r="S90" s="3" t="str">
        <f ca="1">IF(OR(CELL("contenido",O90)="Baja",CELL("contenido",J90)&gt;2015,CELL("contenido",F90)="N/A"),"N/A",VLOOKUP(F90,#REF!,2,FALSE))</f>
        <v>N/A</v>
      </c>
      <c r="T90" s="3" t="str">
        <f ca="1">IF(OR(CELL("contenido",O90)="Baja",CELL("contenido",J90)&gt;2015,CELL("contenido",F90)="N/A"),"N/A",VLOOKUP(F90,#REF!,2,FALSE))</f>
        <v>N/A</v>
      </c>
      <c r="U90" s="3" t="str">
        <f ca="1">IF(OR(CELL("contenido",O90)="Baja",CELL("contenido",J90)&gt;2015,CELL("contenido",F90)="N/A"),"N/A",VLOOKUP(F90,#REF!,2,FALSE))</f>
        <v>N/A</v>
      </c>
      <c r="V90" s="3" t="str">
        <f t="shared" ca="1" si="19"/>
        <v>Baja</v>
      </c>
      <c r="W90" s="3" t="str">
        <f t="shared" si="16"/>
        <v>Zona Metropolitana de Guadalajara</v>
      </c>
      <c r="X90" s="3" t="e">
        <f>C90=VLOOKUP($C90,PólizaEstatal!$H$2:$H$82,1,FALSE)</f>
        <v>#N/A</v>
      </c>
      <c r="Y90" s="3" t="str">
        <f t="shared" si="17"/>
        <v>1GNFG154581225616 JGT5796</v>
      </c>
      <c r="AC90" s="71" t="e">
        <f>VLOOKUP($E90,'ResguardosXDir-CZ'!$C$2:$G$123,5,FALSE)</f>
        <v>#N/A</v>
      </c>
      <c r="AD90" s="71" t="e">
        <f>VLOOKUP($E90,'ResguardosXDir-CZ'!$C$2:$G$123,4,FALSE)</f>
        <v>#N/A</v>
      </c>
      <c r="AE90" s="5" t="s">
        <v>957</v>
      </c>
    </row>
    <row r="91" spans="1:31" s="5" customFormat="1" ht="14.25" hidden="1" customHeight="1" x14ac:dyDescent="0.25">
      <c r="A91" s="4" t="str">
        <f t="shared" si="18"/>
        <v>JP40492</v>
      </c>
      <c r="B91" s="5" t="str">
        <f t="shared" si="13"/>
        <v>I-480800028-0013-08</v>
      </c>
      <c r="C91" s="3" t="str">
        <f t="shared" si="14"/>
        <v>3FEMF46R49MA20301</v>
      </c>
      <c r="D91" s="5">
        <v>107</v>
      </c>
      <c r="E91" s="5" t="s">
        <v>552</v>
      </c>
      <c r="F91" s="4">
        <f t="shared" si="15"/>
        <v>2</v>
      </c>
      <c r="G91" s="5" t="s">
        <v>434</v>
      </c>
      <c r="H91" s="3" t="s">
        <v>452</v>
      </c>
      <c r="I91" s="3" t="s">
        <v>681</v>
      </c>
      <c r="J91" s="5">
        <v>2009</v>
      </c>
      <c r="K91" s="5" t="s">
        <v>244</v>
      </c>
      <c r="L91" s="5" t="s">
        <v>4</v>
      </c>
      <c r="M91" s="5" t="s">
        <v>9</v>
      </c>
      <c r="N91" s="5" t="s">
        <v>614</v>
      </c>
      <c r="O91" s="5" t="s">
        <v>488</v>
      </c>
      <c r="P91" s="5" t="s">
        <v>245</v>
      </c>
      <c r="R91" s="3" t="e">
        <f ca="1">IF(OR(CELL("contenido",O91)="Baja",CELL("contenido",J91)&gt;2015,CELL("contenido",F91)="N/A"),"N/A",VLOOKUP(F91,#REF!,2,FALSE))</f>
        <v>#REF!</v>
      </c>
      <c r="S91" s="3" t="e">
        <f ca="1">IF(OR(CELL("contenido",O91)="Baja",CELL("contenido",J91)&gt;2015,CELL("contenido",F91)="N/A"),"N/A",VLOOKUP(F91,#REF!,2,FALSE))</f>
        <v>#REF!</v>
      </c>
      <c r="T91" s="3" t="e">
        <f ca="1">IF(OR(CELL("contenido",O91)="Baja",CELL("contenido",J91)&gt;2015,CELL("contenido",F91)="N/A"),"N/A",VLOOKUP(F91,#REF!,2,FALSE))</f>
        <v>#REF!</v>
      </c>
      <c r="U91" s="3" t="e">
        <f ca="1">IF(OR(CELL("contenido",O91)="Baja",CELL("contenido",J91)&gt;2015,CELL("contenido",F91)="N/A"),"N/A",VLOOKUP(F91,#REF!,2,FALSE))</f>
        <v>#REF!</v>
      </c>
      <c r="V91" s="3" t="str">
        <f t="shared" ca="1" si="19"/>
        <v>Activo</v>
      </c>
      <c r="W91" s="3" t="str">
        <f t="shared" si="16"/>
        <v>Zona Metropolitana de Guadalajara</v>
      </c>
      <c r="X91" s="3" t="e">
        <f>C91=VLOOKUP($C91,PólizaEstatal!$H$2:$H$82,1,FALSE)</f>
        <v>#N/A</v>
      </c>
      <c r="Y91" s="3" t="str">
        <f t="shared" si="17"/>
        <v>3FEMF46R49MA20301 JP40492</v>
      </c>
      <c r="AC91" s="11" t="str">
        <f>VLOOKUP($E91,'ResguardosXDir-CZ'!$C$2:$G$123,5,FALSE)</f>
        <v>ALMACEN</v>
      </c>
      <c r="AD91" s="11" t="str">
        <f>VLOOKUP($E91,'ResguardosXDir-CZ'!$C$2:$G$123,4,FALSE)</f>
        <v>Jose Osorio Lomelí</v>
      </c>
      <c r="AE91" s="5">
        <v>8</v>
      </c>
    </row>
    <row r="92" spans="1:31" ht="14.25" hidden="1" customHeight="1" x14ac:dyDescent="0.25">
      <c r="A92" s="4" t="str">
        <f t="shared" si="18"/>
        <v>JP82757</v>
      </c>
      <c r="B92" s="3" t="str">
        <f t="shared" si="13"/>
        <v>IEEAJ-9428-1208-01</v>
      </c>
      <c r="C92" s="3" t="str">
        <f t="shared" si="14"/>
        <v>3N6DD23TX9K012702</v>
      </c>
      <c r="D92" s="3">
        <v>108</v>
      </c>
      <c r="E92" s="3" t="s">
        <v>558</v>
      </c>
      <c r="F92" s="4">
        <f t="shared" si="15"/>
        <v>7</v>
      </c>
      <c r="G92" s="3" t="s">
        <v>426</v>
      </c>
      <c r="H92" s="3" t="s">
        <v>428</v>
      </c>
      <c r="I92" s="3" t="s">
        <v>681</v>
      </c>
      <c r="J92" s="3">
        <v>2009</v>
      </c>
      <c r="K92" s="5" t="s">
        <v>246</v>
      </c>
      <c r="L92" s="4" t="s">
        <v>247</v>
      </c>
      <c r="M92" s="3" t="s">
        <v>5</v>
      </c>
      <c r="N92" s="4" t="s">
        <v>614</v>
      </c>
      <c r="O92" s="4" t="s">
        <v>488</v>
      </c>
      <c r="P92" s="3" t="s">
        <v>248</v>
      </c>
      <c r="Q92" s="3" t="s">
        <v>711</v>
      </c>
      <c r="R92" s="3" t="e">
        <f ca="1">IF(OR(CELL("contenido",O92)="Baja",CELL("contenido",J92)&gt;2015,CELL("contenido",F92)="N/A"),"N/A",VLOOKUP(F92,#REF!,2,FALSE))</f>
        <v>#REF!</v>
      </c>
      <c r="S92" s="3" t="e">
        <f ca="1">IF(OR(CELL("contenido",O92)="Baja",CELL("contenido",J92)&gt;2015,CELL("contenido",F92)="N/A"),"N/A",VLOOKUP(F92,#REF!,2,FALSE))</f>
        <v>#REF!</v>
      </c>
      <c r="T92" s="3" t="e">
        <f ca="1">IF(OR(CELL("contenido",O92)="Baja",CELL("contenido",J92)&gt;2015,CELL("contenido",F92)="N/A"),"N/A",VLOOKUP(F92,#REF!,2,FALSE))</f>
        <v>#REF!</v>
      </c>
      <c r="U92" s="3" t="e">
        <f ca="1">IF(OR(CELL("contenido",O92)="Baja",CELL("contenido",J92)&gt;2015,CELL("contenido",F92)="N/A"),"N/A",VLOOKUP(F92,#REF!,2,FALSE))</f>
        <v>#REF!</v>
      </c>
      <c r="V92" s="3" t="str">
        <f t="shared" ca="1" si="19"/>
        <v>Activo</v>
      </c>
      <c r="W92" s="3" t="str">
        <f t="shared" si="16"/>
        <v>Zona Metropolitana de Guadalajara</v>
      </c>
      <c r="X92" s="3" t="b">
        <f>C92=VLOOKUP($C92,PólizaEstatal!$H$2:$H$82,1,FALSE)</f>
        <v>1</v>
      </c>
      <c r="Y92" s="3" t="str">
        <f t="shared" si="17"/>
        <v>3N6DD23TX9K012702 JP82757</v>
      </c>
      <c r="AA92" s="5"/>
      <c r="AB92" s="5"/>
      <c r="AC92" s="11" t="str">
        <f>VLOOKUP($E92,'ResguardosXDir-CZ'!$C$2:$G$123,5,FALSE)</f>
        <v>ALMACEN</v>
      </c>
      <c r="AD92" s="11" t="str">
        <f>VLOOKUP($E92,'ResguardosXDir-CZ'!$C$2:$G$123,4,FALSE)</f>
        <v>Jose Osorio Lomelí</v>
      </c>
      <c r="AE92" s="4">
        <v>4</v>
      </c>
    </row>
    <row r="93" spans="1:31" ht="19.5" hidden="1" customHeight="1" x14ac:dyDescent="0.25">
      <c r="A93" s="4" t="str">
        <f t="shared" si="18"/>
        <v>JP82753</v>
      </c>
      <c r="B93" s="3" t="str">
        <f t="shared" si="13"/>
        <v>IEEAJ-9425-1208-01</v>
      </c>
      <c r="C93" s="3" t="str">
        <f t="shared" si="14"/>
        <v>3N6DD23T19K016332</v>
      </c>
      <c r="D93" s="3">
        <v>109</v>
      </c>
      <c r="E93" s="3" t="s">
        <v>399</v>
      </c>
      <c r="F93" s="4">
        <f t="shared" si="15"/>
        <v>3</v>
      </c>
      <c r="G93" s="3" t="s">
        <v>426</v>
      </c>
      <c r="H93" s="3" t="s">
        <v>428</v>
      </c>
      <c r="I93" s="3" t="s">
        <v>681</v>
      </c>
      <c r="J93" s="3">
        <v>2009</v>
      </c>
      <c r="K93" s="5" t="s">
        <v>249</v>
      </c>
      <c r="L93" s="4" t="s">
        <v>683</v>
      </c>
      <c r="M93" s="3" t="s">
        <v>5</v>
      </c>
      <c r="N93" s="4" t="s">
        <v>476</v>
      </c>
      <c r="O93" s="4" t="s">
        <v>825</v>
      </c>
      <c r="P93" s="3" t="s">
        <v>250</v>
      </c>
      <c r="R93" s="3" t="e">
        <f ca="1">IF(OR(CELL("contenido",O93)="Baja",CELL("contenido",J93)&gt;2015,CELL("contenido",F93)="N/A"),"N/A",VLOOKUP(F93,#REF!,2,FALSE))</f>
        <v>#REF!</v>
      </c>
      <c r="S93" s="3" t="e">
        <f ca="1">IF(OR(CELL("contenido",O93)="Baja",CELL("contenido",J93)&gt;2015,CELL("contenido",F93)="N/A"),"N/A",VLOOKUP(F93,#REF!,2,FALSE))</f>
        <v>#REF!</v>
      </c>
      <c r="T93" s="3" t="e">
        <f ca="1">IF(OR(CELL("contenido",O93)="Baja",CELL("contenido",J93)&gt;2015,CELL("contenido",F93)="N/A"),"N/A",VLOOKUP(F93,#REF!,2,FALSE))</f>
        <v>#REF!</v>
      </c>
      <c r="U93" s="3" t="e">
        <f ca="1">IF(OR(CELL("contenido",O93)="Baja",CELL("contenido",J93)&gt;2015,CELL("contenido",F93)="N/A"),"N/A",VLOOKUP(F93,#REF!,2,FALSE))</f>
        <v>#REF!</v>
      </c>
      <c r="V93" s="3" t="str">
        <f t="shared" ca="1" si="19"/>
        <v>Activo</v>
      </c>
      <c r="W93" s="3" t="str">
        <f t="shared" si="16"/>
        <v>Ocotlán</v>
      </c>
      <c r="X93" s="3" t="b">
        <f>C93=VLOOKUP($C93,PólizaEstatal!$H$2:$H$82,1,FALSE)</f>
        <v>1</v>
      </c>
      <c r="Y93" s="3" t="str">
        <f t="shared" si="17"/>
        <v>3N6DD23T19K016332 JP82753</v>
      </c>
      <c r="AA93" s="5"/>
      <c r="AB93" s="5"/>
      <c r="AC93" s="11" t="str">
        <f>VLOOKUP($E93,'ResguardosXDir-CZ'!$C$2:$G$123,5,FALSE)</f>
        <v>05 OCOTLAN</v>
      </c>
      <c r="AD93" s="11" t="str">
        <f>VLOOKUP($E93,'ResguardosXDir-CZ'!$C$2:$G$123,4,FALSE)</f>
        <v>Hugo Adrián Cerda Aguilar</v>
      </c>
      <c r="AE93" s="4">
        <v>4</v>
      </c>
    </row>
    <row r="94" spans="1:31" ht="14.25" hidden="1" customHeight="1" x14ac:dyDescent="0.25">
      <c r="A94" s="4" t="str">
        <f t="shared" si="18"/>
        <v>JP82754</v>
      </c>
      <c r="B94" s="3" t="str">
        <f t="shared" si="13"/>
        <v>IEEAJ-9427-1208-01</v>
      </c>
      <c r="C94" s="3" t="str">
        <f t="shared" si="14"/>
        <v>3N6DD23T99K024047</v>
      </c>
      <c r="D94" s="3">
        <v>110</v>
      </c>
      <c r="E94" s="3" t="s">
        <v>536</v>
      </c>
      <c r="F94" s="4">
        <f t="shared" si="15"/>
        <v>4</v>
      </c>
      <c r="G94" s="3" t="s">
        <v>426</v>
      </c>
      <c r="H94" s="3" t="s">
        <v>428</v>
      </c>
      <c r="I94" s="3" t="s">
        <v>681</v>
      </c>
      <c r="J94" s="3">
        <v>2009</v>
      </c>
      <c r="K94" s="5" t="s">
        <v>251</v>
      </c>
      <c r="L94" s="4" t="s">
        <v>252</v>
      </c>
      <c r="M94" s="3" t="s">
        <v>5</v>
      </c>
      <c r="N94" s="4" t="s">
        <v>472</v>
      </c>
      <c r="O94" s="4" t="s">
        <v>492</v>
      </c>
      <c r="P94" s="3" t="s">
        <v>253</v>
      </c>
      <c r="R94" s="3" t="e">
        <f ca="1">IF(OR(CELL("contenido",O94)="Baja",CELL("contenido",J94)&gt;2015,CELL("contenido",F94)="N/A"),"N/A",VLOOKUP(F94,#REF!,2,FALSE))</f>
        <v>#REF!</v>
      </c>
      <c r="S94" s="3" t="e">
        <f ca="1">IF(OR(CELL("contenido",O94)="Baja",CELL("contenido",J94)&gt;2015,CELL("contenido",F94)="N/A"),"N/A",VLOOKUP(F94,#REF!,2,FALSE))</f>
        <v>#REF!</v>
      </c>
      <c r="T94" s="3" t="e">
        <f ca="1">IF(OR(CELL("contenido",O94)="Baja",CELL("contenido",J94)&gt;2015,CELL("contenido",F94)="N/A"),"N/A",VLOOKUP(F94,#REF!,2,FALSE))</f>
        <v>#REF!</v>
      </c>
      <c r="U94" s="3" t="e">
        <f ca="1">IF(OR(CELL("contenido",O94)="Baja",CELL("contenido",J94)&gt;2015,CELL("contenido",F94)="N/A"),"N/A",VLOOKUP(F94,#REF!,2,FALSE))</f>
        <v>#REF!</v>
      </c>
      <c r="V94" s="3" t="str">
        <f t="shared" ca="1" si="19"/>
        <v>Activo</v>
      </c>
      <c r="W94" s="3" t="str">
        <f t="shared" si="16"/>
        <v>Zona Metropolitana de Guadalajara</v>
      </c>
      <c r="X94" s="3" t="b">
        <f>C94=VLOOKUP($C94,PólizaEstatal!$H$2:$H$82,1,FALSE)</f>
        <v>1</v>
      </c>
      <c r="Y94" s="3" t="str">
        <f t="shared" si="17"/>
        <v>3N6DD23T99K024047 JP82754</v>
      </c>
      <c r="AA94" s="5"/>
      <c r="AB94" s="5"/>
      <c r="AC94" s="11" t="str">
        <f>VLOOKUP($E94,'ResguardosXDir-CZ'!$C$2:$G$123,5,FALSE)</f>
        <v>19 TLAQUEPAQUE</v>
      </c>
      <c r="AD94" s="11" t="str">
        <f>VLOOKUP($E94,'ResguardosXDir-CZ'!$C$2:$G$123,4,FALSE)</f>
        <v>Leonardo Sánchez Saldivar</v>
      </c>
      <c r="AE94" s="4">
        <v>4</v>
      </c>
    </row>
    <row r="95" spans="1:31" ht="14.25" hidden="1" customHeight="1" x14ac:dyDescent="0.25">
      <c r="A95" s="4" t="str">
        <f t="shared" si="18"/>
        <v>JP82755</v>
      </c>
      <c r="B95" s="3" t="str">
        <f t="shared" si="13"/>
        <v>IEEAJ-9426-12-08-01</v>
      </c>
      <c r="C95" s="3" t="str">
        <f t="shared" si="14"/>
        <v>3N6DD23T99K012982</v>
      </c>
      <c r="D95" s="3">
        <v>111</v>
      </c>
      <c r="E95" s="3" t="s">
        <v>401</v>
      </c>
      <c r="F95" s="4">
        <f t="shared" si="15"/>
        <v>5</v>
      </c>
      <c r="G95" s="3" t="s">
        <v>426</v>
      </c>
      <c r="H95" s="3" t="s">
        <v>428</v>
      </c>
      <c r="I95" s="3" t="s">
        <v>681</v>
      </c>
      <c r="J95" s="3">
        <v>2009</v>
      </c>
      <c r="K95" s="5" t="s">
        <v>254</v>
      </c>
      <c r="L95" s="4" t="s">
        <v>255</v>
      </c>
      <c r="M95" s="3" t="s">
        <v>5</v>
      </c>
      <c r="N95" s="4" t="s">
        <v>483</v>
      </c>
      <c r="O95" s="4" t="s">
        <v>828</v>
      </c>
      <c r="P95" s="3" t="s">
        <v>256</v>
      </c>
      <c r="R95" s="3" t="e">
        <f ca="1">IF(OR(CELL("contenido",O95)="Baja",CELL("contenido",J95)&gt;2015,CELL("contenido",F95)="N/A"),"N/A",VLOOKUP(F95,#REF!,2,FALSE))</f>
        <v>#REF!</v>
      </c>
      <c r="S95" s="3" t="e">
        <f ca="1">IF(OR(CELL("contenido",O95)="Baja",CELL("contenido",J95)&gt;2015,CELL("contenido",F95)="N/A"),"N/A",VLOOKUP(F95,#REF!,2,FALSE))</f>
        <v>#REF!</v>
      </c>
      <c r="T95" s="3" t="e">
        <f ca="1">IF(OR(CELL("contenido",O95)="Baja",CELL("contenido",J95)&gt;2015,CELL("contenido",F95)="N/A"),"N/A",VLOOKUP(F95,#REF!,2,FALSE))</f>
        <v>#REF!</v>
      </c>
      <c r="U95" s="3" t="e">
        <f ca="1">IF(OR(CELL("contenido",O95)="Baja",CELL("contenido",J95)&gt;2015,CELL("contenido",F95)="N/A"),"N/A",VLOOKUP(F95,#REF!,2,FALSE))</f>
        <v>#REF!</v>
      </c>
      <c r="V95" s="3" t="str">
        <f t="shared" ca="1" si="19"/>
        <v>Activo</v>
      </c>
      <c r="W95" s="3" t="str">
        <f t="shared" si="16"/>
        <v>Zona Metropolitana de Guadalajara</v>
      </c>
      <c r="X95" s="3" t="b">
        <f>C95=VLOOKUP($C95,PólizaEstatal!$H$2:$H$82,1,FALSE)</f>
        <v>1</v>
      </c>
      <c r="Y95" s="3" t="str">
        <f t="shared" si="17"/>
        <v>3N6DD23T99K012982 JP82755</v>
      </c>
      <c r="AA95" s="5"/>
      <c r="AB95" s="5"/>
      <c r="AC95" s="11" t="str">
        <f>VLOOKUP($E95,'ResguardosXDir-CZ'!$C$2:$G$123,5,FALSE)</f>
        <v>21 TONALA</v>
      </c>
      <c r="AD95" s="11" t="str">
        <f>VLOOKUP($E95,'ResguardosXDir-CZ'!$C$2:$G$123,4,FALSE)</f>
        <v>Jesus Alesio González Huerta</v>
      </c>
      <c r="AE95" s="4">
        <v>4</v>
      </c>
    </row>
    <row r="96" spans="1:31" ht="15" hidden="1" customHeight="1" x14ac:dyDescent="0.25">
      <c r="A96" s="4" t="str">
        <f t="shared" si="18"/>
        <v>JP82756</v>
      </c>
      <c r="B96" s="3" t="str">
        <f t="shared" si="13"/>
        <v>IEEAJ-9429-1208-01</v>
      </c>
      <c r="C96" s="3" t="str">
        <f t="shared" si="14"/>
        <v>3N6DD23T49K024196</v>
      </c>
      <c r="D96" s="3">
        <v>112</v>
      </c>
      <c r="E96" s="3" t="s">
        <v>540</v>
      </c>
      <c r="F96" s="4">
        <f t="shared" si="15"/>
        <v>6</v>
      </c>
      <c r="G96" s="3" t="s">
        <v>426</v>
      </c>
      <c r="H96" s="3" t="s">
        <v>428</v>
      </c>
      <c r="I96" s="3" t="s">
        <v>681</v>
      </c>
      <c r="J96" s="3">
        <v>2009</v>
      </c>
      <c r="K96" s="5" t="s">
        <v>257</v>
      </c>
      <c r="L96" s="4" t="s">
        <v>258</v>
      </c>
      <c r="M96" s="3" t="s">
        <v>5</v>
      </c>
      <c r="N96" s="11" t="s">
        <v>485</v>
      </c>
      <c r="O96" s="11" t="s">
        <v>965</v>
      </c>
      <c r="P96" s="3" t="s">
        <v>259</v>
      </c>
      <c r="Q96" s="3" t="s">
        <v>1032</v>
      </c>
      <c r="R96" s="3" t="e">
        <f ca="1">IF(OR(CELL("contenido",O96)="Baja",CELL("contenido",J96)&gt;2015,CELL("contenido",F96)="N/A"),"N/A",VLOOKUP(F96,#REF!,2,FALSE))</f>
        <v>#REF!</v>
      </c>
      <c r="S96" s="3" t="e">
        <f ca="1">IF(OR(CELL("contenido",O96)="Baja",CELL("contenido",J96)&gt;2015,CELL("contenido",F96)="N/A"),"N/A",VLOOKUP(F96,#REF!,2,FALSE))</f>
        <v>#REF!</v>
      </c>
      <c r="T96" s="3" t="e">
        <f ca="1">IF(OR(CELL("contenido",O96)="Baja",CELL("contenido",J96)&gt;2015,CELL("contenido",F96)="N/A"),"N/A",VLOOKUP(F96,#REF!,2,FALSE))</f>
        <v>#REF!</v>
      </c>
      <c r="U96" s="3" t="e">
        <f ca="1">IF(OR(CELL("contenido",O96)="Baja",CELL("contenido",J96)&gt;2015,CELL("contenido",F96)="N/A"),"N/A",VLOOKUP(F96,#REF!,2,FALSE))</f>
        <v>#REF!</v>
      </c>
      <c r="V96" s="3" t="str">
        <f t="shared" ca="1" si="19"/>
        <v>Activo</v>
      </c>
      <c r="W96" s="3" t="str">
        <f t="shared" si="16"/>
        <v>Zona Metropolitana de Guadalajara</v>
      </c>
      <c r="X96" s="3" t="b">
        <f>C96=VLOOKUP($C96,PólizaEstatal!$H$2:$H$82,1,FALSE)</f>
        <v>1</v>
      </c>
      <c r="Y96" s="3" t="str">
        <f t="shared" si="17"/>
        <v>3N6DD23T49K024196 JP82756</v>
      </c>
      <c r="AA96" s="5"/>
      <c r="AB96" s="5"/>
      <c r="AC96" s="11" t="str">
        <f>VLOOKUP($E96,'ResguardosXDir-CZ'!$C$2:$G$123,5,FALSE)</f>
        <v>20 TEPATITLAN</v>
      </c>
      <c r="AD96" s="11" t="str">
        <f>VLOOKUP($E96,'ResguardosXDir-CZ'!$C$2:$G$123,4,FALSE)</f>
        <v>Diego Armando Hernández González</v>
      </c>
      <c r="AE96" s="4">
        <v>4</v>
      </c>
    </row>
    <row r="97" spans="1:31" ht="15" hidden="1" customHeight="1" x14ac:dyDescent="0.25">
      <c r="A97" s="4" t="str">
        <f t="shared" si="18"/>
        <v>6HG1673</v>
      </c>
      <c r="B97" s="3" t="str">
        <f t="shared" ref="B97:B128" si="20">P97</f>
        <v>IEEAJ-4332-1208-01</v>
      </c>
      <c r="C97" s="3" t="str">
        <f t="shared" ref="C97:C128" si="21">K97</f>
        <v>3AZAF202X9G3AZ144</v>
      </c>
      <c r="D97" s="3">
        <v>113</v>
      </c>
      <c r="E97" s="3" t="s">
        <v>535</v>
      </c>
      <c r="F97" s="4">
        <f t="shared" si="15"/>
        <v>3</v>
      </c>
      <c r="G97" s="3" t="s">
        <v>260</v>
      </c>
      <c r="I97" s="3" t="s">
        <v>681</v>
      </c>
      <c r="J97" s="3">
        <v>2009</v>
      </c>
      <c r="K97" s="5" t="s">
        <v>261</v>
      </c>
      <c r="L97" s="4" t="s">
        <v>4</v>
      </c>
      <c r="M97" s="3" t="s">
        <v>5</v>
      </c>
      <c r="N97" s="4" t="s">
        <v>471</v>
      </c>
      <c r="O97" s="5" t="s">
        <v>490</v>
      </c>
      <c r="P97" s="3" t="s">
        <v>262</v>
      </c>
      <c r="R97" s="3" t="e">
        <f ca="1">IF(OR(CELL("contenido",O97)="Baja",CELL("contenido",J97)&gt;2015,CELL("contenido",F97)="N/A"),"N/A",VLOOKUP(F97,#REF!,2,FALSE))</f>
        <v>#REF!</v>
      </c>
      <c r="S97" s="3" t="e">
        <f ca="1">IF(OR(CELL("contenido",O97)="Baja",CELL("contenido",J97)&gt;2015,CELL("contenido",F97)="N/A"),"N/A",VLOOKUP(F97,#REF!,2,FALSE))</f>
        <v>#REF!</v>
      </c>
      <c r="T97" s="3" t="e">
        <f ca="1">IF(OR(CELL("contenido",O97)="Baja",CELL("contenido",J97)&gt;2015,CELL("contenido",F97)="N/A"),"N/A",VLOOKUP(F97,#REF!,2,FALSE))</f>
        <v>#REF!</v>
      </c>
      <c r="U97" s="3" t="e">
        <f ca="1">IF(OR(CELL("contenido",O97)="Baja",CELL("contenido",J97)&gt;2015,CELL("contenido",F97)="N/A"),"N/A",VLOOKUP(F97,#REF!,2,FALSE))</f>
        <v>#REF!</v>
      </c>
      <c r="V97" s="3" t="str">
        <f t="shared" ca="1" si="19"/>
        <v>Activo</v>
      </c>
      <c r="W97" s="3" t="str">
        <f t="shared" si="16"/>
        <v>Zona Metropolitana de Guadalajara</v>
      </c>
      <c r="X97" s="3" t="b">
        <f>C97=VLOOKUP($C97,PólizaEstatal!$H$2:$H$82,1,FALSE)</f>
        <v>1</v>
      </c>
      <c r="Y97" s="3" t="str">
        <f t="shared" si="17"/>
        <v>3AZAF202X9G3AZ144 6HG1673</v>
      </c>
      <c r="AC97" s="11" t="str">
        <f>VLOOKUP($E97,'ResguardosXDir-CZ'!$C$2:$G$123,5,FALSE)</f>
        <v>18 ZAPOPAN</v>
      </c>
      <c r="AD97" s="11" t="str">
        <f>VLOOKUP($E97,'ResguardosXDir-CZ'!$C$2:$G$123,4,FALSE)</f>
        <v>María de los Remedios Serrano Gómez</v>
      </c>
      <c r="AE97" s="4" t="s">
        <v>604</v>
      </c>
    </row>
    <row r="98" spans="1:31" ht="14.25" hidden="1" customHeight="1" x14ac:dyDescent="0.25">
      <c r="A98" s="4" t="str">
        <f t="shared" si="18"/>
        <v>5GPC71</v>
      </c>
      <c r="B98" s="3" t="str">
        <f t="shared" si="20"/>
        <v>IEEAJ-0045-1208-01</v>
      </c>
      <c r="C98" s="3" t="str">
        <f t="shared" si="21"/>
        <v>3ADBXBJN59S010288</v>
      </c>
      <c r="D98" s="3">
        <v>114</v>
      </c>
      <c r="E98" s="3" t="s">
        <v>565</v>
      </c>
      <c r="F98" s="4">
        <f t="shared" ref="F98:F129" si="22">VALUE(RIGHT(E98))</f>
        <v>1</v>
      </c>
      <c r="G98" s="3" t="s">
        <v>263</v>
      </c>
      <c r="H98" s="3" t="s">
        <v>692</v>
      </c>
      <c r="I98" s="3" t="s">
        <v>681</v>
      </c>
      <c r="J98" s="3">
        <v>2009</v>
      </c>
      <c r="K98" s="5" t="s">
        <v>264</v>
      </c>
      <c r="L98" s="4">
        <v>46878179</v>
      </c>
      <c r="M98" s="3" t="s">
        <v>5</v>
      </c>
      <c r="N98" s="4" t="s">
        <v>614</v>
      </c>
      <c r="O98" s="4" t="s">
        <v>488</v>
      </c>
      <c r="P98" s="3" t="s">
        <v>265</v>
      </c>
      <c r="R98" s="3" t="e">
        <f ca="1">IF(OR(CELL("contenido",O98)="Baja",CELL("contenido",J98)&gt;2015,CELL("contenido",F98)="N/A"),"N/A",VLOOKUP(F98,#REF!,2,FALSE))</f>
        <v>#REF!</v>
      </c>
      <c r="S98" s="3" t="e">
        <f ca="1">IF(OR(CELL("contenido",O98)="Baja",CELL("contenido",J98)&gt;2015,CELL("contenido",F98)="N/A"),"N/A",VLOOKUP(F98,#REF!,2,FALSE))</f>
        <v>#REF!</v>
      </c>
      <c r="T98" s="3" t="e">
        <f ca="1">IF(OR(CELL("contenido",O98)="Baja",CELL("contenido",J98)&gt;2015,CELL("contenido",F98)="N/A"),"N/A",VLOOKUP(F98,#REF!,2,FALSE))</f>
        <v>#REF!</v>
      </c>
      <c r="U98" s="3" t="e">
        <f ca="1">IF(OR(CELL("contenido",O98)="Baja",CELL("contenido",J98)&gt;2015,CELL("contenido",F98)="N/A"),"N/A",VLOOKUP(F98,#REF!,2,FALSE))</f>
        <v>#REF!</v>
      </c>
      <c r="V98" s="3" t="str">
        <f t="shared" ca="1" si="19"/>
        <v>Activo</v>
      </c>
      <c r="W98" s="3" t="str">
        <f t="shared" ref="W98:W106" si="23">VLOOKUP(N98,$AA$2:$AB$33,2,FALSE)</f>
        <v>Zona Metropolitana de Guadalajara</v>
      </c>
      <c r="X98" s="3" t="b">
        <f>C98=VLOOKUP($C98,PólizaEstatal!$H$2:$H$82,1,FALSE)</f>
        <v>1</v>
      </c>
      <c r="Y98" s="3" t="str">
        <f t="shared" ref="Y98:Y129" si="24">CONCATENATE(TRIM(C98)," ",TRIM(E98))</f>
        <v>3ADBXBJN59S010288 5GPC71</v>
      </c>
      <c r="AC98" s="11" t="str">
        <f>VLOOKUP($E98,'ResguardosXDir-CZ'!$C$2:$G$123,5,FALSE)</f>
        <v>ALMACEN</v>
      </c>
      <c r="AD98" s="11" t="str">
        <f>VLOOKUP($E98,'ResguardosXDir-CZ'!$C$2:$G$123,4,FALSE)</f>
        <v>Jose Osorio Lomelí</v>
      </c>
      <c r="AE98" s="4">
        <v>6</v>
      </c>
    </row>
    <row r="99" spans="1:31" s="5" customFormat="1" ht="15" customHeight="1" x14ac:dyDescent="0.25">
      <c r="A99" s="4" t="str">
        <f t="shared" si="18"/>
        <v>JS24351</v>
      </c>
      <c r="B99" s="5" t="str">
        <f t="shared" si="20"/>
        <v>I-480800052-00075-10</v>
      </c>
      <c r="C99" s="3" t="str">
        <f t="shared" si="21"/>
        <v>8AFER5AD6B6371764</v>
      </c>
      <c r="D99" s="5">
        <v>115</v>
      </c>
      <c r="E99" s="5" t="s">
        <v>521</v>
      </c>
      <c r="F99" s="4">
        <f t="shared" si="22"/>
        <v>1</v>
      </c>
      <c r="G99" s="5" t="s">
        <v>434</v>
      </c>
      <c r="H99" s="3" t="s">
        <v>436</v>
      </c>
      <c r="I99" s="3" t="s">
        <v>681</v>
      </c>
      <c r="J99" s="5">
        <v>2011</v>
      </c>
      <c r="K99" s="5" t="s">
        <v>610</v>
      </c>
      <c r="L99" s="5" t="s">
        <v>4</v>
      </c>
      <c r="M99" s="5" t="s">
        <v>9</v>
      </c>
      <c r="N99" s="4" t="s">
        <v>479</v>
      </c>
      <c r="O99" s="4" t="s">
        <v>914</v>
      </c>
      <c r="P99" s="5" t="s">
        <v>615</v>
      </c>
      <c r="R99" s="3" t="e">
        <f ca="1">IF(OR(CELL("contenido",O99)="Baja",CELL("contenido",J99)&gt;2015,CELL("contenido",F99)="N/A"),"N/A",VLOOKUP(F99,#REF!,2,FALSE))</f>
        <v>#REF!</v>
      </c>
      <c r="S99" s="3" t="e">
        <f ca="1">IF(OR(CELL("contenido",O99)="Baja",CELL("contenido",J99)&gt;2015,CELL("contenido",F99)="N/A"),"N/A",VLOOKUP(F99,#REF!,2,FALSE))</f>
        <v>#REF!</v>
      </c>
      <c r="T99" s="3" t="e">
        <f ca="1">IF(OR(CELL("contenido",O99)="Baja",CELL("contenido",J99)&gt;2015,CELL("contenido",F99)="N/A"),"N/A",VLOOKUP(F99,#REF!,2,FALSE))</f>
        <v>#REF!</v>
      </c>
      <c r="U99" s="3" t="e">
        <f ca="1">IF(OR(CELL("contenido",O99)="Baja",CELL("contenido",J99)&gt;2015,CELL("contenido",F99)="N/A"),"N/A",VLOOKUP(F99,#REF!,2,FALSE))</f>
        <v>#REF!</v>
      </c>
      <c r="V99" s="3" t="str">
        <f t="shared" ca="1" si="19"/>
        <v>Activo</v>
      </c>
      <c r="W99" s="3" t="str">
        <f t="shared" si="23"/>
        <v>Puerto Vallarta</v>
      </c>
      <c r="X99" s="3" t="e">
        <f>C99=VLOOKUP($C99,PólizaEstatal!$H$2:$H$82,1,FALSE)</f>
        <v>#N/A</v>
      </c>
      <c r="Y99" s="3" t="str">
        <f t="shared" si="24"/>
        <v>8AFER5AD6B6371764 JS24351</v>
      </c>
      <c r="AA99" s="3"/>
      <c r="AB99" s="3"/>
      <c r="AC99" s="11" t="str">
        <f>VLOOKUP($E99,'ResguardosXDir-CZ'!$C$2:$G$123,5,FALSE)</f>
        <v>14 VALLARTA</v>
      </c>
      <c r="AD99" s="11" t="str">
        <f>VLOOKUP($E99,'ResguardosXDir-CZ'!$C$2:$G$123,4,FALSE)</f>
        <v>Claudia Gómez Becerra</v>
      </c>
      <c r="AE99" s="4">
        <v>4</v>
      </c>
    </row>
    <row r="100" spans="1:31" s="5" customFormat="1" ht="15" customHeight="1" x14ac:dyDescent="0.25">
      <c r="A100" s="4" t="str">
        <f t="shared" si="18"/>
        <v>JS24352</v>
      </c>
      <c r="B100" s="5" t="str">
        <f t="shared" si="20"/>
        <v>I-480800052-00077-10</v>
      </c>
      <c r="C100" s="3" t="str">
        <f t="shared" si="21"/>
        <v>8AFER5AD2B6376282</v>
      </c>
      <c r="D100" s="5">
        <v>116</v>
      </c>
      <c r="E100" s="5" t="s">
        <v>503</v>
      </c>
      <c r="F100" s="4">
        <f t="shared" si="22"/>
        <v>2</v>
      </c>
      <c r="G100" s="5" t="s">
        <v>434</v>
      </c>
      <c r="H100" s="3" t="s">
        <v>436</v>
      </c>
      <c r="I100" s="3" t="s">
        <v>681</v>
      </c>
      <c r="J100" s="5">
        <v>2011</v>
      </c>
      <c r="K100" s="5" t="s">
        <v>611</v>
      </c>
      <c r="L100" s="5" t="s">
        <v>4</v>
      </c>
      <c r="M100" s="5" t="s">
        <v>9</v>
      </c>
      <c r="N100" s="4" t="s">
        <v>477</v>
      </c>
      <c r="O100" s="5" t="s">
        <v>731</v>
      </c>
      <c r="P100" s="5" t="s">
        <v>266</v>
      </c>
      <c r="R100" s="3" t="e">
        <f ca="1">IF(OR(CELL("contenido",O100)="Baja",CELL("contenido",J100)&gt;2015,CELL("contenido",F100)="N/A"),"N/A",VLOOKUP(F100,#REF!,2,FALSE))</f>
        <v>#REF!</v>
      </c>
      <c r="S100" s="3" t="e">
        <f ca="1">IF(OR(CELL("contenido",O100)="Baja",CELL("contenido",J100)&gt;2015,CELL("contenido",F100)="N/A"),"N/A",VLOOKUP(F100,#REF!,2,FALSE))</f>
        <v>#REF!</v>
      </c>
      <c r="T100" s="3" t="e">
        <f ca="1">IF(OR(CELL("contenido",O100)="Baja",CELL("contenido",J100)&gt;2015,CELL("contenido",F100)="N/A"),"N/A",VLOOKUP(F100,#REF!,2,FALSE))</f>
        <v>#REF!</v>
      </c>
      <c r="U100" s="3" t="e">
        <f ca="1">IF(OR(CELL("contenido",O100)="Baja",CELL("contenido",J100)&gt;2015,CELL("contenido",F100)="N/A"),"N/A",VLOOKUP(F100,#REF!,2,FALSE))</f>
        <v>#REF!</v>
      </c>
      <c r="V100" s="3" t="str">
        <f t="shared" ca="1" si="19"/>
        <v>Activo</v>
      </c>
      <c r="W100" s="3" t="str">
        <f t="shared" si="23"/>
        <v>Ciudad Guzmán</v>
      </c>
      <c r="X100" s="3" t="e">
        <f>C100=VLOOKUP($C100,PólizaEstatal!$H$2:$H$82,1,FALSE)</f>
        <v>#N/A</v>
      </c>
      <c r="Y100" s="3" t="str">
        <f t="shared" si="24"/>
        <v>8AFER5AD2B6376282 JS24352</v>
      </c>
      <c r="AA100" s="3"/>
      <c r="AB100" s="3"/>
      <c r="AC100" s="11" t="str">
        <f>VLOOKUP($E100,'ResguardosXDir-CZ'!$C$2:$G$123,5,FALSE)</f>
        <v>07 CIUDAD GUZMAN</v>
      </c>
      <c r="AD100" s="11" t="str">
        <f>VLOOKUP($E100,'ResguardosXDir-CZ'!$C$2:$G$123,4,FALSE)</f>
        <v>Camilo Cocula Castillo</v>
      </c>
      <c r="AE100" s="4">
        <v>4</v>
      </c>
    </row>
    <row r="101" spans="1:31" s="5" customFormat="1" ht="15" customHeight="1" x14ac:dyDescent="0.25">
      <c r="A101" s="4" t="str">
        <f t="shared" si="18"/>
        <v>JS24353</v>
      </c>
      <c r="B101" s="5" t="str">
        <f t="shared" si="20"/>
        <v>I-480800052-00074-10</v>
      </c>
      <c r="C101" s="3" t="str">
        <f t="shared" si="21"/>
        <v>8AFER5AD0B6376748</v>
      </c>
      <c r="D101" s="5">
        <v>117</v>
      </c>
      <c r="E101" s="5" t="s">
        <v>530</v>
      </c>
      <c r="F101" s="4">
        <f t="shared" si="22"/>
        <v>3</v>
      </c>
      <c r="G101" s="5" t="s">
        <v>434</v>
      </c>
      <c r="H101" s="3" t="s">
        <v>436</v>
      </c>
      <c r="I101" s="3" t="s">
        <v>681</v>
      </c>
      <c r="J101" s="5">
        <v>2011</v>
      </c>
      <c r="K101" s="5" t="s">
        <v>613</v>
      </c>
      <c r="L101" s="5" t="s">
        <v>4</v>
      </c>
      <c r="M101" s="5" t="s">
        <v>9</v>
      </c>
      <c r="N101" s="5" t="s">
        <v>471</v>
      </c>
      <c r="O101" s="5" t="s">
        <v>490</v>
      </c>
      <c r="P101" s="5" t="s">
        <v>267</v>
      </c>
      <c r="R101" s="3" t="e">
        <f ca="1">IF(OR(CELL("contenido",O101)="Baja",CELL("contenido",J101)&gt;2015,CELL("contenido",F101)="N/A"),"N/A",VLOOKUP(F101,#REF!,2,FALSE))</f>
        <v>#REF!</v>
      </c>
      <c r="S101" s="3" t="e">
        <f ca="1">IF(OR(CELL("contenido",O101)="Baja",CELL("contenido",J101)&gt;2015,CELL("contenido",F101)="N/A"),"N/A",VLOOKUP(F101,#REF!,2,FALSE))</f>
        <v>#REF!</v>
      </c>
      <c r="T101" s="3" t="e">
        <f ca="1">IF(OR(CELL("contenido",O101)="Baja",CELL("contenido",J101)&gt;2015,CELL("contenido",F101)="N/A"),"N/A",VLOOKUP(F101,#REF!,2,FALSE))</f>
        <v>#REF!</v>
      </c>
      <c r="U101" s="3" t="e">
        <f ca="1">IF(OR(CELL("contenido",O101)="Baja",CELL("contenido",J101)&gt;2015,CELL("contenido",F101)="N/A"),"N/A",VLOOKUP(F101,#REF!,2,FALSE))</f>
        <v>#REF!</v>
      </c>
      <c r="V101" s="3" t="str">
        <f t="shared" ca="1" si="19"/>
        <v>Activo</v>
      </c>
      <c r="W101" s="3" t="str">
        <f t="shared" si="23"/>
        <v>Zona Metropolitana de Guadalajara</v>
      </c>
      <c r="X101" s="3" t="e">
        <f>C101=VLOOKUP($C101,PólizaEstatal!$H$2:$H$82,1,FALSE)</f>
        <v>#N/A</v>
      </c>
      <c r="Y101" s="3" t="str">
        <f t="shared" si="24"/>
        <v>8AFER5AD0B6376748 JS24353</v>
      </c>
      <c r="AA101" s="3"/>
      <c r="AB101" s="3"/>
      <c r="AC101" s="11" t="str">
        <f>VLOOKUP($E101,'ResguardosXDir-CZ'!$C$2:$G$123,5,FALSE)</f>
        <v>18 ZAPOPAN</v>
      </c>
      <c r="AD101" s="11" t="str">
        <f>VLOOKUP($E101,'ResguardosXDir-CZ'!$C$2:$G$123,4,FALSE)</f>
        <v>María de los Remedios Serrano Gómez</v>
      </c>
      <c r="AE101" s="4">
        <v>4</v>
      </c>
    </row>
    <row r="102" spans="1:31" s="5" customFormat="1" ht="14.25" customHeight="1" x14ac:dyDescent="0.2">
      <c r="A102" s="4" t="str">
        <f t="shared" si="18"/>
        <v>JS24354</v>
      </c>
      <c r="B102" s="5" t="str">
        <f t="shared" si="20"/>
        <v>I-480800052-00073-10</v>
      </c>
      <c r="C102" s="3" t="str">
        <f t="shared" si="21"/>
        <v>8AFER5AD7B6374964</v>
      </c>
      <c r="D102" s="5">
        <v>118</v>
      </c>
      <c r="E102" s="5" t="s">
        <v>542</v>
      </c>
      <c r="F102" s="4">
        <f t="shared" si="22"/>
        <v>4</v>
      </c>
      <c r="G102" s="5" t="s">
        <v>434</v>
      </c>
      <c r="H102" s="3" t="s">
        <v>436</v>
      </c>
      <c r="I102" s="3" t="s">
        <v>681</v>
      </c>
      <c r="J102" s="5">
        <v>2011</v>
      </c>
      <c r="K102" s="5" t="s">
        <v>612</v>
      </c>
      <c r="L102" s="5" t="s">
        <v>4</v>
      </c>
      <c r="M102" s="5" t="s">
        <v>9</v>
      </c>
      <c r="N102" s="4" t="s">
        <v>482</v>
      </c>
      <c r="O102" s="4" t="s">
        <v>735</v>
      </c>
      <c r="P102" s="5" t="s">
        <v>268</v>
      </c>
      <c r="Q102" s="5" t="s">
        <v>790</v>
      </c>
      <c r="R102" s="3" t="e">
        <f ca="1">IF(OR(CELL("contenido",O102)="Baja",CELL("contenido",J102)&gt;2015,CELL("contenido",F102)="N/A"),"N/A",VLOOKUP(F102,#REF!,2,FALSE))</f>
        <v>#REF!</v>
      </c>
      <c r="S102" s="3" t="e">
        <f ca="1">IF(OR(CELL("contenido",O102)="Baja",CELL("contenido",J102)&gt;2015,CELL("contenido",F102)="N/A"),"N/A",VLOOKUP(F102,#REF!,2,FALSE))</f>
        <v>#REF!</v>
      </c>
      <c r="T102" s="3" t="e">
        <f ca="1">IF(OR(CELL("contenido",O102)="Baja",CELL("contenido",J102)&gt;2015,CELL("contenido",F102)="N/A"),"N/A",VLOOKUP(F102,#REF!,2,FALSE))</f>
        <v>#REF!</v>
      </c>
      <c r="U102" s="3" t="e">
        <f ca="1">IF(OR(CELL("contenido",O102)="Baja",CELL("contenido",J102)&gt;2015,CELL("contenido",F102)="N/A"),"N/A",VLOOKUP(F102,#REF!,2,FALSE))</f>
        <v>#REF!</v>
      </c>
      <c r="V102" s="3" t="s">
        <v>720</v>
      </c>
      <c r="W102" s="3" t="str">
        <f t="shared" si="23"/>
        <v>Tepatitlán</v>
      </c>
      <c r="X102" s="3" t="e">
        <f>C102=VLOOKUP($C102,PólizaEstatal!$H$2:$H$82,1,FALSE)</f>
        <v>#N/A</v>
      </c>
      <c r="Y102" s="3" t="str">
        <f t="shared" si="24"/>
        <v>8AFER5AD7B6374964 JS24354</v>
      </c>
      <c r="AA102" s="3"/>
      <c r="AB102" s="3"/>
      <c r="AC102" s="71" t="e">
        <f>VLOOKUP($E102,'ResguardosXDir-CZ'!$C$2:$G$123,5,FALSE)</f>
        <v>#N/A</v>
      </c>
      <c r="AD102" s="71" t="e">
        <f>VLOOKUP($E102,'ResguardosXDir-CZ'!$C$2:$G$123,4,FALSE)</f>
        <v>#N/A</v>
      </c>
      <c r="AE102" s="4" t="s">
        <v>957</v>
      </c>
    </row>
    <row r="103" spans="1:31" s="5" customFormat="1" ht="14.25" customHeight="1" x14ac:dyDescent="0.2">
      <c r="A103" s="4" t="str">
        <f t="shared" si="18"/>
        <v>JS24355</v>
      </c>
      <c r="B103" s="5" t="str">
        <f t="shared" si="20"/>
        <v>I-480800052-00078-10</v>
      </c>
      <c r="C103" s="3" t="str">
        <f t="shared" si="21"/>
        <v>8AFER5ADXB6376692</v>
      </c>
      <c r="D103" s="5">
        <v>119</v>
      </c>
      <c r="E103" s="5" t="s">
        <v>531</v>
      </c>
      <c r="F103" s="4">
        <f t="shared" si="22"/>
        <v>5</v>
      </c>
      <c r="G103" s="5" t="s">
        <v>434</v>
      </c>
      <c r="H103" s="3" t="s">
        <v>436</v>
      </c>
      <c r="I103" s="3" t="s">
        <v>681</v>
      </c>
      <c r="J103" s="5">
        <v>2011</v>
      </c>
      <c r="K103" s="5" t="s">
        <v>608</v>
      </c>
      <c r="L103" s="5" t="s">
        <v>4</v>
      </c>
      <c r="M103" s="5" t="s">
        <v>9</v>
      </c>
      <c r="N103" s="5" t="s">
        <v>471</v>
      </c>
      <c r="O103" s="5" t="s">
        <v>487</v>
      </c>
      <c r="P103" s="5" t="s">
        <v>269</v>
      </c>
      <c r="Q103" s="5" t="s">
        <v>270</v>
      </c>
      <c r="R103" s="3" t="str">
        <f ca="1">IF(OR(CELL("contenido",O103)="Baja",CELL("contenido",J103)&gt;2015,CELL("contenido",F103)="N/A"),"N/A",VLOOKUP(F103,#REF!,2,FALSE))</f>
        <v>N/A</v>
      </c>
      <c r="S103" s="3" t="str">
        <f ca="1">IF(OR(CELL("contenido",O103)="Baja",CELL("contenido",J103)&gt;2015,CELL("contenido",F103)="N/A"),"N/A",VLOOKUP(F103,#REF!,2,FALSE))</f>
        <v>N/A</v>
      </c>
      <c r="T103" s="3" t="str">
        <f ca="1">IF(OR(CELL("contenido",O103)="Baja",CELL("contenido",J103)&gt;2015,CELL("contenido",F103)="N/A"),"N/A",VLOOKUP(F103,#REF!,2,FALSE))</f>
        <v>N/A</v>
      </c>
      <c r="U103" s="3" t="str">
        <f ca="1">IF(OR(CELL("contenido",O103)="Baja",CELL("contenido",J103)&gt;2015,CELL("contenido",F103)="N/A"),"N/A",VLOOKUP(F103,#REF!,2,FALSE))</f>
        <v>N/A</v>
      </c>
      <c r="V103" s="3" t="str">
        <f t="shared" ca="1" si="19"/>
        <v>Baja</v>
      </c>
      <c r="W103" s="3" t="str">
        <f t="shared" si="23"/>
        <v>Zona Metropolitana de Guadalajara</v>
      </c>
      <c r="X103" s="3" t="e">
        <f>C103=VLOOKUP($C103,PólizaEstatal!$H$2:$H$82,1,FALSE)</f>
        <v>#N/A</v>
      </c>
      <c r="Y103" s="3" t="str">
        <f t="shared" si="24"/>
        <v>8AFER5ADXB6376692 JS24355</v>
      </c>
      <c r="AA103" s="3"/>
      <c r="AB103" s="3"/>
      <c r="AC103" s="71" t="e">
        <f>VLOOKUP($E103,'ResguardosXDir-CZ'!$C$2:$G$123,5,FALSE)</f>
        <v>#N/A</v>
      </c>
      <c r="AD103" s="71" t="e">
        <f>VLOOKUP($E103,'ResguardosXDir-CZ'!$C$2:$G$123,4,FALSE)</f>
        <v>#N/A</v>
      </c>
      <c r="AE103" s="5" t="s">
        <v>957</v>
      </c>
    </row>
    <row r="104" spans="1:31" s="5" customFormat="1" ht="15" customHeight="1" x14ac:dyDescent="0.25">
      <c r="A104" s="4" t="str">
        <f t="shared" si="18"/>
        <v>JS24356</v>
      </c>
      <c r="B104" s="5" t="str">
        <f t="shared" si="20"/>
        <v>I-480800052-00076-10</v>
      </c>
      <c r="C104" s="3" t="str">
        <f t="shared" si="21"/>
        <v>8AFER5AD4B6376736</v>
      </c>
      <c r="D104" s="5">
        <v>120</v>
      </c>
      <c r="E104" s="5" t="s">
        <v>501</v>
      </c>
      <c r="F104" s="4">
        <f t="shared" si="22"/>
        <v>6</v>
      </c>
      <c r="G104" s="5" t="s">
        <v>434</v>
      </c>
      <c r="H104" s="3" t="s">
        <v>436</v>
      </c>
      <c r="I104" s="3" t="s">
        <v>681</v>
      </c>
      <c r="J104" s="5">
        <v>2011</v>
      </c>
      <c r="K104" s="5" t="s">
        <v>271</v>
      </c>
      <c r="L104" s="5" t="s">
        <v>4</v>
      </c>
      <c r="M104" s="5" t="s">
        <v>9</v>
      </c>
      <c r="N104" s="5" t="s">
        <v>466</v>
      </c>
      <c r="O104" s="5" t="s">
        <v>730</v>
      </c>
      <c r="P104" s="5" t="s">
        <v>272</v>
      </c>
      <c r="R104" s="3" t="e">
        <f ca="1">IF(OR(CELL("contenido",O104)="Baja",CELL("contenido",J104)&gt;2015,CELL("contenido",F104)="N/A"),"N/A",VLOOKUP(F104,#REF!,2,FALSE))</f>
        <v>#REF!</v>
      </c>
      <c r="S104" s="3" t="e">
        <f ca="1">IF(OR(CELL("contenido",O104)="Baja",CELL("contenido",J104)&gt;2015,CELL("contenido",F104)="N/A"),"N/A",VLOOKUP(F104,#REF!,2,FALSE))</f>
        <v>#REF!</v>
      </c>
      <c r="T104" s="3" t="e">
        <f ca="1">IF(OR(CELL("contenido",O104)="Baja",CELL("contenido",J104)&gt;2015,CELL("contenido",F104)="N/A"),"N/A",VLOOKUP(F104,#REF!,2,FALSE))</f>
        <v>#REF!</v>
      </c>
      <c r="U104" s="3" t="e">
        <f ca="1">IF(OR(CELL("contenido",O104)="Baja",CELL("contenido",J104)&gt;2015,CELL("contenido",F104)="N/A"),"N/A",VLOOKUP(F104,#REF!,2,FALSE))</f>
        <v>#REF!</v>
      </c>
      <c r="V104" s="3" t="str">
        <f t="shared" ca="1" si="19"/>
        <v>Activo</v>
      </c>
      <c r="W104" s="3" t="str">
        <f t="shared" si="23"/>
        <v>Mazamitla</v>
      </c>
      <c r="X104" s="3" t="e">
        <f>C104=VLOOKUP($C104,PólizaEstatal!$H$2:$H$82,1,FALSE)</f>
        <v>#N/A</v>
      </c>
      <c r="Y104" s="3" t="str">
        <f t="shared" si="24"/>
        <v>8AFER5AD4B6376736 JS24356</v>
      </c>
      <c r="AC104" s="11" t="str">
        <f>VLOOKUP($E104,'ResguardosXDir-CZ'!$C$2:$G$123,5,FALSE)</f>
        <v>06 MAZAMITLA</v>
      </c>
      <c r="AD104" s="11" t="str">
        <f>VLOOKUP($E104,'ResguardosXDir-CZ'!$C$2:$G$123,4,FALSE)</f>
        <v>Humberto Acevedo Trinidad</v>
      </c>
      <c r="AE104" s="4">
        <v>4</v>
      </c>
    </row>
    <row r="105" spans="1:31" ht="14.25" hidden="1" customHeight="1" x14ac:dyDescent="0.25">
      <c r="A105" s="4" t="str">
        <f t="shared" si="18"/>
        <v>9GPD67</v>
      </c>
      <c r="B105" s="3" t="str">
        <f t="shared" si="20"/>
        <v>IEEAJ-3AA763-1211-01</v>
      </c>
      <c r="C105" s="3" t="str">
        <f t="shared" si="21"/>
        <v>3ADBYBJN0CS010848</v>
      </c>
      <c r="D105" s="3">
        <v>121</v>
      </c>
      <c r="E105" s="3" t="s">
        <v>566</v>
      </c>
      <c r="F105" s="4">
        <f t="shared" si="22"/>
        <v>7</v>
      </c>
      <c r="G105" s="3" t="s">
        <v>263</v>
      </c>
      <c r="H105" s="3" t="s">
        <v>691</v>
      </c>
      <c r="I105" s="3" t="s">
        <v>681</v>
      </c>
      <c r="J105" s="3">
        <v>2012</v>
      </c>
      <c r="K105" s="5" t="s">
        <v>273</v>
      </c>
      <c r="L105" s="4">
        <v>73257665</v>
      </c>
      <c r="M105" s="3" t="s">
        <v>5</v>
      </c>
      <c r="N105" s="4" t="s">
        <v>614</v>
      </c>
      <c r="O105" s="4" t="s">
        <v>488</v>
      </c>
      <c r="P105" s="3" t="s">
        <v>274</v>
      </c>
      <c r="R105" s="3" t="e">
        <f ca="1">IF(OR(CELL("contenido",O105)="Baja",CELL("contenido",J105)&gt;2015,CELL("contenido",F105)="N/A"),"N/A",VLOOKUP(F105,#REF!,2,FALSE))</f>
        <v>#REF!</v>
      </c>
      <c r="S105" s="3" t="e">
        <f ca="1">IF(OR(CELL("contenido",O105)="Baja",CELL("contenido",J105)&gt;2015,CELL("contenido",F105)="N/A"),"N/A",VLOOKUP(F105,#REF!,2,FALSE))</f>
        <v>#REF!</v>
      </c>
      <c r="T105" s="3" t="e">
        <f ca="1">IF(OR(CELL("contenido",O105)="Baja",CELL("contenido",J105)&gt;2015,CELL("contenido",F105)="N/A"),"N/A",VLOOKUP(F105,#REF!,2,FALSE))</f>
        <v>#REF!</v>
      </c>
      <c r="U105" s="3" t="e">
        <f ca="1">IF(OR(CELL("contenido",O105)="Baja",CELL("contenido",J105)&gt;2015,CELL("contenido",F105)="N/A"),"N/A",VLOOKUP(F105,#REF!,2,FALSE))</f>
        <v>#REF!</v>
      </c>
      <c r="V105" s="3" t="str">
        <f t="shared" ca="1" si="19"/>
        <v>Activo</v>
      </c>
      <c r="W105" s="3" t="str">
        <f t="shared" si="23"/>
        <v>Zona Metropolitana de Guadalajara</v>
      </c>
      <c r="X105" s="3" t="b">
        <f>C105=VLOOKUP($C105,PólizaEstatal!$H$2:$H$82,1,FALSE)</f>
        <v>1</v>
      </c>
      <c r="Y105" s="3" t="str">
        <f t="shared" si="24"/>
        <v>3ADBYBJN0CS010848 9GPD67</v>
      </c>
      <c r="AA105" s="5"/>
      <c r="AB105" s="5"/>
      <c r="AC105" s="11" t="str">
        <f>VLOOKUP($E105,'ResguardosXDir-CZ'!$C$2:$G$123,5,FALSE)</f>
        <v>ALMACEN</v>
      </c>
      <c r="AD105" s="11" t="str">
        <f>VLOOKUP($E105,'ResguardosXDir-CZ'!$C$2:$G$123,4,FALSE)</f>
        <v>Jose Osorio Lomelí</v>
      </c>
      <c r="AE105" s="4">
        <v>4</v>
      </c>
    </row>
    <row r="106" spans="1:31" s="5" customFormat="1" ht="14.25" customHeight="1" x14ac:dyDescent="0.25">
      <c r="A106" s="4" t="str">
        <f t="shared" si="18"/>
        <v>JS93646</v>
      </c>
      <c r="B106" s="5" t="str">
        <f t="shared" si="20"/>
        <v>I-480800052-00100-10</v>
      </c>
      <c r="C106" s="3" t="str">
        <f t="shared" si="21"/>
        <v>8AFER5AD7B6377315</v>
      </c>
      <c r="D106" s="5">
        <v>122</v>
      </c>
      <c r="E106" s="5" t="s">
        <v>574</v>
      </c>
      <c r="F106" s="4">
        <f t="shared" si="22"/>
        <v>6</v>
      </c>
      <c r="G106" s="5" t="s">
        <v>434</v>
      </c>
      <c r="H106" s="3" t="s">
        <v>437</v>
      </c>
      <c r="I106" s="3" t="s">
        <v>681</v>
      </c>
      <c r="J106" s="5">
        <v>2011</v>
      </c>
      <c r="K106" s="5" t="s">
        <v>275</v>
      </c>
      <c r="L106" s="5" t="s">
        <v>4</v>
      </c>
      <c r="M106" s="5" t="s">
        <v>9</v>
      </c>
      <c r="N106" s="4" t="s">
        <v>953</v>
      </c>
      <c r="O106" s="4" t="s">
        <v>964</v>
      </c>
      <c r="P106" s="5" t="s">
        <v>276</v>
      </c>
      <c r="R106" s="3" t="e">
        <f ca="1">IF(OR(CELL("contenido",O106)="Baja",CELL("contenido",J106)&gt;2015,CELL("contenido",F106)="N/A"),"N/A",VLOOKUP(F106,#REF!,2,FALSE))</f>
        <v>#REF!</v>
      </c>
      <c r="S106" s="3" t="e">
        <f ca="1">IF(OR(CELL("contenido",O106)="Baja",CELL("contenido",J106)&gt;2015,CELL("contenido",F106)="N/A"),"N/A",VLOOKUP(F106,#REF!,2,FALSE))</f>
        <v>#REF!</v>
      </c>
      <c r="T106" s="3" t="e">
        <f ca="1">IF(OR(CELL("contenido",O106)="Baja",CELL("contenido",J106)&gt;2015,CELL("contenido",F106)="N/A"),"N/A",VLOOKUP(F106,#REF!,2,FALSE))</f>
        <v>#REF!</v>
      </c>
      <c r="U106" s="3" t="e">
        <f ca="1">IF(OR(CELL("contenido",O106)="Baja",CELL("contenido",J106)&gt;2015,CELL("contenido",F106)="N/A"),"N/A",VLOOKUP(F106,#REF!,2,FALSE))</f>
        <v>#REF!</v>
      </c>
      <c r="V106" s="3" t="str">
        <f t="shared" ca="1" si="19"/>
        <v>Activo</v>
      </c>
      <c r="W106" s="3" t="str">
        <f t="shared" si="23"/>
        <v>Zona Metropolitana de Guadalajara</v>
      </c>
      <c r="X106" s="3" t="e">
        <f>C106=VLOOKUP($C106,PólizaEstatal!$H$2:$H$82,1,FALSE)</f>
        <v>#N/A</v>
      </c>
      <c r="Y106" s="3" t="str">
        <f t="shared" si="24"/>
        <v>8AFER5AD7B6377315 JS93646</v>
      </c>
      <c r="AC106" s="11" t="str">
        <f>VLOOKUP($E106,'ResguardosXDir-CZ'!$C$2:$G$123,5,FALSE)</f>
        <v>SGYRM</v>
      </c>
      <c r="AD106" s="11" t="str">
        <f>VLOOKUP($E106,'ResguardosXDir-CZ'!$C$2:$G$123,4,FALSE)</f>
        <v>David Josafat López Polanco</v>
      </c>
      <c r="AE106" s="4">
        <v>4</v>
      </c>
    </row>
    <row r="107" spans="1:31" ht="14.25" hidden="1" customHeight="1" x14ac:dyDescent="0.25">
      <c r="A107" s="4" t="str">
        <f t="shared" si="18"/>
        <v>JU11122</v>
      </c>
      <c r="B107" s="3" t="str">
        <f t="shared" si="20"/>
        <v>INEEJAD-6091-0914-01</v>
      </c>
      <c r="C107" s="3" t="str">
        <f t="shared" si="21"/>
        <v>93CCL8004EB243847</v>
      </c>
      <c r="D107" s="4">
        <v>123</v>
      </c>
      <c r="E107" s="4" t="s">
        <v>563</v>
      </c>
      <c r="F107" s="4">
        <f t="shared" si="22"/>
        <v>2</v>
      </c>
      <c r="G107" s="4" t="s">
        <v>425</v>
      </c>
      <c r="H107" s="3" t="s">
        <v>433</v>
      </c>
      <c r="I107" s="3" t="s">
        <v>681</v>
      </c>
      <c r="J107" s="4">
        <v>2014</v>
      </c>
      <c r="K107" s="5" t="s">
        <v>277</v>
      </c>
      <c r="L107" s="4" t="s">
        <v>278</v>
      </c>
      <c r="M107" s="4" t="s">
        <v>5</v>
      </c>
      <c r="N107" s="3" t="s">
        <v>816</v>
      </c>
      <c r="O107" s="3" t="s">
        <v>815</v>
      </c>
      <c r="P107" s="4" t="s">
        <v>279</v>
      </c>
      <c r="R107" s="3" t="e">
        <f ca="1">IF(OR(CELL("contenido",O138)="Baja",CELL("contenido",J107)&gt;2015,CELL("contenido",F107)="N/A"),"N/A",VLOOKUP(F107,#REF!,2,FALSE))</f>
        <v>#REF!</v>
      </c>
      <c r="S107" s="3" t="e">
        <f ca="1">IF(OR(CELL("contenido",O138)="Baja",CELL("contenido",J107)&gt;2015,CELL("contenido",F107)="N/A"),"N/A",VLOOKUP(F107,#REF!,2,FALSE))</f>
        <v>#REF!</v>
      </c>
      <c r="T107" s="3" t="e">
        <f ca="1">IF(OR(CELL("contenido",O138)="Baja",CELL("contenido",J107)&gt;2015,CELL("contenido",F107)="N/A"),"N/A",VLOOKUP(F107,#REF!,2,FALSE))</f>
        <v>#REF!</v>
      </c>
      <c r="U107" s="3" t="e">
        <f ca="1">IF(OR(CELL("contenido",O138)="Baja",CELL("contenido",J107)&gt;2015,CELL("contenido",F107)="N/A"),"N/A",VLOOKUP(F107,#REF!,2,FALSE))</f>
        <v>#REF!</v>
      </c>
      <c r="V107" s="3" t="str">
        <f ca="1">IF(CELL("contenido",O138)&lt;&gt;"Baja","Activo",O138)</f>
        <v>Activo</v>
      </c>
      <c r="W107" s="3" t="str">
        <f>VLOOKUP(N138,$AA$2:$AB$33,2,FALSE)</f>
        <v>Zona Metropolitana de Guadalajara</v>
      </c>
      <c r="X107" s="3" t="b">
        <f>C107=VLOOKUP($C107,PólizaEstatal!$H$2:$H$82,1,FALSE)</f>
        <v>1</v>
      </c>
      <c r="Y107" s="3" t="str">
        <f t="shared" si="24"/>
        <v>93CCL8004EB243847 JU11122</v>
      </c>
      <c r="AA107" s="5"/>
      <c r="AB107" s="5"/>
      <c r="AC107" s="11" t="str">
        <f>VLOOKUP($E107,'ResguardosXDir-CZ'!$C$2:$G$123,5,FALSE)</f>
        <v>PLANEACIÓN</v>
      </c>
      <c r="AD107" s="11" t="str">
        <f>VLOOKUP($E107,'ResguardosXDir-CZ'!$C$2:$G$123,4,FALSE)</f>
        <v>Jose Manuel Del Río Rosales</v>
      </c>
      <c r="AE107" s="4">
        <v>4</v>
      </c>
    </row>
    <row r="108" spans="1:31" ht="15" hidden="1" customHeight="1" x14ac:dyDescent="0.25">
      <c r="A108" s="4" t="str">
        <f t="shared" si="18"/>
        <v>JU11127</v>
      </c>
      <c r="B108" s="3" t="str">
        <f t="shared" si="20"/>
        <v>INEEJAD-6096-0914-01</v>
      </c>
      <c r="C108" s="3" t="str">
        <f t="shared" si="21"/>
        <v>93CCL8003FB109249</v>
      </c>
      <c r="D108" s="5">
        <v>124</v>
      </c>
      <c r="E108" s="4" t="s">
        <v>280</v>
      </c>
      <c r="F108" s="4">
        <f t="shared" si="22"/>
        <v>7</v>
      </c>
      <c r="G108" s="4" t="s">
        <v>425</v>
      </c>
      <c r="H108" s="3" t="s">
        <v>433</v>
      </c>
      <c r="I108" s="3" t="s">
        <v>681</v>
      </c>
      <c r="J108" s="4">
        <v>2015</v>
      </c>
      <c r="K108" s="5" t="s">
        <v>281</v>
      </c>
      <c r="L108" s="4" t="s">
        <v>278</v>
      </c>
      <c r="M108" s="3" t="s">
        <v>5</v>
      </c>
      <c r="N108" s="4" t="s">
        <v>478</v>
      </c>
      <c r="O108" s="4" t="s">
        <v>926</v>
      </c>
      <c r="P108" s="8" t="s">
        <v>282</v>
      </c>
      <c r="R108" s="3" t="e">
        <f ca="1">IF(OR(CELL("contenido",O108)="Baja",CELL("contenido",J108)&gt;2015,CELL("contenido",F108)="N/A"),"N/A",VLOOKUP(F108,#REF!,2,FALSE))</f>
        <v>#REF!</v>
      </c>
      <c r="S108" s="3" t="e">
        <f ca="1">IF(OR(CELL("contenido",O108)="Baja",CELL("contenido",J108)&gt;2015,CELL("contenido",F108)="N/A"),"N/A",VLOOKUP(F108,#REF!,2,FALSE))</f>
        <v>#REF!</v>
      </c>
      <c r="T108" s="3" t="e">
        <f ca="1">IF(OR(CELL("contenido",O108)="Baja",CELL("contenido",J108)&gt;2015,CELL("contenido",F108)="N/A"),"N/A",VLOOKUP(F108,#REF!,2,FALSE))</f>
        <v>#REF!</v>
      </c>
      <c r="U108" s="3" t="e">
        <f ca="1">IF(OR(CELL("contenido",O108)="Baja",CELL("contenido",J108)&gt;2015,CELL("contenido",F108)="N/A"),"N/A",VLOOKUP(F108,#REF!,2,FALSE))</f>
        <v>#REF!</v>
      </c>
      <c r="V108" s="3" t="str">
        <f t="shared" ca="1" si="19"/>
        <v>Activo</v>
      </c>
      <c r="W108" s="3" t="str">
        <f t="shared" ref="W108:W139" si="25">VLOOKUP(N108,$AA$2:$AB$33,2,FALSE)</f>
        <v>Autlán</v>
      </c>
      <c r="X108" s="3" t="b">
        <f>C108=VLOOKUP($C108,PólizaEstatal!$H$2:$H$82,1,FALSE)</f>
        <v>1</v>
      </c>
      <c r="Y108" s="3" t="str">
        <f t="shared" si="24"/>
        <v>93CCL8003FB109249 JU11127</v>
      </c>
      <c r="AA108" s="5"/>
      <c r="AB108" s="5"/>
      <c r="AC108" s="11" t="str">
        <f>VLOOKUP($E108,'ResguardosXDir-CZ'!$C$2:$G$123,5,FALSE)</f>
        <v>09 AUTLAN</v>
      </c>
      <c r="AD108" s="11" t="str">
        <f>VLOOKUP($E108,'ResguardosXDir-CZ'!$C$2:$G$123,4,FALSE)</f>
        <v>Ramon Gómez Macedo</v>
      </c>
      <c r="AE108" s="4">
        <v>4</v>
      </c>
    </row>
    <row r="109" spans="1:31" ht="15" hidden="1" customHeight="1" x14ac:dyDescent="0.25">
      <c r="A109" s="4" t="str">
        <f t="shared" si="18"/>
        <v>JU11130</v>
      </c>
      <c r="B109" s="3" t="str">
        <f t="shared" si="20"/>
        <v>INEEJAD-6099-0914-01</v>
      </c>
      <c r="C109" s="3" t="str">
        <f t="shared" si="21"/>
        <v>93CCL8005FB109950</v>
      </c>
      <c r="D109" s="4">
        <v>125</v>
      </c>
      <c r="E109" s="4" t="s">
        <v>283</v>
      </c>
      <c r="F109" s="4">
        <f t="shared" si="22"/>
        <v>0</v>
      </c>
      <c r="G109" s="4" t="s">
        <v>425</v>
      </c>
      <c r="H109" s="3" t="s">
        <v>433</v>
      </c>
      <c r="I109" s="3" t="s">
        <v>681</v>
      </c>
      <c r="J109" s="4">
        <v>2015</v>
      </c>
      <c r="K109" s="5" t="s">
        <v>284</v>
      </c>
      <c r="L109" s="4" t="s">
        <v>278</v>
      </c>
      <c r="M109" s="3" t="s">
        <v>5</v>
      </c>
      <c r="N109" s="4" t="s">
        <v>479</v>
      </c>
      <c r="O109" s="4" t="s">
        <v>914</v>
      </c>
      <c r="P109" s="8" t="s">
        <v>285</v>
      </c>
      <c r="R109" s="3" t="e">
        <f ca="1">IF(OR(CELL("contenido",O109)="Baja",CELL("contenido",J109)&gt;2015,CELL("contenido",F109)="N/A"),"N/A",VLOOKUP(F109,#REF!,2,FALSE))</f>
        <v>#REF!</v>
      </c>
      <c r="S109" s="3" t="e">
        <f ca="1">IF(OR(CELL("contenido",O109)="Baja",CELL("contenido",J109)&gt;2015,CELL("contenido",F109)="N/A"),"N/A",VLOOKUP(F109,#REF!,2,FALSE))</f>
        <v>#REF!</v>
      </c>
      <c r="T109" s="3" t="e">
        <f ca="1">IF(OR(CELL("contenido",O109)="Baja",CELL("contenido",J109)&gt;2015,CELL("contenido",F109)="N/A"),"N/A",VLOOKUP(F109,#REF!,2,FALSE))</f>
        <v>#REF!</v>
      </c>
      <c r="U109" s="3" t="e">
        <f ca="1">IF(OR(CELL("contenido",O109)="Baja",CELL("contenido",J109)&gt;2015,CELL("contenido",F109)="N/A"),"N/A",VLOOKUP(F109,#REF!,2,FALSE))</f>
        <v>#REF!</v>
      </c>
      <c r="V109" s="3" t="str">
        <f t="shared" ca="1" si="19"/>
        <v>Activo</v>
      </c>
      <c r="W109" s="3" t="str">
        <f t="shared" si="25"/>
        <v>Puerto Vallarta</v>
      </c>
      <c r="X109" s="3" t="b">
        <f>C109=VLOOKUP($C109,PólizaEstatal!$H$2:$H$82,1,FALSE)</f>
        <v>1</v>
      </c>
      <c r="Y109" s="3" t="str">
        <f t="shared" si="24"/>
        <v>93CCL8005FB109950 JU11130</v>
      </c>
      <c r="AA109" s="5"/>
      <c r="AB109" s="5"/>
      <c r="AC109" s="11" t="str">
        <f>VLOOKUP($E109,'ResguardosXDir-CZ'!$C$2:$G$123,5,FALSE)</f>
        <v>14 VALLARTA</v>
      </c>
      <c r="AD109" s="11" t="str">
        <f>VLOOKUP($E109,'ResguardosXDir-CZ'!$C$2:$G$123,4,FALSE)</f>
        <v>Claudia Gómez Becerra</v>
      </c>
      <c r="AE109" s="4">
        <v>4</v>
      </c>
    </row>
    <row r="110" spans="1:31" ht="14.25" hidden="1" customHeight="1" x14ac:dyDescent="0.25">
      <c r="A110" s="4" t="str">
        <f t="shared" si="18"/>
        <v>JU11124</v>
      </c>
      <c r="B110" s="3" t="str">
        <f t="shared" si="20"/>
        <v>INEEJAD-6095-0914-01</v>
      </c>
      <c r="C110" s="3" t="str">
        <f t="shared" si="21"/>
        <v>93CCL8000FB109449</v>
      </c>
      <c r="D110" s="4">
        <v>126</v>
      </c>
      <c r="E110" s="4" t="s">
        <v>318</v>
      </c>
      <c r="F110" s="4">
        <f t="shared" si="22"/>
        <v>4</v>
      </c>
      <c r="G110" s="4" t="s">
        <v>425</v>
      </c>
      <c r="H110" s="3" t="s">
        <v>433</v>
      </c>
      <c r="I110" s="3" t="s">
        <v>681</v>
      </c>
      <c r="J110" s="4">
        <v>2015</v>
      </c>
      <c r="K110" s="5" t="s">
        <v>400</v>
      </c>
      <c r="L110" s="4" t="s">
        <v>278</v>
      </c>
      <c r="M110" s="3" t="s">
        <v>5</v>
      </c>
      <c r="N110" s="4" t="s">
        <v>467</v>
      </c>
      <c r="O110" s="4" t="s">
        <v>732</v>
      </c>
      <c r="P110" s="8" t="s">
        <v>321</v>
      </c>
      <c r="R110" s="3" t="e">
        <f ca="1">IF(OR(CELL("contenido",O110)="Baja",CELL("contenido",J110)&gt;2015,CELL("contenido",F110)="N/A"),"N/A",VLOOKUP(F110,#REF!,2,FALSE))</f>
        <v>#REF!</v>
      </c>
      <c r="S110" s="3" t="e">
        <f ca="1">IF(OR(CELL("contenido",O110)="Baja",CELL("contenido",J110)&gt;2015,CELL("contenido",F110)="N/A"),"N/A",VLOOKUP(F110,#REF!,2,FALSE))</f>
        <v>#REF!</v>
      </c>
      <c r="T110" s="3" t="e">
        <f ca="1">IF(OR(CELL("contenido",O110)="Baja",CELL("contenido",J110)&gt;2015,CELL("contenido",F110)="N/A"),"N/A",VLOOKUP(F110,#REF!,2,FALSE))</f>
        <v>#REF!</v>
      </c>
      <c r="U110" s="3" t="e">
        <f ca="1">IF(OR(CELL("contenido",O110)="Baja",CELL("contenido",J110)&gt;2015,CELL("contenido",F110)="N/A"),"N/A",VLOOKUP(F110,#REF!,2,FALSE))</f>
        <v>#REF!</v>
      </c>
      <c r="V110" s="3" t="str">
        <f t="shared" ca="1" si="19"/>
        <v>Activo</v>
      </c>
      <c r="W110" s="3" t="str">
        <f t="shared" si="25"/>
        <v>Grullo</v>
      </c>
      <c r="X110" s="3" t="b">
        <f>C110=VLOOKUP($C110,PólizaEstatal!$H$2:$H$82,1,FALSE)</f>
        <v>1</v>
      </c>
      <c r="Y110" s="3" t="str">
        <f t="shared" si="24"/>
        <v>93CCL8000FB109449 JU11124</v>
      </c>
      <c r="AC110" s="11" t="str">
        <f>VLOOKUP($E110,'ResguardosXDir-CZ'!$C$2:$G$123,5,FALSE)</f>
        <v>10 GRULLO</v>
      </c>
      <c r="AD110" s="11" t="str">
        <f>VLOOKUP($E110,'ResguardosXDir-CZ'!$C$2:$G$123,4,FALSE)</f>
        <v>Francisco Edén Flores Ramírez</v>
      </c>
      <c r="AE110" s="4">
        <v>4</v>
      </c>
    </row>
    <row r="111" spans="1:31" ht="15" hidden="1" customHeight="1" x14ac:dyDescent="0.25">
      <c r="A111" s="4" t="str">
        <f t="shared" si="18"/>
        <v>JU11131</v>
      </c>
      <c r="B111" s="3" t="str">
        <f t="shared" si="20"/>
        <v>INEEJAD-6100-0914-01</v>
      </c>
      <c r="C111" s="3" t="str">
        <f t="shared" si="21"/>
        <v>93CCL8007FB109268</v>
      </c>
      <c r="D111" s="4">
        <v>127</v>
      </c>
      <c r="E111" s="4" t="s">
        <v>289</v>
      </c>
      <c r="F111" s="4">
        <f t="shared" si="22"/>
        <v>1</v>
      </c>
      <c r="G111" s="4" t="s">
        <v>425</v>
      </c>
      <c r="H111" s="3" t="s">
        <v>433</v>
      </c>
      <c r="I111" s="3" t="s">
        <v>681</v>
      </c>
      <c r="J111" s="4">
        <v>2015</v>
      </c>
      <c r="K111" s="5" t="s">
        <v>290</v>
      </c>
      <c r="L111" s="4" t="s">
        <v>278</v>
      </c>
      <c r="M111" s="3" t="s">
        <v>5</v>
      </c>
      <c r="N111" s="4" t="s">
        <v>482</v>
      </c>
      <c r="O111" s="4" t="s">
        <v>735</v>
      </c>
      <c r="P111" s="8" t="s">
        <v>291</v>
      </c>
      <c r="R111" s="3" t="e">
        <f ca="1">IF(OR(CELL("contenido",O111)="Baja",CELL("contenido",J111)&gt;2015,CELL("contenido",F111)="N/A"),"N/A",VLOOKUP(F111,#REF!,2,FALSE))</f>
        <v>#REF!</v>
      </c>
      <c r="S111" s="3" t="e">
        <f ca="1">IF(OR(CELL("contenido",O111)="Baja",CELL("contenido",J111)&gt;2015,CELL("contenido",F111)="N/A"),"N/A",VLOOKUP(F111,#REF!,2,FALSE))</f>
        <v>#REF!</v>
      </c>
      <c r="T111" s="3" t="e">
        <f ca="1">IF(OR(CELL("contenido",O111)="Baja",CELL("contenido",J111)&gt;2015,CELL("contenido",F111)="N/A"),"N/A",VLOOKUP(F111,#REF!,2,FALSE))</f>
        <v>#REF!</v>
      </c>
      <c r="U111" s="3" t="e">
        <f ca="1">IF(OR(CELL("contenido",O111)="Baja",CELL("contenido",J111)&gt;2015,CELL("contenido",F111)="N/A"),"N/A",VLOOKUP(F111,#REF!,2,FALSE))</f>
        <v>#REF!</v>
      </c>
      <c r="V111" s="3" t="str">
        <f t="shared" ca="1" si="19"/>
        <v>Activo</v>
      </c>
      <c r="W111" s="3" t="str">
        <f t="shared" si="25"/>
        <v>Tepatitlán</v>
      </c>
      <c r="X111" s="3" t="b">
        <f>C111=VLOOKUP($C111,PólizaEstatal!$H$2:$H$82,1,FALSE)</f>
        <v>1</v>
      </c>
      <c r="Y111" s="3" t="str">
        <f t="shared" si="24"/>
        <v>93CCL8007FB109268 JU11131</v>
      </c>
      <c r="AA111" s="5"/>
      <c r="AB111" s="5"/>
      <c r="AC111" s="11" t="str">
        <f>VLOOKUP($E111,'ResguardosXDir-CZ'!$C$2:$G$123,5,FALSE)</f>
        <v>20 TEPATITLAN</v>
      </c>
      <c r="AD111" s="11" t="str">
        <f>VLOOKUP($E111,'ResguardosXDir-CZ'!$C$2:$G$123,4,FALSE)</f>
        <v>Diego Armando Hernández González</v>
      </c>
      <c r="AE111" s="4">
        <v>4</v>
      </c>
    </row>
    <row r="112" spans="1:31" ht="15" hidden="1" customHeight="1" x14ac:dyDescent="0.25">
      <c r="A112" s="4" t="str">
        <f t="shared" si="18"/>
        <v>JU11128</v>
      </c>
      <c r="B112" s="3" t="str">
        <f t="shared" si="20"/>
        <v>INEEJAD-6097-0914-01</v>
      </c>
      <c r="C112" s="3" t="str">
        <f t="shared" si="21"/>
        <v>93CCL8004FB109681</v>
      </c>
      <c r="D112" s="4">
        <v>128</v>
      </c>
      <c r="E112" s="4" t="s">
        <v>292</v>
      </c>
      <c r="F112" s="4">
        <f t="shared" si="22"/>
        <v>8</v>
      </c>
      <c r="G112" s="4" t="s">
        <v>425</v>
      </c>
      <c r="H112" s="3" t="s">
        <v>433</v>
      </c>
      <c r="I112" s="3" t="s">
        <v>681</v>
      </c>
      <c r="J112" s="4">
        <v>2015</v>
      </c>
      <c r="K112" s="5" t="s">
        <v>293</v>
      </c>
      <c r="L112" s="4" t="s">
        <v>278</v>
      </c>
      <c r="M112" s="3" t="s">
        <v>5</v>
      </c>
      <c r="N112" s="4" t="s">
        <v>469</v>
      </c>
      <c r="O112" s="4" t="s">
        <v>733</v>
      </c>
      <c r="P112" s="8" t="s">
        <v>294</v>
      </c>
      <c r="R112" s="3" t="e">
        <f ca="1">IF(OR(CELL("contenido",O112)="Baja",CELL("contenido",J112)&gt;2015,CELL("contenido",F112)="N/A"),"N/A",VLOOKUP(F112,#REF!,2,FALSE))</f>
        <v>#REF!</v>
      </c>
      <c r="S112" s="3" t="e">
        <f ca="1">IF(OR(CELL("contenido",O112)="Baja",CELL("contenido",J112)&gt;2015,CELL("contenido",F112)="N/A"),"N/A",VLOOKUP(F112,#REF!,2,FALSE))</f>
        <v>#REF!</v>
      </c>
      <c r="T112" s="3" t="e">
        <f ca="1">IF(OR(CELL("contenido",O112)="Baja",CELL("contenido",J112)&gt;2015,CELL("contenido",F112)="N/A"),"N/A",VLOOKUP(F112,#REF!,2,FALSE))</f>
        <v>#REF!</v>
      </c>
      <c r="U112" s="3" t="e">
        <f ca="1">IF(OR(CELL("contenido",O112)="Baja",CELL("contenido",J112)&gt;2015,CELL("contenido",F112)="N/A"),"N/A",VLOOKUP(F112,#REF!,2,FALSE))</f>
        <v>#REF!</v>
      </c>
      <c r="V112" s="3" t="str">
        <f t="shared" ca="1" si="19"/>
        <v>Activo</v>
      </c>
      <c r="W112" s="3" t="str">
        <f t="shared" si="25"/>
        <v>Ameca</v>
      </c>
      <c r="X112" s="3" t="b">
        <f>C112=VLOOKUP($C112,PólizaEstatal!$H$2:$H$82,1,FALSE)</f>
        <v>1</v>
      </c>
      <c r="Y112" s="3" t="str">
        <f t="shared" si="24"/>
        <v>93CCL8004FB109681 JU11128</v>
      </c>
      <c r="AC112" s="11" t="str">
        <f>VLOOKUP($E112,'ResguardosXDir-CZ'!$C$2:$G$123,5,FALSE)</f>
        <v>12 AMECA</v>
      </c>
      <c r="AD112" s="11" t="str">
        <f>VLOOKUP($E112,'ResguardosXDir-CZ'!$C$2:$G$123,4,FALSE)</f>
        <v>Cesar Octavio Salazar Murillo</v>
      </c>
      <c r="AE112" s="4">
        <v>4</v>
      </c>
    </row>
    <row r="113" spans="1:31" ht="15" hidden="1" customHeight="1" x14ac:dyDescent="0.25">
      <c r="A113" s="4" t="str">
        <f t="shared" si="18"/>
        <v>JU11133</v>
      </c>
      <c r="B113" s="3" t="str">
        <f t="shared" si="20"/>
        <v>INEEJAD-6102-0914-01</v>
      </c>
      <c r="C113" s="3" t="str">
        <f t="shared" si="21"/>
        <v>93CCL8008FB109943</v>
      </c>
      <c r="D113" s="4">
        <v>129</v>
      </c>
      <c r="E113" s="4" t="s">
        <v>295</v>
      </c>
      <c r="F113" s="4">
        <f t="shared" si="22"/>
        <v>3</v>
      </c>
      <c r="G113" s="4" t="s">
        <v>425</v>
      </c>
      <c r="H113" s="3" t="s">
        <v>433</v>
      </c>
      <c r="I113" s="3" t="s">
        <v>681</v>
      </c>
      <c r="J113" s="4">
        <v>2015</v>
      </c>
      <c r="K113" s="5" t="s">
        <v>296</v>
      </c>
      <c r="L113" s="4" t="s">
        <v>278</v>
      </c>
      <c r="M113" s="3" t="s">
        <v>5</v>
      </c>
      <c r="N113" s="4" t="s">
        <v>481</v>
      </c>
      <c r="O113" s="4" t="s">
        <v>739</v>
      </c>
      <c r="P113" s="8" t="s">
        <v>297</v>
      </c>
      <c r="R113" s="3" t="e">
        <f ca="1">IF(OR(CELL("contenido",O113)="Baja",CELL("contenido",J113)&gt;2015,CELL("contenido",F113)="N/A"),"N/A",VLOOKUP(F113,#REF!,2,FALSE))</f>
        <v>#REF!</v>
      </c>
      <c r="S113" s="3" t="e">
        <f ca="1">IF(OR(CELL("contenido",O113)="Baja",CELL("contenido",J113)&gt;2015,CELL("contenido",F113)="N/A"),"N/A",VLOOKUP(F113,#REF!,2,FALSE))</f>
        <v>#REF!</v>
      </c>
      <c r="T113" s="3" t="e">
        <f ca="1">IF(OR(CELL("contenido",O113)="Baja",CELL("contenido",J113)&gt;2015,CELL("contenido",F113)="N/A"),"N/A",VLOOKUP(F113,#REF!,2,FALSE))</f>
        <v>#REF!</v>
      </c>
      <c r="U113" s="3" t="e">
        <f ca="1">IF(OR(CELL("contenido",O113)="Baja",CELL("contenido",J113)&gt;2015,CELL("contenido",F113)="N/A"),"N/A",VLOOKUP(F113,#REF!,2,FALSE))</f>
        <v>#REF!</v>
      </c>
      <c r="V113" s="3" t="str">
        <f t="shared" ca="1" si="19"/>
        <v>Activo</v>
      </c>
      <c r="W113" s="3" t="str">
        <f t="shared" si="25"/>
        <v>Zona Metropolitana de Guadalajara</v>
      </c>
      <c r="X113" s="3" t="b">
        <f>C113=VLOOKUP($C113,PólizaEstatal!$H$2:$H$82,1,FALSE)</f>
        <v>1</v>
      </c>
      <c r="Y113" s="3" t="str">
        <f t="shared" si="24"/>
        <v>93CCL8008FB109943 JU11133</v>
      </c>
      <c r="AC113" s="11" t="str">
        <f>VLOOKUP($E113,'ResguardosXDir-CZ'!$C$2:$G$123,5,FALSE)</f>
        <v xml:space="preserve">17 GUADALAJARA </v>
      </c>
      <c r="AD113" s="11" t="str">
        <f>VLOOKUP($E113,'ResguardosXDir-CZ'!$C$2:$G$123,4,FALSE)</f>
        <v>Karolina Edwur Rosales Barrera</v>
      </c>
      <c r="AE113" s="4">
        <v>4</v>
      </c>
    </row>
    <row r="114" spans="1:31" ht="14.25" hidden="1" customHeight="1" x14ac:dyDescent="0.25">
      <c r="A114" s="4" t="str">
        <f t="shared" si="18"/>
        <v>JU11132</v>
      </c>
      <c r="B114" s="3" t="str">
        <f t="shared" si="20"/>
        <v>INEEJAD-6101-0914-01</v>
      </c>
      <c r="C114" s="3" t="str">
        <f t="shared" si="21"/>
        <v>93CCL8008FB109389</v>
      </c>
      <c r="D114" s="4">
        <v>130</v>
      </c>
      <c r="E114" s="4" t="s">
        <v>298</v>
      </c>
      <c r="F114" s="4">
        <f t="shared" si="22"/>
        <v>2</v>
      </c>
      <c r="G114" s="4" t="s">
        <v>425</v>
      </c>
      <c r="H114" s="3" t="s">
        <v>433</v>
      </c>
      <c r="I114" s="3" t="s">
        <v>681</v>
      </c>
      <c r="J114" s="4">
        <v>2015</v>
      </c>
      <c r="K114" s="5" t="s">
        <v>299</v>
      </c>
      <c r="L114" s="4" t="s">
        <v>278</v>
      </c>
      <c r="M114" s="4" t="s">
        <v>5</v>
      </c>
      <c r="N114" s="4" t="s">
        <v>480</v>
      </c>
      <c r="O114" s="4" t="s">
        <v>810</v>
      </c>
      <c r="P114" s="8" t="s">
        <v>300</v>
      </c>
      <c r="R114" s="3" t="e">
        <f ca="1">IF(OR(CELL("contenido",O114)="Baja",CELL("contenido",J114)&gt;2015,CELL("contenido",F114)="N/A"),"N/A",VLOOKUP(F114,#REF!,2,FALSE))</f>
        <v>#REF!</v>
      </c>
      <c r="S114" s="3" t="e">
        <f ca="1">IF(OR(CELL("contenido",O114)="Baja",CELL("contenido",J114)&gt;2015,CELL("contenido",F114)="N/A"),"N/A",VLOOKUP(F114,#REF!,2,FALSE))</f>
        <v>#REF!</v>
      </c>
      <c r="T114" s="3" t="e">
        <f ca="1">IF(OR(CELL("contenido",O114)="Baja",CELL("contenido",J114)&gt;2015,CELL("contenido",F114)="N/A"),"N/A",VLOOKUP(F114,#REF!,2,FALSE))</f>
        <v>#REF!</v>
      </c>
      <c r="U114" s="3" t="e">
        <f ca="1">IF(OR(CELL("contenido",O114)="Baja",CELL("contenido",J114)&gt;2015,CELL("contenido",F114)="N/A"),"N/A",VLOOKUP(F114,#REF!,2,FALSE))</f>
        <v>#REF!</v>
      </c>
      <c r="V114" s="3" t="s">
        <v>954</v>
      </c>
      <c r="W114" s="3" t="str">
        <f t="shared" si="25"/>
        <v>Zona Metropolitana de Guadalajara</v>
      </c>
      <c r="X114" s="3" t="b">
        <f>C114=VLOOKUP($C114,PólizaEstatal!$H$2:$H$82,1,FALSE)</f>
        <v>1</v>
      </c>
      <c r="Y114" s="3" t="str">
        <f t="shared" si="24"/>
        <v>93CCL8008FB109389 JU11132</v>
      </c>
      <c r="AC114" s="11" t="str">
        <f>VLOOKUP($E114,'ResguardosXDir-CZ'!$C$2:$G$123,5,FALSE)</f>
        <v>15 GUADALAJARA</v>
      </c>
      <c r="AD114" s="11" t="str">
        <f>VLOOKUP($E114,'ResguardosXDir-CZ'!$C$2:$G$123,4,FALSE)</f>
        <v>Betbirai González Cajides</v>
      </c>
      <c r="AE114" s="4">
        <v>4</v>
      </c>
    </row>
    <row r="115" spans="1:31" ht="15" hidden="1" customHeight="1" x14ac:dyDescent="0.25">
      <c r="A115" s="4" t="str">
        <f t="shared" si="18"/>
        <v>JU11125</v>
      </c>
      <c r="B115" s="3" t="str">
        <f t="shared" si="20"/>
        <v>INEEJAD-6094-0914-01</v>
      </c>
      <c r="C115" s="3" t="str">
        <f t="shared" si="21"/>
        <v>93CCL8000FB109905</v>
      </c>
      <c r="D115" s="4">
        <v>131</v>
      </c>
      <c r="E115" s="4" t="s">
        <v>301</v>
      </c>
      <c r="F115" s="4">
        <f t="shared" si="22"/>
        <v>5</v>
      </c>
      <c r="G115" s="4" t="s">
        <v>425</v>
      </c>
      <c r="H115" s="3" t="s">
        <v>433</v>
      </c>
      <c r="I115" s="3" t="s">
        <v>681</v>
      </c>
      <c r="J115" s="4">
        <v>2015</v>
      </c>
      <c r="K115" s="5" t="s">
        <v>302</v>
      </c>
      <c r="L115" s="4" t="s">
        <v>278</v>
      </c>
      <c r="M115" s="3" t="s">
        <v>5</v>
      </c>
      <c r="N115" s="4" t="s">
        <v>476</v>
      </c>
      <c r="O115" s="4" t="s">
        <v>825</v>
      </c>
      <c r="P115" s="8" t="s">
        <v>303</v>
      </c>
      <c r="R115" s="3" t="e">
        <f ca="1">IF(OR(CELL("contenido",O115)="Baja",CELL("contenido",J115)&gt;2015,CELL("contenido",F115)="N/A"),"N/A",VLOOKUP(F115,#REF!,2,FALSE))</f>
        <v>#REF!</v>
      </c>
      <c r="S115" s="3" t="e">
        <f ca="1">IF(OR(CELL("contenido",O115)="Baja",CELL("contenido",J115)&gt;2015,CELL("contenido",F115)="N/A"),"N/A",VLOOKUP(F115,#REF!,2,FALSE))</f>
        <v>#REF!</v>
      </c>
      <c r="T115" s="3" t="e">
        <f ca="1">IF(OR(CELL("contenido",O115)="Baja",CELL("contenido",J115)&gt;2015,CELL("contenido",F115)="N/A"),"N/A",VLOOKUP(F115,#REF!,2,FALSE))</f>
        <v>#REF!</v>
      </c>
      <c r="U115" s="3" t="e">
        <f ca="1">IF(OR(CELL("contenido",O115)="Baja",CELL("contenido",J115)&gt;2015,CELL("contenido",F115)="N/A"),"N/A",VLOOKUP(F115,#REF!,2,FALSE))</f>
        <v>#REF!</v>
      </c>
      <c r="V115" s="3" t="str">
        <f t="shared" ca="1" si="19"/>
        <v>Activo</v>
      </c>
      <c r="W115" s="3" t="str">
        <f t="shared" si="25"/>
        <v>Ocotlán</v>
      </c>
      <c r="X115" s="3" t="b">
        <f>C115=VLOOKUP($C115,PólizaEstatal!$H$2:$H$82,1,FALSE)</f>
        <v>1</v>
      </c>
      <c r="Y115" s="3" t="str">
        <f t="shared" si="24"/>
        <v>93CCL8000FB109905 JU11125</v>
      </c>
      <c r="AC115" s="11" t="str">
        <f>VLOOKUP($E115,'ResguardosXDir-CZ'!$C$2:$G$123,5,FALSE)</f>
        <v>05 OCOTLAN</v>
      </c>
      <c r="AD115" s="11" t="str">
        <f>VLOOKUP($E115,'ResguardosXDir-CZ'!$C$2:$G$123,4,FALSE)</f>
        <v>Hugo Adrián Cerda Aguilar</v>
      </c>
      <c r="AE115" s="4">
        <v>4</v>
      </c>
    </row>
    <row r="116" spans="1:31" ht="14.25" hidden="1" customHeight="1" x14ac:dyDescent="0.2">
      <c r="A116" s="4" t="str">
        <f t="shared" si="18"/>
        <v>JU11118</v>
      </c>
      <c r="B116" s="3" t="str">
        <f t="shared" si="20"/>
        <v>INEEJAD-6087-0914-01</v>
      </c>
      <c r="C116" s="3" t="str">
        <f t="shared" si="21"/>
        <v>93CCL8009EB243925</v>
      </c>
      <c r="D116" s="4">
        <v>132</v>
      </c>
      <c r="E116" s="4" t="s">
        <v>304</v>
      </c>
      <c r="F116" s="4">
        <f t="shared" si="22"/>
        <v>8</v>
      </c>
      <c r="G116" s="4" t="s">
        <v>425</v>
      </c>
      <c r="H116" s="3" t="s">
        <v>433</v>
      </c>
      <c r="I116" s="3" t="s">
        <v>681</v>
      </c>
      <c r="J116" s="4">
        <v>2014</v>
      </c>
      <c r="K116" s="5" t="s">
        <v>305</v>
      </c>
      <c r="L116" s="4" t="s">
        <v>278</v>
      </c>
      <c r="M116" s="3" t="s">
        <v>5</v>
      </c>
      <c r="N116" s="5" t="s">
        <v>485</v>
      </c>
      <c r="O116" s="4" t="s">
        <v>487</v>
      </c>
      <c r="P116" s="8" t="s">
        <v>306</v>
      </c>
      <c r="Q116" s="3" t="s">
        <v>946</v>
      </c>
      <c r="R116" s="3" t="str">
        <f ca="1">IF(OR(CELL("contenido",O116)="Baja",CELL("contenido",J116)&gt;2015,CELL("contenido",F116)="N/A"),"N/A",VLOOKUP(F116,#REF!,2,FALSE))</f>
        <v>N/A</v>
      </c>
      <c r="S116" s="3" t="str">
        <f ca="1">IF(OR(CELL("contenido",O116)="Baja",CELL("contenido",J116)&gt;2015,CELL("contenido",F116)="N/A"),"N/A",VLOOKUP(F116,#REF!,2,FALSE))</f>
        <v>N/A</v>
      </c>
      <c r="T116" s="3" t="str">
        <f ca="1">IF(OR(CELL("contenido",O116)="Baja",CELL("contenido",J116)&gt;2015,CELL("contenido",F116)="N/A"),"N/A",VLOOKUP(F116,#REF!,2,FALSE))</f>
        <v>N/A</v>
      </c>
      <c r="U116" s="3" t="str">
        <f ca="1">IF(OR(CELL("contenido",O116)="Baja",CELL("contenido",J116)&gt;2015,CELL("contenido",F116)="N/A"),"N/A",VLOOKUP(F116,#REF!,2,FALSE))</f>
        <v>N/A</v>
      </c>
      <c r="V116" s="3" t="str">
        <f t="shared" ca="1" si="19"/>
        <v>Baja</v>
      </c>
      <c r="W116" s="3" t="str">
        <f t="shared" si="25"/>
        <v>Zona Metropolitana de Guadalajara</v>
      </c>
      <c r="X116" s="3" t="b">
        <f>C116=VLOOKUP($C116,PólizaEstatal!$H$2:$H$82,1,FALSE)</f>
        <v>1</v>
      </c>
      <c r="Y116" s="3" t="str">
        <f t="shared" si="24"/>
        <v>93CCL8009EB243925 JU11118</v>
      </c>
      <c r="AC116" s="71" t="e">
        <f>VLOOKUP($E116,'ResguardosXDir-CZ'!$C$2:$G$123,5,FALSE)</f>
        <v>#N/A</v>
      </c>
      <c r="AD116" s="71" t="e">
        <f>VLOOKUP($E116,'ResguardosXDir-CZ'!$C$2:$G$123,4,FALSE)</f>
        <v>#N/A</v>
      </c>
      <c r="AE116" s="5" t="s">
        <v>957</v>
      </c>
    </row>
    <row r="117" spans="1:31" ht="14.25" hidden="1" customHeight="1" x14ac:dyDescent="0.25">
      <c r="A117" s="4" t="str">
        <f t="shared" si="18"/>
        <v>JU11121</v>
      </c>
      <c r="B117" s="3" t="str">
        <f t="shared" si="20"/>
        <v>INEEJAD-6090-0914-01</v>
      </c>
      <c r="C117" s="3" t="str">
        <f t="shared" si="21"/>
        <v>93CCL8006EB243865</v>
      </c>
      <c r="D117" s="4">
        <v>133</v>
      </c>
      <c r="E117" s="4" t="s">
        <v>544</v>
      </c>
      <c r="F117" s="4">
        <f t="shared" si="22"/>
        <v>1</v>
      </c>
      <c r="G117" s="4" t="s">
        <v>425</v>
      </c>
      <c r="H117" s="3" t="s">
        <v>433</v>
      </c>
      <c r="I117" s="3" t="s">
        <v>681</v>
      </c>
      <c r="J117" s="4">
        <v>2014</v>
      </c>
      <c r="K117" s="5" t="s">
        <v>307</v>
      </c>
      <c r="L117" s="4" t="s">
        <v>278</v>
      </c>
      <c r="M117" s="3" t="s">
        <v>5</v>
      </c>
      <c r="N117" s="4" t="s">
        <v>483</v>
      </c>
      <c r="O117" s="4" t="s">
        <v>828</v>
      </c>
      <c r="P117" s="8" t="s">
        <v>308</v>
      </c>
      <c r="R117" s="3" t="e">
        <f ca="1">IF(OR(CELL("contenido",O117)="Baja",CELL("contenido",J117)&gt;2015,CELL("contenido",F117)="N/A"),"N/A",VLOOKUP(F117,#REF!,2,FALSE))</f>
        <v>#REF!</v>
      </c>
      <c r="S117" s="3" t="e">
        <f ca="1">IF(OR(CELL("contenido",O117)="Baja",CELL("contenido",J117)&gt;2015,CELL("contenido",F117)="N/A"),"N/A",VLOOKUP(F117,#REF!,2,FALSE))</f>
        <v>#REF!</v>
      </c>
      <c r="T117" s="3" t="e">
        <f ca="1">IF(OR(CELL("contenido",O117)="Baja",CELL("contenido",J117)&gt;2015,CELL("contenido",F117)="N/A"),"N/A",VLOOKUP(F117,#REF!,2,FALSE))</f>
        <v>#REF!</v>
      </c>
      <c r="U117" s="3" t="e">
        <f ca="1">IF(OR(CELL("contenido",O117)="Baja",CELL("contenido",J117)&gt;2015,CELL("contenido",F117)="N/A"),"N/A",VLOOKUP(F117,#REF!,2,FALSE))</f>
        <v>#REF!</v>
      </c>
      <c r="V117" s="3" t="str">
        <f t="shared" ca="1" si="19"/>
        <v>Activo</v>
      </c>
      <c r="W117" s="3" t="str">
        <f t="shared" si="25"/>
        <v>Zona Metropolitana de Guadalajara</v>
      </c>
      <c r="X117" s="3" t="b">
        <f>C117=VLOOKUP($C117,PólizaEstatal!$H$2:$H$82,1,FALSE)</f>
        <v>1</v>
      </c>
      <c r="Y117" s="3" t="str">
        <f t="shared" si="24"/>
        <v>93CCL8006EB243865 JU11121</v>
      </c>
      <c r="AC117" s="11" t="str">
        <f>VLOOKUP($E117,'ResguardosXDir-CZ'!$C$2:$G$123,5,FALSE)</f>
        <v>21 TONALA</v>
      </c>
      <c r="AD117" s="11" t="str">
        <f>VLOOKUP($E117,'ResguardosXDir-CZ'!$C$2:$G$123,4,FALSE)</f>
        <v>Jesus Alesio González Huerta</v>
      </c>
      <c r="AE117" s="4">
        <v>4</v>
      </c>
    </row>
    <row r="118" spans="1:31" ht="15" hidden="1" customHeight="1" x14ac:dyDescent="0.25">
      <c r="A118" s="4" t="str">
        <f t="shared" si="18"/>
        <v>JU11123</v>
      </c>
      <c r="B118" s="3" t="str">
        <f t="shared" si="20"/>
        <v>INEEJAD-6092-0914-01</v>
      </c>
      <c r="C118" s="3" t="str">
        <f t="shared" si="21"/>
        <v>93CCL8002EB243880</v>
      </c>
      <c r="D118" s="4">
        <v>134</v>
      </c>
      <c r="E118" s="4" t="s">
        <v>537</v>
      </c>
      <c r="F118" s="4">
        <f t="shared" si="22"/>
        <v>3</v>
      </c>
      <c r="G118" s="4" t="s">
        <v>425</v>
      </c>
      <c r="H118" s="3" t="s">
        <v>433</v>
      </c>
      <c r="I118" s="3" t="s">
        <v>681</v>
      </c>
      <c r="J118" s="4">
        <v>2014</v>
      </c>
      <c r="K118" s="5" t="s">
        <v>309</v>
      </c>
      <c r="L118" s="4" t="s">
        <v>278</v>
      </c>
      <c r="M118" s="3" t="s">
        <v>5</v>
      </c>
      <c r="N118" s="4" t="s">
        <v>472</v>
      </c>
      <c r="O118" s="4" t="s">
        <v>492</v>
      </c>
      <c r="P118" s="8" t="s">
        <v>310</v>
      </c>
      <c r="R118" s="3" t="e">
        <f ca="1">IF(OR(CELL("contenido",O118)="Baja",CELL("contenido",J118)&gt;2015,CELL("contenido",F118)="N/A"),"N/A",VLOOKUP(F118,#REF!,2,FALSE))</f>
        <v>#REF!</v>
      </c>
      <c r="S118" s="3" t="e">
        <f ca="1">IF(OR(CELL("contenido",O118)="Baja",CELL("contenido",J118)&gt;2015,CELL("contenido",F118)="N/A"),"N/A",VLOOKUP(F118,#REF!,2,FALSE))</f>
        <v>#REF!</v>
      </c>
      <c r="T118" s="3" t="e">
        <f ca="1">IF(OR(CELL("contenido",O118)="Baja",CELL("contenido",J118)&gt;2015,CELL("contenido",F118)="N/A"),"N/A",VLOOKUP(F118,#REF!,2,FALSE))</f>
        <v>#REF!</v>
      </c>
      <c r="U118" s="3" t="e">
        <f ca="1">IF(OR(CELL("contenido",O118)="Baja",CELL("contenido",J118)&gt;2015,CELL("contenido",F118)="N/A"),"N/A",VLOOKUP(F118,#REF!,2,FALSE))</f>
        <v>#REF!</v>
      </c>
      <c r="V118" s="3" t="str">
        <f t="shared" ca="1" si="19"/>
        <v>Activo</v>
      </c>
      <c r="W118" s="3" t="str">
        <f t="shared" si="25"/>
        <v>Zona Metropolitana de Guadalajara</v>
      </c>
      <c r="X118" s="3" t="b">
        <f>C118=VLOOKUP($C118,PólizaEstatal!$H$2:$H$82,1,FALSE)</f>
        <v>1</v>
      </c>
      <c r="Y118" s="3" t="str">
        <f t="shared" si="24"/>
        <v>93CCL8002EB243880 JU11123</v>
      </c>
      <c r="AC118" s="11" t="str">
        <f>VLOOKUP($E118,'ResguardosXDir-CZ'!$C$2:$G$123,5,FALSE)</f>
        <v>19 TLAQUEPAQUE</v>
      </c>
      <c r="AD118" s="11" t="str">
        <f>VLOOKUP($E118,'ResguardosXDir-CZ'!$C$2:$G$123,4,FALSE)</f>
        <v>Leonardo Sánchez Saldivar</v>
      </c>
      <c r="AE118" s="4">
        <v>4</v>
      </c>
    </row>
    <row r="119" spans="1:31" ht="14.25" hidden="1" customHeight="1" x14ac:dyDescent="0.25">
      <c r="A119" s="4" t="str">
        <f t="shared" si="18"/>
        <v>JU11120</v>
      </c>
      <c r="B119" s="3" t="str">
        <f t="shared" si="20"/>
        <v>INEEJAD-6089-0914-01</v>
      </c>
      <c r="C119" s="3" t="str">
        <f t="shared" si="21"/>
        <v>93CCL8006EB243932</v>
      </c>
      <c r="D119" s="4">
        <v>135</v>
      </c>
      <c r="E119" s="4" t="s">
        <v>514</v>
      </c>
      <c r="F119" s="4">
        <f t="shared" si="22"/>
        <v>0</v>
      </c>
      <c r="G119" s="4" t="s">
        <v>425</v>
      </c>
      <c r="H119" s="3" t="s">
        <v>433</v>
      </c>
      <c r="I119" s="3" t="s">
        <v>681</v>
      </c>
      <c r="J119" s="4">
        <v>2014</v>
      </c>
      <c r="K119" s="5" t="s">
        <v>311</v>
      </c>
      <c r="L119" s="4" t="s">
        <v>278</v>
      </c>
      <c r="M119" s="3" t="s">
        <v>5</v>
      </c>
      <c r="N119" s="4" t="s">
        <v>473</v>
      </c>
      <c r="O119" s="4" t="s">
        <v>826</v>
      </c>
      <c r="P119" s="8" t="s">
        <v>312</v>
      </c>
      <c r="Q119" s="3" t="s">
        <v>708</v>
      </c>
      <c r="R119" s="3" t="e">
        <f ca="1">IF(OR(CELL("contenido",O119)="Baja",CELL("contenido",J119)&gt;2015,CELL("contenido",F119)="N/A"),"N/A",VLOOKUP(F119,#REF!,2,FALSE))</f>
        <v>#REF!</v>
      </c>
      <c r="S119" s="3" t="e">
        <f ca="1">IF(OR(CELL("contenido",O119)="Baja",CELL("contenido",J119)&gt;2015,CELL("contenido",F119)="N/A"),"N/A",VLOOKUP(F119,#REF!,2,FALSE))</f>
        <v>#REF!</v>
      </c>
      <c r="T119" s="3" t="e">
        <f ca="1">IF(OR(CELL("contenido",O119)="Baja",CELL("contenido",J119)&gt;2015,CELL("contenido",F119)="N/A"),"N/A",VLOOKUP(F119,#REF!,2,FALSE))</f>
        <v>#REF!</v>
      </c>
      <c r="U119" s="3" t="e">
        <f ca="1">IF(OR(CELL("contenido",O119)="Baja",CELL("contenido",J119)&gt;2015,CELL("contenido",F119)="N/A"),"N/A",VLOOKUP(F119,#REF!,2,FALSE))</f>
        <v>#REF!</v>
      </c>
      <c r="V119" s="3" t="str">
        <f t="shared" ca="1" si="19"/>
        <v>Activo</v>
      </c>
      <c r="W119" s="3" t="str">
        <f t="shared" si="25"/>
        <v>Zona Metropolitana de Guadalajara</v>
      </c>
      <c r="X119" s="3" t="b">
        <f>C119=VLOOKUP($C119,PólizaEstatal!$H$2:$H$82,1,FALSE)</f>
        <v>1</v>
      </c>
      <c r="Y119" s="3" t="str">
        <f t="shared" si="24"/>
        <v>93CCL8006EB243932 JU11120</v>
      </c>
      <c r="AC119" s="11" t="str">
        <f>VLOOKUP($E119,'ResguardosXDir-CZ'!$C$2:$G$123,5,FALSE)</f>
        <v>23 TLAJOMULCO</v>
      </c>
      <c r="AD119" s="11" t="str">
        <f>VLOOKUP($E119,'ResguardosXDir-CZ'!$C$2:$G$123,4,FALSE)</f>
        <v>Alfonzo Pineda Meraz</v>
      </c>
      <c r="AE119" s="4">
        <v>4</v>
      </c>
    </row>
    <row r="120" spans="1:31" ht="15" hidden="1" customHeight="1" x14ac:dyDescent="0.25">
      <c r="A120" s="4" t="str">
        <f t="shared" si="18"/>
        <v>JU11129</v>
      </c>
      <c r="B120" s="3" t="str">
        <f t="shared" si="20"/>
        <v>INEEJAD-6098-0914-01</v>
      </c>
      <c r="C120" s="3" t="str">
        <f t="shared" si="21"/>
        <v>93CCL8004FB110023</v>
      </c>
      <c r="D120" s="4">
        <v>136</v>
      </c>
      <c r="E120" s="4" t="s">
        <v>313</v>
      </c>
      <c r="F120" s="4">
        <f t="shared" si="22"/>
        <v>9</v>
      </c>
      <c r="G120" s="4" t="s">
        <v>425</v>
      </c>
      <c r="H120" s="3" t="s">
        <v>433</v>
      </c>
      <c r="I120" s="3" t="s">
        <v>681</v>
      </c>
      <c r="J120" s="4">
        <v>2015</v>
      </c>
      <c r="K120" s="5" t="s">
        <v>314</v>
      </c>
      <c r="L120" s="4" t="s">
        <v>278</v>
      </c>
      <c r="M120" s="3" t="s">
        <v>5</v>
      </c>
      <c r="N120" s="4" t="s">
        <v>470</v>
      </c>
      <c r="O120" s="5" t="s">
        <v>734</v>
      </c>
      <c r="P120" s="8" t="s">
        <v>315</v>
      </c>
      <c r="R120" s="3" t="e">
        <f ca="1">IF(OR(CELL("contenido",O120)="Baja",CELL("contenido",J120)&gt;2015,CELL("contenido",F120)="N/A"),"N/A",VLOOKUP(F120,#REF!,2,FALSE))</f>
        <v>#REF!</v>
      </c>
      <c r="S120" s="3" t="e">
        <f ca="1">IF(OR(CELL("contenido",O120)="Baja",CELL("contenido",J120)&gt;2015,CELL("contenido",F120)="N/A"),"N/A",VLOOKUP(F120,#REF!,2,FALSE))</f>
        <v>#REF!</v>
      </c>
      <c r="T120" s="3" t="e">
        <f ca="1">IF(OR(CELL("contenido",O120)="Baja",CELL("contenido",J120)&gt;2015,CELL("contenido",F120)="N/A"),"N/A",VLOOKUP(F120,#REF!,2,FALSE))</f>
        <v>#REF!</v>
      </c>
      <c r="U120" s="3" t="e">
        <f ca="1">IF(OR(CELL("contenido",O120)="Baja",CELL("contenido",J120)&gt;2015,CELL("contenido",F120)="N/A"),"N/A",VLOOKUP(F120,#REF!,2,FALSE))</f>
        <v>#REF!</v>
      </c>
      <c r="V120" s="3" t="str">
        <f t="shared" ca="1" si="19"/>
        <v>Activo</v>
      </c>
      <c r="W120" s="3" t="str">
        <f t="shared" si="25"/>
        <v>Mascota</v>
      </c>
      <c r="X120" s="3" t="b">
        <f>C120=VLOOKUP($C120,PólizaEstatal!$H$2:$H$82,1,FALSE)</f>
        <v>1</v>
      </c>
      <c r="Y120" s="3" t="str">
        <f t="shared" si="24"/>
        <v>93CCL8004FB110023 JU11129</v>
      </c>
      <c r="AC120" s="11" t="str">
        <f>VLOOKUP($E120,'ResguardosXDir-CZ'!$C$2:$G$123,5,FALSE)</f>
        <v>13 MASCOTA</v>
      </c>
      <c r="AD120" s="11" t="str">
        <f>VLOOKUP($E120,'ResguardosXDir-CZ'!$C$2:$G$123,4,FALSE)</f>
        <v>Jesus Damián Vázquez Barajas</v>
      </c>
      <c r="AE120" s="4">
        <v>4</v>
      </c>
    </row>
    <row r="121" spans="1:31" ht="14.25" hidden="1" customHeight="1" x14ac:dyDescent="0.25">
      <c r="A121" s="4" t="str">
        <f t="shared" si="18"/>
        <v>JU11119</v>
      </c>
      <c r="B121" s="3" t="str">
        <f t="shared" si="20"/>
        <v>INEEJAD-6088-0914-01</v>
      </c>
      <c r="C121" s="3" t="str">
        <f t="shared" si="21"/>
        <v>93CCL8008EB243852</v>
      </c>
      <c r="D121" s="4">
        <v>137</v>
      </c>
      <c r="E121" s="4" t="s">
        <v>510</v>
      </c>
      <c r="F121" s="4">
        <f t="shared" si="22"/>
        <v>9</v>
      </c>
      <c r="G121" s="4" t="s">
        <v>425</v>
      </c>
      <c r="H121" s="3" t="s">
        <v>433</v>
      </c>
      <c r="I121" s="3" t="s">
        <v>681</v>
      </c>
      <c r="J121" s="4">
        <v>2014</v>
      </c>
      <c r="K121" s="5" t="s">
        <v>316</v>
      </c>
      <c r="L121" s="4" t="s">
        <v>278</v>
      </c>
      <c r="M121" s="3" t="s">
        <v>5</v>
      </c>
      <c r="N121" s="4" t="s">
        <v>475</v>
      </c>
      <c r="O121" s="4" t="s">
        <v>824</v>
      </c>
      <c r="P121" s="8" t="s">
        <v>317</v>
      </c>
      <c r="R121" s="3" t="e">
        <f ca="1">IF(OR(CELL("contenido",O121)="Baja",CELL("contenido",J121)&gt;2015,CELL("contenido",F121)="N/A"),"N/A",VLOOKUP(F121,#REF!,2,FALSE))</f>
        <v>#REF!</v>
      </c>
      <c r="S121" s="3" t="e">
        <f ca="1">IF(OR(CELL("contenido",O121)="Baja",CELL("contenido",J121)&gt;2015,CELL("contenido",F121)="N/A"),"N/A",VLOOKUP(F121,#REF!,2,FALSE))</f>
        <v>#REF!</v>
      </c>
      <c r="T121" s="3" t="e">
        <f ca="1">IF(OR(CELL("contenido",O121)="Baja",CELL("contenido",J121)&gt;2015,CELL("contenido",F121)="N/A"),"N/A",VLOOKUP(F121,#REF!,2,FALSE))</f>
        <v>#REF!</v>
      </c>
      <c r="U121" s="3" t="e">
        <f ca="1">IF(OR(CELL("contenido",O121)="Baja",CELL("contenido",J121)&gt;2015,CELL("contenido",F121)="N/A"),"N/A",VLOOKUP(F121,#REF!,2,FALSE))</f>
        <v>#REF!</v>
      </c>
      <c r="V121" s="3" t="str">
        <f t="shared" ca="1" si="19"/>
        <v>Activo</v>
      </c>
      <c r="W121" s="3" t="str">
        <f t="shared" si="25"/>
        <v>Lagos de Moreno</v>
      </c>
      <c r="X121" s="3" t="b">
        <f>C121=VLOOKUP($C121,PólizaEstatal!$H$2:$H$82,1,FALSE)</f>
        <v>1</v>
      </c>
      <c r="Y121" s="3" t="str">
        <f t="shared" si="24"/>
        <v>93CCL8008EB243852 JU11119</v>
      </c>
      <c r="AC121" s="11" t="str">
        <f>VLOOKUP($E121,'ResguardosXDir-CZ'!$C$2:$G$123,5,FALSE)</f>
        <v>02 LAGOS</v>
      </c>
      <c r="AD121" s="11" t="str">
        <f>VLOOKUP($E121,'ResguardosXDir-CZ'!$C$2:$G$123,4,FALSE)</f>
        <v>José Guadalupe Hernández Torres</v>
      </c>
      <c r="AE121" s="4">
        <v>4</v>
      </c>
    </row>
    <row r="122" spans="1:31" ht="15" hidden="1" customHeight="1" x14ac:dyDescent="0.25">
      <c r="A122" s="4" t="str">
        <f t="shared" si="18"/>
        <v>JU11126</v>
      </c>
      <c r="B122" s="3" t="str">
        <f t="shared" si="20"/>
        <v>INEEJAD-FK006095-0914-01</v>
      </c>
      <c r="C122" s="3" t="str">
        <f t="shared" si="21"/>
        <v>93CCL8002FB110067</v>
      </c>
      <c r="D122" s="4">
        <v>138</v>
      </c>
      <c r="E122" s="4" t="s">
        <v>319</v>
      </c>
      <c r="F122" s="4">
        <f t="shared" si="22"/>
        <v>6</v>
      </c>
      <c r="G122" s="4" t="s">
        <v>425</v>
      </c>
      <c r="H122" s="3" t="s">
        <v>433</v>
      </c>
      <c r="I122" s="3" t="s">
        <v>681</v>
      </c>
      <c r="J122" s="4">
        <v>2015</v>
      </c>
      <c r="K122" s="5" t="s">
        <v>320</v>
      </c>
      <c r="L122" s="4" t="s">
        <v>278</v>
      </c>
      <c r="M122" s="3" t="s">
        <v>5</v>
      </c>
      <c r="N122" s="4" t="s">
        <v>477</v>
      </c>
      <c r="O122" s="5" t="s">
        <v>731</v>
      </c>
      <c r="P122" s="8" t="s">
        <v>384</v>
      </c>
      <c r="R122" s="3" t="e">
        <f ca="1">IF(OR(CELL("contenido",O122)="Baja",CELL("contenido",J122)&gt;2015,CELL("contenido",F122)="N/A"),"N/A",VLOOKUP(F122,#REF!,2,FALSE))</f>
        <v>#REF!</v>
      </c>
      <c r="S122" s="3" t="e">
        <f ca="1">IF(OR(CELL("contenido",O122)="Baja",CELL("contenido",J122)&gt;2015,CELL("contenido",F122)="N/A"),"N/A",VLOOKUP(F122,#REF!,2,FALSE))</f>
        <v>#REF!</v>
      </c>
      <c r="T122" s="3" t="e">
        <f ca="1">IF(OR(CELL("contenido",O122)="Baja",CELL("contenido",J122)&gt;2015,CELL("contenido",F122)="N/A"),"N/A",VLOOKUP(F122,#REF!,2,FALSE))</f>
        <v>#REF!</v>
      </c>
      <c r="U122" s="3" t="e">
        <f ca="1">IF(OR(CELL("contenido",O122)="Baja",CELL("contenido",J122)&gt;2015,CELL("contenido",F122)="N/A"),"N/A",VLOOKUP(F122,#REF!,2,FALSE))</f>
        <v>#REF!</v>
      </c>
      <c r="V122" s="3" t="str">
        <f t="shared" ca="1" si="19"/>
        <v>Activo</v>
      </c>
      <c r="W122" s="3" t="str">
        <f t="shared" si="25"/>
        <v>Ciudad Guzmán</v>
      </c>
      <c r="X122" s="3" t="b">
        <f>C122=VLOOKUP($C122,PólizaEstatal!$H$2:$H$82,1,FALSE)</f>
        <v>1</v>
      </c>
      <c r="Y122" s="3" t="str">
        <f t="shared" si="24"/>
        <v>93CCL8002FB110067 JU11126</v>
      </c>
      <c r="AC122" s="11" t="str">
        <f>VLOOKUP($E122,'ResguardosXDir-CZ'!$C$2:$G$123,5,FALSE)</f>
        <v>07 CIUDAD GUZMAN</v>
      </c>
      <c r="AD122" s="11" t="str">
        <f>VLOOKUP($E122,'ResguardosXDir-CZ'!$C$2:$G$123,4,FALSE)</f>
        <v>Camilo Cocula Castillo</v>
      </c>
      <c r="AE122" s="4">
        <v>4</v>
      </c>
    </row>
    <row r="123" spans="1:31" ht="15" hidden="1" customHeight="1" x14ac:dyDescent="0.25">
      <c r="A123" s="4" t="str">
        <f t="shared" si="18"/>
        <v>JU11110</v>
      </c>
      <c r="B123" s="3" t="str">
        <f t="shared" si="20"/>
        <v>INEEJAD-FK006763-0914-01</v>
      </c>
      <c r="C123" s="3" t="str">
        <f t="shared" si="21"/>
        <v>JTFPX22P1E0049786</v>
      </c>
      <c r="D123" s="4">
        <v>139</v>
      </c>
      <c r="E123" s="4" t="s">
        <v>322</v>
      </c>
      <c r="F123" s="4">
        <f t="shared" si="22"/>
        <v>0</v>
      </c>
      <c r="G123" s="4" t="s">
        <v>445</v>
      </c>
      <c r="H123" s="3" t="s">
        <v>446</v>
      </c>
      <c r="I123" s="3" t="s">
        <v>681</v>
      </c>
      <c r="J123" s="4">
        <v>2014</v>
      </c>
      <c r="K123" s="5" t="s">
        <v>323</v>
      </c>
      <c r="L123" s="4" t="s">
        <v>324</v>
      </c>
      <c r="M123" s="4" t="s">
        <v>5</v>
      </c>
      <c r="N123" s="4" t="s">
        <v>476</v>
      </c>
      <c r="O123" s="4" t="s">
        <v>825</v>
      </c>
      <c r="P123" s="8" t="s">
        <v>325</v>
      </c>
      <c r="R123" s="3" t="e">
        <f ca="1">IF(OR(CELL("contenido",O123)="Baja",CELL("contenido",J123)&gt;2015,CELL("contenido",F123)="N/A"),"N/A",VLOOKUP(F123,#REF!,2,FALSE))</f>
        <v>#REF!</v>
      </c>
      <c r="S123" s="3" t="e">
        <f ca="1">IF(OR(CELL("contenido",O123)="Baja",CELL("contenido",J123)&gt;2015,CELL("contenido",F123)="N/A"),"N/A",VLOOKUP(F123,#REF!,2,FALSE))</f>
        <v>#REF!</v>
      </c>
      <c r="T123" s="3" t="e">
        <f ca="1">IF(OR(CELL("contenido",O123)="Baja",CELL("contenido",J123)&gt;2015,CELL("contenido",F123)="N/A"),"N/A",VLOOKUP(F123,#REF!,2,FALSE))</f>
        <v>#REF!</v>
      </c>
      <c r="U123" s="3" t="e">
        <f ca="1">IF(OR(CELL("contenido",O123)="Baja",CELL("contenido",J123)&gt;2015,CELL("contenido",F123)="N/A"),"N/A",VLOOKUP(F123,#REF!,2,FALSE))</f>
        <v>#REF!</v>
      </c>
      <c r="V123" s="3" t="str">
        <f t="shared" ca="1" si="19"/>
        <v>Activo</v>
      </c>
      <c r="W123" s="3" t="str">
        <f t="shared" si="25"/>
        <v>Ocotlán</v>
      </c>
      <c r="X123" s="3" t="b">
        <f>C123=VLOOKUP($C123,PólizaEstatal!$H$2:$H$82,1,FALSE)</f>
        <v>1</v>
      </c>
      <c r="Y123" s="3" t="str">
        <f t="shared" si="24"/>
        <v>JTFPX22P1E0049786 JU11110</v>
      </c>
      <c r="AC123" s="11" t="str">
        <f>VLOOKUP($E123,'ResguardosXDir-CZ'!$C$2:$G$123,5,FALSE)</f>
        <v>05 OCOTLAN</v>
      </c>
      <c r="AD123" s="11" t="str">
        <f>VLOOKUP($E123,'ResguardosXDir-CZ'!$C$2:$G$123,4,FALSE)</f>
        <v>Hugo Adrián Cerda Aguilar</v>
      </c>
      <c r="AE123" s="4">
        <v>4</v>
      </c>
    </row>
    <row r="124" spans="1:31" ht="15" hidden="1" customHeight="1" x14ac:dyDescent="0.25">
      <c r="A124" s="4" t="str">
        <f t="shared" si="18"/>
        <v>JU11116</v>
      </c>
      <c r="B124" s="3" t="str">
        <f t="shared" si="20"/>
        <v>INEEJAD-FK006769-0914-01</v>
      </c>
      <c r="C124" s="3" t="str">
        <f t="shared" si="21"/>
        <v>JTFPX22P1E0049383</v>
      </c>
      <c r="D124" s="4">
        <v>140</v>
      </c>
      <c r="E124" s="4" t="s">
        <v>326</v>
      </c>
      <c r="F124" s="4">
        <f t="shared" si="22"/>
        <v>6</v>
      </c>
      <c r="G124" s="4" t="s">
        <v>445</v>
      </c>
      <c r="H124" s="3" t="s">
        <v>446</v>
      </c>
      <c r="I124" s="3" t="s">
        <v>681</v>
      </c>
      <c r="J124" s="4">
        <v>2014</v>
      </c>
      <c r="K124" s="5" t="s">
        <v>327</v>
      </c>
      <c r="L124" s="4" t="s">
        <v>328</v>
      </c>
      <c r="M124" s="4" t="s">
        <v>5</v>
      </c>
      <c r="N124" s="4" t="s">
        <v>479</v>
      </c>
      <c r="O124" s="4" t="s">
        <v>914</v>
      </c>
      <c r="P124" s="8" t="s">
        <v>329</v>
      </c>
      <c r="R124" s="3" t="e">
        <f ca="1">IF(OR(CELL("contenido",O124)="Baja",CELL("contenido",J124)&gt;2015,CELL("contenido",F124)="N/A"),"N/A",VLOOKUP(F124,#REF!,2,FALSE))</f>
        <v>#REF!</v>
      </c>
      <c r="S124" s="3" t="e">
        <f ca="1">IF(OR(CELL("contenido",O124)="Baja",CELL("contenido",J124)&gt;2015,CELL("contenido",F124)="N/A"),"N/A",VLOOKUP(F124,#REF!,2,FALSE))</f>
        <v>#REF!</v>
      </c>
      <c r="T124" s="3" t="e">
        <f ca="1">IF(OR(CELL("contenido",O124)="Baja",CELL("contenido",J124)&gt;2015,CELL("contenido",F124)="N/A"),"N/A",VLOOKUP(F124,#REF!,2,FALSE))</f>
        <v>#REF!</v>
      </c>
      <c r="U124" s="3" t="e">
        <f ca="1">IF(OR(CELL("contenido",O124)="Baja",CELL("contenido",J124)&gt;2015,CELL("contenido",F124)="N/A"),"N/A",VLOOKUP(F124,#REF!,2,FALSE))</f>
        <v>#REF!</v>
      </c>
      <c r="V124" s="3" t="str">
        <f t="shared" ca="1" si="19"/>
        <v>Activo</v>
      </c>
      <c r="W124" s="3" t="str">
        <f t="shared" si="25"/>
        <v>Puerto Vallarta</v>
      </c>
      <c r="X124" s="3" t="b">
        <f>C124=VLOOKUP($C124,PólizaEstatal!$H$2:$H$82,1,FALSE)</f>
        <v>1</v>
      </c>
      <c r="Y124" s="3" t="str">
        <f t="shared" si="24"/>
        <v>JTFPX22P1E0049383 JU11116</v>
      </c>
      <c r="AC124" s="11" t="str">
        <f>VLOOKUP($E124,'ResguardosXDir-CZ'!$C$2:$G$123,5,FALSE)</f>
        <v>14 VALLARTA</v>
      </c>
      <c r="AD124" s="11" t="str">
        <f>VLOOKUP($E124,'ResguardosXDir-CZ'!$C$2:$G$123,4,FALSE)</f>
        <v>Claudia Gómez Becerra</v>
      </c>
      <c r="AE124" s="4">
        <v>4</v>
      </c>
    </row>
    <row r="125" spans="1:31" ht="15" hidden="1" customHeight="1" x14ac:dyDescent="0.25">
      <c r="A125" s="4" t="str">
        <f t="shared" si="18"/>
        <v>JU11113</v>
      </c>
      <c r="B125" s="3" t="str">
        <f t="shared" si="20"/>
        <v>INEEJAD-FK006766-0914-01</v>
      </c>
      <c r="C125" s="3" t="str">
        <f t="shared" si="21"/>
        <v>JTFPX22P0E0049889</v>
      </c>
      <c r="D125" s="4">
        <v>141</v>
      </c>
      <c r="E125" s="4" t="s">
        <v>330</v>
      </c>
      <c r="F125" s="4">
        <f t="shared" si="22"/>
        <v>3</v>
      </c>
      <c r="G125" s="4" t="s">
        <v>445</v>
      </c>
      <c r="H125" s="3" t="s">
        <v>446</v>
      </c>
      <c r="I125" s="3" t="s">
        <v>681</v>
      </c>
      <c r="J125" s="4">
        <v>2014</v>
      </c>
      <c r="K125" s="5" t="s">
        <v>331</v>
      </c>
      <c r="L125" s="4" t="s">
        <v>332</v>
      </c>
      <c r="M125" s="4" t="s">
        <v>5</v>
      </c>
      <c r="N125" s="4" t="s">
        <v>469</v>
      </c>
      <c r="O125" s="4" t="s">
        <v>733</v>
      </c>
      <c r="P125" s="8" t="s">
        <v>333</v>
      </c>
      <c r="R125" s="3" t="e">
        <f ca="1">IF(OR(CELL("contenido",O125)="Baja",CELL("contenido",J125)&gt;2015,CELL("contenido",F125)="N/A"),"N/A",VLOOKUP(F125,#REF!,2,FALSE))</f>
        <v>#REF!</v>
      </c>
      <c r="S125" s="3" t="e">
        <f ca="1">IF(OR(CELL("contenido",O125)="Baja",CELL("contenido",J125)&gt;2015,CELL("contenido",F125)="N/A"),"N/A",VLOOKUP(F125,#REF!,2,FALSE))</f>
        <v>#REF!</v>
      </c>
      <c r="T125" s="3" t="e">
        <f ca="1">IF(OR(CELL("contenido",O125)="Baja",CELL("contenido",J125)&gt;2015,CELL("contenido",F125)="N/A"),"N/A",VLOOKUP(F125,#REF!,2,FALSE))</f>
        <v>#REF!</v>
      </c>
      <c r="U125" s="3" t="e">
        <f ca="1">IF(OR(CELL("contenido",O125)="Baja",CELL("contenido",J125)&gt;2015,CELL("contenido",F125)="N/A"),"N/A",VLOOKUP(F125,#REF!,2,FALSE))</f>
        <v>#REF!</v>
      </c>
      <c r="V125" s="3" t="str">
        <f t="shared" ca="1" si="19"/>
        <v>Activo</v>
      </c>
      <c r="W125" s="3" t="str">
        <f t="shared" si="25"/>
        <v>Ameca</v>
      </c>
      <c r="X125" s="3" t="b">
        <f>C125=VLOOKUP($C125,PólizaEstatal!$H$2:$H$82,1,FALSE)</f>
        <v>1</v>
      </c>
      <c r="Y125" s="3" t="str">
        <f t="shared" si="24"/>
        <v>JTFPX22P0E0049889 JU11113</v>
      </c>
      <c r="AC125" s="11" t="str">
        <f>VLOOKUP($E125,'ResguardosXDir-CZ'!$C$2:$G$123,5,FALSE)</f>
        <v>12 AMECA</v>
      </c>
      <c r="AD125" s="11" t="str">
        <f>VLOOKUP($E125,'ResguardosXDir-CZ'!$C$2:$G$123,4,FALSE)</f>
        <v>Cesar Octavio Salazar Murillo</v>
      </c>
      <c r="AE125" s="4">
        <v>4</v>
      </c>
    </row>
    <row r="126" spans="1:31" ht="14.25" hidden="1" customHeight="1" x14ac:dyDescent="0.25">
      <c r="A126" s="4" t="str">
        <f t="shared" si="18"/>
        <v>JU11112</v>
      </c>
      <c r="B126" s="3" t="str">
        <f t="shared" si="20"/>
        <v>INEEJAD-FK006765-0914-01</v>
      </c>
      <c r="C126" s="3" t="str">
        <f t="shared" si="21"/>
        <v>JTFPX22P4E0049474</v>
      </c>
      <c r="D126" s="4">
        <v>142</v>
      </c>
      <c r="E126" s="4" t="s">
        <v>334</v>
      </c>
      <c r="F126" s="4">
        <f t="shared" si="22"/>
        <v>2</v>
      </c>
      <c r="G126" s="4" t="s">
        <v>445</v>
      </c>
      <c r="H126" s="3" t="s">
        <v>446</v>
      </c>
      <c r="I126" s="3" t="s">
        <v>681</v>
      </c>
      <c r="J126" s="4">
        <v>2014</v>
      </c>
      <c r="K126" s="5" t="s">
        <v>335</v>
      </c>
      <c r="L126" s="4" t="s">
        <v>336</v>
      </c>
      <c r="M126" s="4" t="s">
        <v>5</v>
      </c>
      <c r="N126" s="4" t="s">
        <v>485</v>
      </c>
      <c r="O126" s="4" t="s">
        <v>851</v>
      </c>
      <c r="P126" s="8" t="s">
        <v>337</v>
      </c>
      <c r="R126" s="3" t="e">
        <f ca="1">IF(OR(CELL("contenido",O126)="Baja",CELL("contenido",J126)&gt;2015,CELL("contenido",F126)="N/A"),"N/A",VLOOKUP(F126,#REF!,2,FALSE))</f>
        <v>#REF!</v>
      </c>
      <c r="S126" s="3" t="e">
        <f ca="1">IF(OR(CELL("contenido",O126)="Baja",CELL("contenido",J126)&gt;2015,CELL("contenido",F126)="N/A"),"N/A",VLOOKUP(F126,#REF!,2,FALSE))</f>
        <v>#REF!</v>
      </c>
      <c r="T126" s="3" t="e">
        <f ca="1">IF(OR(CELL("contenido",O126)="Baja",CELL("contenido",J126)&gt;2015,CELL("contenido",F126)="N/A"),"N/A",VLOOKUP(F126,#REF!,2,FALSE))</f>
        <v>#REF!</v>
      </c>
      <c r="U126" s="3" t="e">
        <f ca="1">IF(OR(CELL("contenido",O126)="Baja",CELL("contenido",J126)&gt;2015,CELL("contenido",F126)="N/A"),"N/A",VLOOKUP(F126,#REF!,2,FALSE))</f>
        <v>#REF!</v>
      </c>
      <c r="V126" s="3" t="str">
        <f t="shared" ca="1" si="19"/>
        <v>Activo</v>
      </c>
      <c r="W126" s="3" t="str">
        <f t="shared" si="25"/>
        <v>Zona Metropolitana de Guadalajara</v>
      </c>
      <c r="X126" s="3" t="b">
        <f>C126=VLOOKUP($C126,PólizaEstatal!$H$2:$H$82,1,FALSE)</f>
        <v>1</v>
      </c>
      <c r="Y126" s="3" t="str">
        <f t="shared" si="24"/>
        <v>JTFPX22P4E0049474 JU11112</v>
      </c>
      <c r="AC126" s="11" t="str">
        <f>VLOOKUP($E126,'ResguardosXDir-CZ'!$C$2:$G$123,5,FALSE)</f>
        <v>SGYRM</v>
      </c>
      <c r="AD126" s="11" t="str">
        <f>VLOOKUP($E126,'ResguardosXDir-CZ'!$C$2:$G$123,4,FALSE)</f>
        <v>David Josafat López Polanco</v>
      </c>
      <c r="AE126" s="4">
        <v>4</v>
      </c>
    </row>
    <row r="127" spans="1:31" ht="15" hidden="1" customHeight="1" x14ac:dyDescent="0.25">
      <c r="A127" s="4" t="str">
        <f t="shared" si="18"/>
        <v>JU11115</v>
      </c>
      <c r="B127" s="3" t="str">
        <f t="shared" si="20"/>
        <v>INEEJAD-FK006768-0914-01</v>
      </c>
      <c r="C127" s="3" t="str">
        <f t="shared" si="21"/>
        <v>JTFPX22P5E0049936</v>
      </c>
      <c r="D127" s="4">
        <v>143</v>
      </c>
      <c r="E127" s="4" t="s">
        <v>338</v>
      </c>
      <c r="F127" s="4">
        <f t="shared" si="22"/>
        <v>5</v>
      </c>
      <c r="G127" s="4" t="s">
        <v>445</v>
      </c>
      <c r="H127" s="3" t="s">
        <v>446</v>
      </c>
      <c r="I127" s="3" t="s">
        <v>681</v>
      </c>
      <c r="J127" s="4">
        <v>2014</v>
      </c>
      <c r="K127" s="5" t="s">
        <v>339</v>
      </c>
      <c r="L127" s="4" t="s">
        <v>340</v>
      </c>
      <c r="M127" s="4" t="s">
        <v>5</v>
      </c>
      <c r="N127" s="4" t="s">
        <v>482</v>
      </c>
      <c r="O127" s="4" t="s">
        <v>735</v>
      </c>
      <c r="P127" s="8" t="s">
        <v>341</v>
      </c>
      <c r="R127" s="3" t="e">
        <f ca="1">IF(OR(CELL("contenido",O127)="Baja",CELL("contenido",J127)&gt;2015,CELL("contenido",F127)="N/A"),"N/A",VLOOKUP(F127,#REF!,2,FALSE))</f>
        <v>#REF!</v>
      </c>
      <c r="S127" s="3" t="e">
        <f ca="1">IF(OR(CELL("contenido",O127)="Baja",CELL("contenido",J127)&gt;2015,CELL("contenido",F127)="N/A"),"N/A",VLOOKUP(F127,#REF!,2,FALSE))</f>
        <v>#REF!</v>
      </c>
      <c r="T127" s="3" t="e">
        <f ca="1">IF(OR(CELL("contenido",O127)="Baja",CELL("contenido",J127)&gt;2015,CELL("contenido",F127)="N/A"),"N/A",VLOOKUP(F127,#REF!,2,FALSE))</f>
        <v>#REF!</v>
      </c>
      <c r="U127" s="3" t="e">
        <f ca="1">IF(OR(CELL("contenido",O127)="Baja",CELL("contenido",J127)&gt;2015,CELL("contenido",F127)="N/A"),"N/A",VLOOKUP(F127,#REF!,2,FALSE))</f>
        <v>#REF!</v>
      </c>
      <c r="V127" s="3" t="str">
        <f t="shared" ca="1" si="19"/>
        <v>Activo</v>
      </c>
      <c r="W127" s="3" t="str">
        <f t="shared" si="25"/>
        <v>Tepatitlán</v>
      </c>
      <c r="X127" s="3" t="b">
        <f>C127=VLOOKUP($C127,PólizaEstatal!$H$2:$H$82,1,FALSE)</f>
        <v>1</v>
      </c>
      <c r="Y127" s="3" t="str">
        <f t="shared" si="24"/>
        <v>JTFPX22P5E0049936 JU11115</v>
      </c>
      <c r="AC127" s="11" t="str">
        <f>VLOOKUP($E127,'ResguardosXDir-CZ'!$C$2:$G$123,5,FALSE)</f>
        <v>20 TEPATITLAN</v>
      </c>
      <c r="AD127" s="11" t="str">
        <f>VLOOKUP($E127,'ResguardosXDir-CZ'!$C$2:$G$123,4,FALSE)</f>
        <v>Diego Armando Hernández González</v>
      </c>
      <c r="AE127" s="4">
        <v>4</v>
      </c>
    </row>
    <row r="128" spans="1:31" ht="15" hidden="1" customHeight="1" x14ac:dyDescent="0.25">
      <c r="A128" s="4" t="str">
        <f t="shared" si="18"/>
        <v>JU11109</v>
      </c>
      <c r="B128" s="3" t="str">
        <f t="shared" si="20"/>
        <v>INEEJAD-6762-0914-01</v>
      </c>
      <c r="C128" s="3" t="str">
        <f t="shared" si="21"/>
        <v>JTFPX22P0E0049987</v>
      </c>
      <c r="D128" s="4">
        <v>144</v>
      </c>
      <c r="E128" s="4" t="s">
        <v>286</v>
      </c>
      <c r="F128" s="4">
        <f t="shared" si="22"/>
        <v>9</v>
      </c>
      <c r="G128" s="4" t="s">
        <v>445</v>
      </c>
      <c r="H128" s="3" t="s">
        <v>446</v>
      </c>
      <c r="I128" s="3" t="s">
        <v>681</v>
      </c>
      <c r="J128" s="4">
        <v>2014</v>
      </c>
      <c r="K128" s="5" t="s">
        <v>287</v>
      </c>
      <c r="L128" s="4" t="s">
        <v>288</v>
      </c>
      <c r="M128" s="4" t="s">
        <v>5</v>
      </c>
      <c r="N128" s="4" t="s">
        <v>475</v>
      </c>
      <c r="O128" s="4" t="s">
        <v>824</v>
      </c>
      <c r="P128" s="8" t="s">
        <v>385</v>
      </c>
      <c r="R128" s="3" t="e">
        <f ca="1">IF(OR(CELL("contenido",O128)="Baja",CELL("contenido",J128)&gt;2015,CELL("contenido",F128)="N/A"),"N/A",VLOOKUP(F128,#REF!,2,FALSE))</f>
        <v>#REF!</v>
      </c>
      <c r="S128" s="3" t="e">
        <f ca="1">IF(OR(CELL("contenido",O128)="Baja",CELL("contenido",J128)&gt;2015,CELL("contenido",F128)="N/A"),"N/A",VLOOKUP(F128,#REF!,2,FALSE))</f>
        <v>#REF!</v>
      </c>
      <c r="T128" s="3" t="e">
        <f ca="1">IF(OR(CELL("contenido",O128)="Baja",CELL("contenido",J128)&gt;2015,CELL("contenido",F128)="N/A"),"N/A",VLOOKUP(F128,#REF!,2,FALSE))</f>
        <v>#REF!</v>
      </c>
      <c r="U128" s="3" t="e">
        <f ca="1">IF(OR(CELL("contenido",O128)="Baja",CELL("contenido",J128)&gt;2015,CELL("contenido",F128)="N/A"),"N/A",VLOOKUP(F128,#REF!,2,FALSE))</f>
        <v>#REF!</v>
      </c>
      <c r="V128" s="3" t="str">
        <f t="shared" ca="1" si="19"/>
        <v>Activo</v>
      </c>
      <c r="W128" s="3" t="str">
        <f t="shared" si="25"/>
        <v>Lagos de Moreno</v>
      </c>
      <c r="X128" s="3" t="b">
        <f>C128=VLOOKUP($C128,PólizaEstatal!$H$2:$H$82,1,FALSE)</f>
        <v>1</v>
      </c>
      <c r="Y128" s="3" t="str">
        <f t="shared" si="24"/>
        <v>JTFPX22P0E0049987 JU11109</v>
      </c>
      <c r="AC128" s="11" t="str">
        <f>VLOOKUP($E128,'ResguardosXDir-CZ'!$C$2:$G$123,5,FALSE)</f>
        <v>02 LAGOS</v>
      </c>
      <c r="AD128" s="11" t="str">
        <f>VLOOKUP($E128,'ResguardosXDir-CZ'!$C$2:$G$123,4,FALSE)</f>
        <v>José Guadalupe Hernández Torres</v>
      </c>
      <c r="AE128" s="4">
        <v>4</v>
      </c>
    </row>
    <row r="129" spans="1:31" ht="15" hidden="1" customHeight="1" x14ac:dyDescent="0.25">
      <c r="A129" s="4" t="str">
        <f t="shared" si="18"/>
        <v>JU11111</v>
      </c>
      <c r="B129" s="3" t="str">
        <f t="shared" ref="B129:B147" si="26">P129</f>
        <v>INEEJAD-FK006764-0914-01</v>
      </c>
      <c r="C129" s="3" t="str">
        <f t="shared" ref="C129:C147" si="27">K129</f>
        <v>JTFPX22P6E0049802</v>
      </c>
      <c r="D129" s="4">
        <v>145</v>
      </c>
      <c r="E129" s="4" t="s">
        <v>342</v>
      </c>
      <c r="F129" s="4">
        <f t="shared" si="22"/>
        <v>1</v>
      </c>
      <c r="G129" s="4" t="s">
        <v>445</v>
      </c>
      <c r="H129" s="3" t="s">
        <v>446</v>
      </c>
      <c r="I129" s="3" t="s">
        <v>681</v>
      </c>
      <c r="J129" s="4">
        <v>2014</v>
      </c>
      <c r="K129" s="5" t="s">
        <v>343</v>
      </c>
      <c r="L129" s="4" t="s">
        <v>344</v>
      </c>
      <c r="M129" s="4" t="s">
        <v>5</v>
      </c>
      <c r="N129" s="5" t="s">
        <v>474</v>
      </c>
      <c r="O129" s="4" t="s">
        <v>729</v>
      </c>
      <c r="P129" s="8" t="s">
        <v>345</v>
      </c>
      <c r="R129" s="3" t="e">
        <f ca="1">IF(OR(CELL("contenido",O129)="Baja",CELL("contenido",J129)&gt;2015,CELL("contenido",F129)="N/A"),"N/A",VLOOKUP(F129,#REF!,2,FALSE))</f>
        <v>#REF!</v>
      </c>
      <c r="S129" s="3" t="e">
        <f ca="1">IF(OR(CELL("contenido",O129)="Baja",CELL("contenido",J129)&gt;2015,CELL("contenido",F129)="N/A"),"N/A",VLOOKUP(F129,#REF!,2,FALSE))</f>
        <v>#REF!</v>
      </c>
      <c r="T129" s="3" t="e">
        <f ca="1">IF(OR(CELL("contenido",O129)="Baja",CELL("contenido",J129)&gt;2015,CELL("contenido",F129)="N/A"),"N/A",VLOOKUP(F129,#REF!,2,FALSE))</f>
        <v>#REF!</v>
      </c>
      <c r="U129" s="3" t="e">
        <f ca="1">IF(OR(CELL("contenido",O129)="Baja",CELL("contenido",J129)&gt;2015,CELL("contenido",F129)="N/A"),"N/A",VLOOKUP(F129,#REF!,2,FALSE))</f>
        <v>#REF!</v>
      </c>
      <c r="V129" s="3" t="str">
        <f t="shared" ca="1" si="19"/>
        <v>Activo</v>
      </c>
      <c r="W129" s="3" t="str">
        <f t="shared" si="25"/>
        <v>Colotlán</v>
      </c>
      <c r="X129" s="3" t="b">
        <f>C129=VLOOKUP($C129,PólizaEstatal!$H$2:$H$82,1,FALSE)</f>
        <v>1</v>
      </c>
      <c r="Y129" s="3" t="str">
        <f t="shared" si="24"/>
        <v>JTFPX22P6E0049802 JU11111</v>
      </c>
      <c r="AC129" s="11" t="str">
        <f>VLOOKUP($E129,'ResguardosXDir-CZ'!$C$2:$G$123,5,FALSE)</f>
        <v>01 COLOTLAN</v>
      </c>
      <c r="AD129" s="11" t="str">
        <f>VLOOKUP($E129,'ResguardosXDir-CZ'!$C$2:$G$123,4,FALSE)</f>
        <v>Luis Enrique Gándara Alcantar</v>
      </c>
      <c r="AE129" s="4">
        <v>4</v>
      </c>
    </row>
    <row r="130" spans="1:31" ht="15" hidden="1" customHeight="1" x14ac:dyDescent="0.25">
      <c r="A130" s="4" t="str">
        <f t="shared" si="18"/>
        <v>JU11114</v>
      </c>
      <c r="B130" s="3" t="str">
        <f t="shared" si="26"/>
        <v>INEEJAD-FK006767-0914-01</v>
      </c>
      <c r="C130" s="3" t="str">
        <f t="shared" si="27"/>
        <v>JTFPX22P2E0049991</v>
      </c>
      <c r="D130" s="4">
        <v>146</v>
      </c>
      <c r="E130" s="4" t="s">
        <v>346</v>
      </c>
      <c r="F130" s="4">
        <f t="shared" ref="F130:F141" si="28">VALUE(RIGHT(E130))</f>
        <v>4</v>
      </c>
      <c r="G130" s="4" t="s">
        <v>445</v>
      </c>
      <c r="H130" s="3" t="s">
        <v>446</v>
      </c>
      <c r="I130" s="3" t="s">
        <v>681</v>
      </c>
      <c r="J130" s="4">
        <v>2014</v>
      </c>
      <c r="K130" s="5" t="s">
        <v>347</v>
      </c>
      <c r="L130" s="4" t="s">
        <v>348</v>
      </c>
      <c r="M130" s="4" t="s">
        <v>5</v>
      </c>
      <c r="N130" s="4" t="s">
        <v>477</v>
      </c>
      <c r="O130" s="5" t="s">
        <v>731</v>
      </c>
      <c r="P130" s="8" t="s">
        <v>349</v>
      </c>
      <c r="R130" s="3" t="e">
        <f ca="1">IF(OR(CELL("contenido",O130)="Baja",CELL("contenido",J130)&gt;2015,CELL("contenido",F130)="N/A"),"N/A",VLOOKUP(F130,#REF!,2,FALSE))</f>
        <v>#REF!</v>
      </c>
      <c r="S130" s="3" t="e">
        <f ca="1">IF(OR(CELL("contenido",O130)="Baja",CELL("contenido",J130)&gt;2015,CELL("contenido",F130)="N/A"),"N/A",VLOOKUP(F130,#REF!,2,FALSE))</f>
        <v>#REF!</v>
      </c>
      <c r="T130" s="3" t="e">
        <f ca="1">IF(OR(CELL("contenido",O130)="Baja",CELL("contenido",J130)&gt;2015,CELL("contenido",F130)="N/A"),"N/A",VLOOKUP(F130,#REF!,2,FALSE))</f>
        <v>#REF!</v>
      </c>
      <c r="U130" s="3" t="e">
        <f ca="1">IF(OR(CELL("contenido",O130)="Baja",CELL("contenido",J130)&gt;2015,CELL("contenido",F130)="N/A"),"N/A",VLOOKUP(F130,#REF!,2,FALSE))</f>
        <v>#REF!</v>
      </c>
      <c r="V130" s="3" t="str">
        <f t="shared" ca="1" si="19"/>
        <v>Activo</v>
      </c>
      <c r="W130" s="3" t="str">
        <f t="shared" si="25"/>
        <v>Ciudad Guzmán</v>
      </c>
      <c r="X130" s="3" t="b">
        <f>C130=VLOOKUP($C130,PólizaEstatal!$H$2:$H$82,1,FALSE)</f>
        <v>1</v>
      </c>
      <c r="Y130" s="3" t="str">
        <f t="shared" ref="Y130:Y161" si="29">CONCATENATE(TRIM(C130)," ",TRIM(E130))</f>
        <v>JTFPX22P2E0049991 JU11114</v>
      </c>
      <c r="AC130" s="11" t="str">
        <f>VLOOKUP($E130,'ResguardosXDir-CZ'!$C$2:$G$123,5,FALSE)</f>
        <v>07 CIUDAD GUZMAN</v>
      </c>
      <c r="AD130" s="11" t="str">
        <f>VLOOKUP($E130,'ResguardosXDir-CZ'!$C$2:$G$123,4,FALSE)</f>
        <v>Camilo Cocula Castillo</v>
      </c>
      <c r="AE130" s="4">
        <v>4</v>
      </c>
    </row>
    <row r="131" spans="1:31" ht="15" hidden="1" customHeight="1" x14ac:dyDescent="0.25">
      <c r="A131" s="4" t="str">
        <f t="shared" ref="A131:A167" si="30">E131</f>
        <v>JU11117</v>
      </c>
      <c r="B131" s="3" t="str">
        <f t="shared" si="26"/>
        <v>INEEJAD-FK006778-0914-01</v>
      </c>
      <c r="C131" s="3" t="str">
        <f t="shared" si="27"/>
        <v>JTFPX22P5E0048544</v>
      </c>
      <c r="D131" s="4">
        <v>147</v>
      </c>
      <c r="E131" s="4" t="s">
        <v>350</v>
      </c>
      <c r="F131" s="4">
        <f t="shared" si="28"/>
        <v>7</v>
      </c>
      <c r="G131" s="4" t="s">
        <v>445</v>
      </c>
      <c r="H131" s="3" t="s">
        <v>446</v>
      </c>
      <c r="I131" s="3" t="s">
        <v>681</v>
      </c>
      <c r="J131" s="4">
        <v>2014</v>
      </c>
      <c r="K131" s="5" t="s">
        <v>351</v>
      </c>
      <c r="L131" s="4" t="s">
        <v>352</v>
      </c>
      <c r="M131" s="4" t="s">
        <v>5</v>
      </c>
      <c r="N131" s="4" t="s">
        <v>466</v>
      </c>
      <c r="O131" s="5" t="s">
        <v>730</v>
      </c>
      <c r="P131" s="8" t="s">
        <v>353</v>
      </c>
      <c r="R131" s="3" t="e">
        <f ca="1">IF(OR(CELL("contenido",O131)="Baja",CELL("contenido",J131)&gt;2015,CELL("contenido",F131)="N/A"),"N/A",VLOOKUP(F131,#REF!,2,FALSE))</f>
        <v>#REF!</v>
      </c>
      <c r="S131" s="3" t="e">
        <f ca="1">IF(OR(CELL("contenido",O131)="Baja",CELL("contenido",J131)&gt;2015,CELL("contenido",F131)="N/A"),"N/A",VLOOKUP(F131,#REF!,2,FALSE))</f>
        <v>#REF!</v>
      </c>
      <c r="T131" s="3" t="e">
        <f ca="1">IF(OR(CELL("contenido",O131)="Baja",CELL("contenido",J131)&gt;2015,CELL("contenido",F131)="N/A"),"N/A",VLOOKUP(F131,#REF!,2,FALSE))</f>
        <v>#REF!</v>
      </c>
      <c r="U131" s="3" t="e">
        <f ca="1">IF(OR(CELL("contenido",O131)="Baja",CELL("contenido",J131)&gt;2015,CELL("contenido",F131)="N/A"),"N/A",VLOOKUP(F131,#REF!,2,FALSE))</f>
        <v>#REF!</v>
      </c>
      <c r="V131" s="3" t="str">
        <f t="shared" ref="V131:V147" ca="1" si="31">IF(CELL("contenido",O131)&lt;&gt;"Baja","Activo",O131)</f>
        <v>Activo</v>
      </c>
      <c r="W131" s="3" t="str">
        <f t="shared" si="25"/>
        <v>Mazamitla</v>
      </c>
      <c r="X131" s="3" t="b">
        <f>C131=VLOOKUP($C131,PólizaEstatal!$H$2:$H$82,1,FALSE)</f>
        <v>1</v>
      </c>
      <c r="Y131" s="3" t="str">
        <f t="shared" si="29"/>
        <v>JTFPX22P5E0048544 JU11117</v>
      </c>
      <c r="AC131" s="11" t="str">
        <f>VLOOKUP($E131,'ResguardosXDir-CZ'!$C$2:$G$123,5,FALSE)</f>
        <v>06 MAZAMITLA</v>
      </c>
      <c r="AD131" s="11" t="str">
        <f>VLOOKUP($E131,'ResguardosXDir-CZ'!$C$2:$G$123,4,FALSE)</f>
        <v>Humberto Acevedo Trinidad</v>
      </c>
      <c r="AE131" s="4">
        <v>4</v>
      </c>
    </row>
    <row r="132" spans="1:31" ht="14.25" hidden="1" customHeight="1" x14ac:dyDescent="0.25">
      <c r="A132" s="4" t="str">
        <f t="shared" si="30"/>
        <v>JU13098</v>
      </c>
      <c r="B132" s="3">
        <f t="shared" si="26"/>
        <v>0</v>
      </c>
      <c r="C132" s="3" t="str">
        <f t="shared" si="27"/>
        <v>JTFPX22P1E0050033</v>
      </c>
      <c r="D132" s="4">
        <v>148</v>
      </c>
      <c r="E132" s="4" t="s">
        <v>354</v>
      </c>
      <c r="F132" s="4">
        <f t="shared" si="28"/>
        <v>8</v>
      </c>
      <c r="G132" s="4" t="s">
        <v>445</v>
      </c>
      <c r="H132" s="3" t="s">
        <v>446</v>
      </c>
      <c r="I132" s="3" t="s">
        <v>681</v>
      </c>
      <c r="J132" s="4">
        <v>2014</v>
      </c>
      <c r="K132" s="5" t="s">
        <v>355</v>
      </c>
      <c r="L132" s="4" t="s">
        <v>356</v>
      </c>
      <c r="M132" s="4" t="s">
        <v>5</v>
      </c>
      <c r="N132" s="5" t="s">
        <v>614</v>
      </c>
      <c r="O132" s="5" t="s">
        <v>488</v>
      </c>
      <c r="P132" s="4"/>
      <c r="R132" s="3" t="e">
        <f ca="1">IF(OR(CELL("contenido",O132)="Baja",CELL("contenido",J132)&gt;2015,CELL("contenido",F132)="N/A"),"N/A",VLOOKUP(F132,#REF!,2,FALSE))</f>
        <v>#REF!</v>
      </c>
      <c r="S132" s="3" t="e">
        <f ca="1">IF(OR(CELL("contenido",O132)="Baja",CELL("contenido",J132)&gt;2015,CELL("contenido",F132)="N/A"),"N/A",VLOOKUP(F132,#REF!,2,FALSE))</f>
        <v>#REF!</v>
      </c>
      <c r="T132" s="3" t="e">
        <f ca="1">IF(OR(CELL("contenido",O132)="Baja",CELL("contenido",J132)&gt;2015,CELL("contenido",F132)="N/A"),"N/A",VLOOKUP(F132,#REF!,2,FALSE))</f>
        <v>#REF!</v>
      </c>
      <c r="U132" s="3" t="e">
        <f ca="1">IF(OR(CELL("contenido",O132)="Baja",CELL("contenido",J132)&gt;2015,CELL("contenido",F132)="N/A"),"N/A",VLOOKUP(F132,#REF!,2,FALSE))</f>
        <v>#REF!</v>
      </c>
      <c r="V132" s="3" t="str">
        <f t="shared" ca="1" si="31"/>
        <v>Activo</v>
      </c>
      <c r="W132" s="3" t="str">
        <f t="shared" si="25"/>
        <v>Zona Metropolitana de Guadalajara</v>
      </c>
      <c r="X132" s="3" t="b">
        <f>C132=VLOOKUP($C132,PólizaEstatal!$H$2:$H$82,1,FALSE)</f>
        <v>1</v>
      </c>
      <c r="Y132" s="3" t="str">
        <f t="shared" si="29"/>
        <v>JTFPX22P1E0050033 JU13098</v>
      </c>
      <c r="AC132" s="11" t="str">
        <f>VLOOKUP($E132,'ResguardosXDir-CZ'!$C$2:$G$123,5,FALSE)</f>
        <v>ALMACEN</v>
      </c>
      <c r="AD132" s="11" t="str">
        <f>VLOOKUP($E132,'ResguardosXDir-CZ'!$C$2:$G$123,4,FALSE)</f>
        <v>Jose Osorio Lomelí</v>
      </c>
      <c r="AE132" s="4">
        <v>4</v>
      </c>
    </row>
    <row r="133" spans="1:31" s="5" customFormat="1" ht="15" customHeight="1" x14ac:dyDescent="0.25">
      <c r="A133" s="4" t="str">
        <f t="shared" si="30"/>
        <v>JT20423</v>
      </c>
      <c r="B133" s="3" t="str">
        <f t="shared" si="26"/>
        <v>INEA-54103-I-480800052-00049-15</v>
      </c>
      <c r="C133" s="3" t="str">
        <f t="shared" si="27"/>
        <v>8AFER5AD3C6019274</v>
      </c>
      <c r="D133" s="5">
        <v>149</v>
      </c>
      <c r="E133" s="5" t="s">
        <v>496</v>
      </c>
      <c r="F133" s="4">
        <f t="shared" si="28"/>
        <v>3</v>
      </c>
      <c r="G133" s="5" t="s">
        <v>434</v>
      </c>
      <c r="H133" s="3" t="s">
        <v>436</v>
      </c>
      <c r="I133" s="3" t="s">
        <v>681</v>
      </c>
      <c r="J133" s="5">
        <v>2012</v>
      </c>
      <c r="K133" s="5" t="s">
        <v>358</v>
      </c>
      <c r="L133" s="5" t="s">
        <v>4</v>
      </c>
      <c r="M133" s="5" t="s">
        <v>9</v>
      </c>
      <c r="N133" s="5" t="s">
        <v>474</v>
      </c>
      <c r="O133" s="4" t="s">
        <v>729</v>
      </c>
      <c r="P133" s="5" t="s">
        <v>394</v>
      </c>
      <c r="R133" s="3" t="e">
        <f ca="1">IF(OR(CELL("contenido",O133)="Baja",CELL("contenido",J133)&gt;2015,CELL("contenido",F133)="N/A"),"N/A",VLOOKUP(F133,#REF!,2,FALSE))</f>
        <v>#REF!</v>
      </c>
      <c r="S133" s="3" t="e">
        <f ca="1">IF(OR(CELL("contenido",O133)="Baja",CELL("contenido",J133)&gt;2015,CELL("contenido",F133)="N/A"),"N/A",VLOOKUP(F133,#REF!,2,FALSE))</f>
        <v>#REF!</v>
      </c>
      <c r="T133" s="3" t="e">
        <f ca="1">IF(OR(CELL("contenido",O133)="Baja",CELL("contenido",J133)&gt;2015,CELL("contenido",F133)="N/A"),"N/A",VLOOKUP(F133,#REF!,2,FALSE))</f>
        <v>#REF!</v>
      </c>
      <c r="U133" s="3" t="e">
        <f ca="1">IF(OR(CELL("contenido",O133)="Baja",CELL("contenido",J133)&gt;2015,CELL("contenido",F133)="N/A"),"N/A",VLOOKUP(F133,#REF!,2,FALSE))</f>
        <v>#REF!</v>
      </c>
      <c r="V133" s="3" t="str">
        <f t="shared" ca="1" si="31"/>
        <v>Activo</v>
      </c>
      <c r="W133" s="3" t="str">
        <f t="shared" si="25"/>
        <v>Colotlán</v>
      </c>
      <c r="X133" s="3" t="e">
        <f>C133=VLOOKUP($C133,PólizaEstatal!$H$2:$H$82,1,FALSE)</f>
        <v>#N/A</v>
      </c>
      <c r="Y133" s="3" t="str">
        <f t="shared" si="29"/>
        <v>8AFER5AD3C6019274 JT20423</v>
      </c>
      <c r="AA133" s="3"/>
      <c r="AB133" s="3"/>
      <c r="AC133" s="11" t="str">
        <f>VLOOKUP($E133,'ResguardosXDir-CZ'!$C$2:$G$123,5,FALSE)</f>
        <v>01 COLOTLAN</v>
      </c>
      <c r="AD133" s="11" t="str">
        <f>VLOOKUP($E133,'ResguardosXDir-CZ'!$C$2:$G$123,4,FALSE)</f>
        <v>Luis Enrique Gándara Alcantar</v>
      </c>
      <c r="AE133" s="4">
        <v>4</v>
      </c>
    </row>
    <row r="134" spans="1:31" s="5" customFormat="1" ht="15" customHeight="1" x14ac:dyDescent="0.25">
      <c r="A134" s="4" t="str">
        <f t="shared" si="30"/>
        <v>JT20425</v>
      </c>
      <c r="B134" s="3" t="str">
        <f t="shared" si="26"/>
        <v>INEA-54103-I-480800052-00051-15</v>
      </c>
      <c r="C134" s="3" t="str">
        <f t="shared" si="27"/>
        <v>8AFER5AD6C6013775</v>
      </c>
      <c r="D134" s="5">
        <v>150</v>
      </c>
      <c r="E134" s="5" t="s">
        <v>500</v>
      </c>
      <c r="F134" s="4">
        <f t="shared" si="28"/>
        <v>5</v>
      </c>
      <c r="G134" s="5" t="s">
        <v>434</v>
      </c>
      <c r="H134" s="3" t="s">
        <v>436</v>
      </c>
      <c r="I134" s="3" t="s">
        <v>681</v>
      </c>
      <c r="J134" s="5">
        <v>2012</v>
      </c>
      <c r="K134" s="5" t="s">
        <v>359</v>
      </c>
      <c r="L134" s="5" t="s">
        <v>4</v>
      </c>
      <c r="M134" s="5" t="s">
        <v>9</v>
      </c>
      <c r="N134" s="4" t="s">
        <v>475</v>
      </c>
      <c r="O134" s="4" t="s">
        <v>824</v>
      </c>
      <c r="P134" s="5" t="s">
        <v>396</v>
      </c>
      <c r="R134" s="3" t="e">
        <f ca="1">IF(OR(CELL("contenido",O134)="Baja",CELL("contenido",J134)&gt;2015,CELL("contenido",F134)="N/A"),"N/A",VLOOKUP(F134,#REF!,2,FALSE))</f>
        <v>#REF!</v>
      </c>
      <c r="S134" s="3" t="e">
        <f ca="1">IF(OR(CELL("contenido",O134)="Baja",CELL("contenido",J134)&gt;2015,CELL("contenido",F134)="N/A"),"N/A",VLOOKUP(F134,#REF!,2,FALSE))</f>
        <v>#REF!</v>
      </c>
      <c r="T134" s="3" t="e">
        <f ca="1">IF(OR(CELL("contenido",O134)="Baja",CELL("contenido",J134)&gt;2015,CELL("contenido",F134)="N/A"),"N/A",VLOOKUP(F134,#REF!,2,FALSE))</f>
        <v>#REF!</v>
      </c>
      <c r="U134" s="3" t="e">
        <f ca="1">IF(OR(CELL("contenido",O134)="Baja",CELL("contenido",J134)&gt;2015,CELL("contenido",F134)="N/A"),"N/A",VLOOKUP(F134,#REF!,2,FALSE))</f>
        <v>#REF!</v>
      </c>
      <c r="V134" s="3" t="str">
        <f t="shared" ca="1" si="31"/>
        <v>Activo</v>
      </c>
      <c r="W134" s="3" t="str">
        <f t="shared" si="25"/>
        <v>Lagos de Moreno</v>
      </c>
      <c r="X134" s="3" t="e">
        <f>C134=VLOOKUP($C134,PólizaEstatal!$H$2:$H$82,1,FALSE)</f>
        <v>#N/A</v>
      </c>
      <c r="Y134" s="3" t="str">
        <f t="shared" si="29"/>
        <v>8AFER5AD6C6013775 JT20425</v>
      </c>
      <c r="AA134" s="3"/>
      <c r="AB134" s="3"/>
      <c r="AC134" s="11" t="str">
        <f>VLOOKUP($E134,'ResguardosXDir-CZ'!$C$2:$G$123,5,FALSE)</f>
        <v>02 LAGOS</v>
      </c>
      <c r="AD134" s="11" t="str">
        <f>VLOOKUP($E134,'ResguardosXDir-CZ'!$C$2:$G$123,4,FALSE)</f>
        <v>José Guadalupe Hernández Torres</v>
      </c>
      <c r="AE134" s="4">
        <v>4</v>
      </c>
    </row>
    <row r="135" spans="1:31" s="5" customFormat="1" ht="15" customHeight="1" x14ac:dyDescent="0.25">
      <c r="A135" s="4" t="str">
        <f t="shared" si="30"/>
        <v>JT20422</v>
      </c>
      <c r="B135" s="3" t="str">
        <f t="shared" si="26"/>
        <v>INEA-54103-I-480800052-00048-15</v>
      </c>
      <c r="C135" s="3" t="str">
        <f t="shared" si="27"/>
        <v>8AFER5AD9C6018758</v>
      </c>
      <c r="D135" s="5">
        <v>151</v>
      </c>
      <c r="E135" s="5" t="s">
        <v>508</v>
      </c>
      <c r="F135" s="4">
        <f t="shared" si="28"/>
        <v>2</v>
      </c>
      <c r="G135" s="5" t="s">
        <v>434</v>
      </c>
      <c r="H135" s="3" t="s">
        <v>436</v>
      </c>
      <c r="I135" s="3" t="s">
        <v>681</v>
      </c>
      <c r="J135" s="5">
        <v>2012</v>
      </c>
      <c r="K135" s="5" t="s">
        <v>360</v>
      </c>
      <c r="L135" s="5" t="s">
        <v>4</v>
      </c>
      <c r="M135" s="5" t="s">
        <v>9</v>
      </c>
      <c r="N135" s="4" t="s">
        <v>478</v>
      </c>
      <c r="O135" s="4" t="s">
        <v>926</v>
      </c>
      <c r="P135" s="5" t="s">
        <v>393</v>
      </c>
      <c r="R135" s="3" t="e">
        <f ca="1">IF(OR(CELL("contenido",O135)="Baja",CELL("contenido",J135)&gt;2015,CELL("contenido",F135)="N/A"),"N/A",VLOOKUP(F135,#REF!,2,FALSE))</f>
        <v>#REF!</v>
      </c>
      <c r="S135" s="3" t="e">
        <f ca="1">IF(OR(CELL("contenido",O135)="Baja",CELL("contenido",J135)&gt;2015,CELL("contenido",F135)="N/A"),"N/A",VLOOKUP(F135,#REF!,2,FALSE))</f>
        <v>#REF!</v>
      </c>
      <c r="T135" s="3" t="e">
        <f ca="1">IF(OR(CELL("contenido",O135)="Baja",CELL("contenido",J135)&gt;2015,CELL("contenido",F135)="N/A"),"N/A",VLOOKUP(F135,#REF!,2,FALSE))</f>
        <v>#REF!</v>
      </c>
      <c r="U135" s="3" t="e">
        <f ca="1">IF(OR(CELL("contenido",O135)="Baja",CELL("contenido",J135)&gt;2015,CELL("contenido",F135)="N/A"),"N/A",VLOOKUP(F135,#REF!,2,FALSE))</f>
        <v>#REF!</v>
      </c>
      <c r="V135" s="3" t="str">
        <f t="shared" ca="1" si="31"/>
        <v>Activo</v>
      </c>
      <c r="W135" s="3" t="str">
        <f t="shared" si="25"/>
        <v>Autlán</v>
      </c>
      <c r="X135" s="3" t="e">
        <f>C135=VLOOKUP($C135,PólizaEstatal!$H$2:$H$82,1,FALSE)</f>
        <v>#N/A</v>
      </c>
      <c r="Y135" s="3" t="str">
        <f t="shared" si="29"/>
        <v>8AFER5AD9C6018758 JT20422</v>
      </c>
      <c r="AA135" s="3"/>
      <c r="AB135" s="3"/>
      <c r="AC135" s="11" t="str">
        <f>VLOOKUP($E135,'ResguardosXDir-CZ'!$C$2:$G$123,5,FALSE)</f>
        <v>09 AUTLAN</v>
      </c>
      <c r="AD135" s="11" t="str">
        <f>VLOOKUP($E135,'ResguardosXDir-CZ'!$C$2:$G$123,4,FALSE)</f>
        <v>Ramon Gómez Macedo</v>
      </c>
      <c r="AE135" s="4">
        <v>4</v>
      </c>
    </row>
    <row r="136" spans="1:31" s="5" customFormat="1" ht="15" customHeight="1" x14ac:dyDescent="0.25">
      <c r="A136" s="4" t="str">
        <f t="shared" si="30"/>
        <v>JT20421</v>
      </c>
      <c r="B136" s="3" t="str">
        <f t="shared" si="26"/>
        <v>INEA-54103-I-480800052-00047-15</v>
      </c>
      <c r="C136" s="3" t="str">
        <f t="shared" si="27"/>
        <v>8AFER5AD5C6019275</v>
      </c>
      <c r="D136" s="5">
        <v>152</v>
      </c>
      <c r="E136" s="5" t="s">
        <v>516</v>
      </c>
      <c r="F136" s="4">
        <f t="shared" si="28"/>
        <v>1</v>
      </c>
      <c r="G136" s="5" t="s">
        <v>434</v>
      </c>
      <c r="H136" s="3" t="s">
        <v>436</v>
      </c>
      <c r="I136" s="3" t="s">
        <v>681</v>
      </c>
      <c r="J136" s="5">
        <v>2012</v>
      </c>
      <c r="K136" s="5" t="s">
        <v>361</v>
      </c>
      <c r="L136" s="5" t="s">
        <v>4</v>
      </c>
      <c r="M136" s="5" t="s">
        <v>9</v>
      </c>
      <c r="N136" s="5" t="s">
        <v>469</v>
      </c>
      <c r="O136" s="4" t="s">
        <v>733</v>
      </c>
      <c r="P136" s="5" t="s">
        <v>392</v>
      </c>
      <c r="R136" s="3" t="e">
        <f ca="1">IF(OR(CELL("contenido",O136)="Baja",CELL("contenido",J136)&gt;2015,CELL("contenido",F136)="N/A"),"N/A",VLOOKUP(F136,#REF!,2,FALSE))</f>
        <v>#REF!</v>
      </c>
      <c r="S136" s="3" t="e">
        <f ca="1">IF(OR(CELL("contenido",O136)="Baja",CELL("contenido",J136)&gt;2015,CELL("contenido",F136)="N/A"),"N/A",VLOOKUP(F136,#REF!,2,FALSE))</f>
        <v>#REF!</v>
      </c>
      <c r="T136" s="3" t="e">
        <f ca="1">IF(OR(CELL("contenido",O136)="Baja",CELL("contenido",J136)&gt;2015,CELL("contenido",F136)="N/A"),"N/A",VLOOKUP(F136,#REF!,2,FALSE))</f>
        <v>#REF!</v>
      </c>
      <c r="U136" s="3" t="e">
        <f ca="1">IF(OR(CELL("contenido",O136)="Baja",CELL("contenido",J136)&gt;2015,CELL("contenido",F136)="N/A"),"N/A",VLOOKUP(F136,#REF!,2,FALSE))</f>
        <v>#REF!</v>
      </c>
      <c r="V136" s="3" t="str">
        <f t="shared" ca="1" si="31"/>
        <v>Activo</v>
      </c>
      <c r="W136" s="3" t="str">
        <f t="shared" si="25"/>
        <v>Ameca</v>
      </c>
      <c r="X136" s="3" t="e">
        <f>C136=VLOOKUP($C136,PólizaEstatal!$H$2:$H$82,1,FALSE)</f>
        <v>#N/A</v>
      </c>
      <c r="Y136" s="3" t="str">
        <f t="shared" si="29"/>
        <v>8AFER5AD5C6019275 JT20421</v>
      </c>
      <c r="AA136" s="3"/>
      <c r="AB136" s="3"/>
      <c r="AC136" s="11" t="str">
        <f>VLOOKUP($E136,'ResguardosXDir-CZ'!$C$2:$G$123,5,FALSE)</f>
        <v>12 AMECA</v>
      </c>
      <c r="AD136" s="11" t="str">
        <f>VLOOKUP($E136,'ResguardosXDir-CZ'!$C$2:$G$123,4,FALSE)</f>
        <v>Cesar Octavio Salazar Murillo</v>
      </c>
      <c r="AE136" s="4">
        <v>4</v>
      </c>
    </row>
    <row r="137" spans="1:31" s="5" customFormat="1" ht="12" hidden="1" customHeight="1" x14ac:dyDescent="0.25">
      <c r="A137" s="4" t="str">
        <f t="shared" si="30"/>
        <v>JT20465</v>
      </c>
      <c r="B137" s="3" t="str">
        <f t="shared" si="26"/>
        <v>INEA-54103-I-480800028-00006-15</v>
      </c>
      <c r="C137" s="3" t="str">
        <f t="shared" si="27"/>
        <v>1FDEF3G68CEA36070</v>
      </c>
      <c r="D137" s="5">
        <v>153</v>
      </c>
      <c r="E137" s="5" t="s">
        <v>551</v>
      </c>
      <c r="F137" s="4">
        <f t="shared" si="28"/>
        <v>5</v>
      </c>
      <c r="G137" s="5" t="s">
        <v>434</v>
      </c>
      <c r="H137" s="3" t="s">
        <v>453</v>
      </c>
      <c r="I137" s="3" t="s">
        <v>681</v>
      </c>
      <c r="J137" s="5">
        <v>2012</v>
      </c>
      <c r="K137" s="5" t="s">
        <v>368</v>
      </c>
      <c r="L137" s="5" t="s">
        <v>4</v>
      </c>
      <c r="M137" s="5" t="s">
        <v>9</v>
      </c>
      <c r="N137" s="5" t="s">
        <v>614</v>
      </c>
      <c r="O137" s="5" t="s">
        <v>488</v>
      </c>
      <c r="P137" s="5" t="s">
        <v>391</v>
      </c>
      <c r="R137" s="3" t="e">
        <f ca="1">IF(OR(CELL("contenido",O137)="Baja",CELL("contenido",J137)&gt;2015,CELL("contenido",F137)="N/A"),"N/A",VLOOKUP(F137,#REF!,2,FALSE))</f>
        <v>#REF!</v>
      </c>
      <c r="S137" s="3" t="e">
        <f ca="1">IF(OR(CELL("contenido",O137)="Baja",CELL("contenido",J137)&gt;2015,CELL("contenido",F137)="N/A"),"N/A",VLOOKUP(F137,#REF!,2,FALSE))</f>
        <v>#REF!</v>
      </c>
      <c r="T137" s="3" t="e">
        <f ca="1">IF(OR(CELL("contenido",O137)="Baja",CELL("contenido",J137)&gt;2015,CELL("contenido",F137)="N/A"),"N/A",VLOOKUP(F137,#REF!,2,FALSE))</f>
        <v>#REF!</v>
      </c>
      <c r="U137" s="3" t="e">
        <f ca="1">IF(OR(CELL("contenido",O137)="Baja",CELL("contenido",J137)&gt;2015,CELL("contenido",F137)="N/A"),"N/A",VLOOKUP(F137,#REF!,2,FALSE))</f>
        <v>#REF!</v>
      </c>
      <c r="V137" s="3" t="str">
        <f t="shared" ca="1" si="31"/>
        <v>Activo</v>
      </c>
      <c r="W137" s="3" t="str">
        <f t="shared" si="25"/>
        <v>Zona Metropolitana de Guadalajara</v>
      </c>
      <c r="X137" s="3" t="e">
        <f>C137=VLOOKUP($C137,PólizaEstatal!$H$2:$H$82,1,FALSE)</f>
        <v>#N/A</v>
      </c>
      <c r="Y137" s="3" t="str">
        <f t="shared" si="29"/>
        <v>1FDEF3G68CEA36070 JT20465</v>
      </c>
      <c r="AA137" s="3"/>
      <c r="AB137" s="3"/>
      <c r="AC137" s="11" t="str">
        <f>VLOOKUP($E137,'ResguardosXDir-CZ'!$C$2:$G$123,5,FALSE)</f>
        <v>ALMACEN</v>
      </c>
      <c r="AD137" s="11" t="str">
        <f>VLOOKUP($E137,'ResguardosXDir-CZ'!$C$2:$G$123,4,FALSE)</f>
        <v>Jose Osorio Lomelí</v>
      </c>
      <c r="AE137" s="5">
        <v>8</v>
      </c>
    </row>
    <row r="138" spans="1:31" s="5" customFormat="1" ht="14.25" hidden="1" customHeight="1" x14ac:dyDescent="0.25">
      <c r="A138" s="4" t="str">
        <f t="shared" si="30"/>
        <v>JKF1435</v>
      </c>
      <c r="B138" s="3" t="str">
        <f t="shared" si="26"/>
        <v>INEA-54103-I-480800014-00014-15</v>
      </c>
      <c r="C138" s="3" t="str">
        <f t="shared" si="27"/>
        <v>3G1TA5AF7DL107851</v>
      </c>
      <c r="D138" s="5">
        <v>154</v>
      </c>
      <c r="E138" s="5" t="s">
        <v>404</v>
      </c>
      <c r="F138" s="4">
        <f t="shared" si="28"/>
        <v>5</v>
      </c>
      <c r="G138" s="5" t="s">
        <v>425</v>
      </c>
      <c r="H138" s="3" t="s">
        <v>429</v>
      </c>
      <c r="I138" s="3" t="s">
        <v>681</v>
      </c>
      <c r="J138" s="5">
        <v>2013</v>
      </c>
      <c r="K138" s="5" t="s">
        <v>372</v>
      </c>
      <c r="L138" s="5" t="s">
        <v>17</v>
      </c>
      <c r="M138" s="5" t="s">
        <v>9</v>
      </c>
      <c r="N138" s="4" t="s">
        <v>816</v>
      </c>
      <c r="O138" s="4" t="s">
        <v>815</v>
      </c>
      <c r="P138" s="5" t="s">
        <v>721</v>
      </c>
      <c r="Q138" s="5" t="s">
        <v>719</v>
      </c>
      <c r="R138" s="3" t="e">
        <f ca="1">IF(OR(CELL("contenido",O138)="Baja",CELL("contenido",J138)&gt;2015,CELL("contenido",F138)="N/A"),"N/A",VLOOKUP(F138,#REF!,2,FALSE))</f>
        <v>#REF!</v>
      </c>
      <c r="S138" s="3" t="e">
        <f ca="1">IF(OR(CELL("contenido",O138)="Baja",CELL("contenido",J138)&gt;2015,CELL("contenido",F138)="N/A"),"N/A",VLOOKUP(F138,#REF!,2,FALSE))</f>
        <v>#REF!</v>
      </c>
      <c r="T138" s="3" t="e">
        <f ca="1">IF(OR(CELL("contenido",O138)="Baja",CELL("contenido",J138)&gt;2015,CELL("contenido",F138)="N/A"),"N/A",VLOOKUP(F138,#REF!,2,FALSE))</f>
        <v>#REF!</v>
      </c>
      <c r="U138" s="3" t="e">
        <f ca="1">IF(OR(CELL("contenido",O138)="Baja",CELL("contenido",J138)&gt;2015,CELL("contenido",F138)="N/A"),"N/A",VLOOKUP(F138,#REF!,2,FALSE))</f>
        <v>#REF!</v>
      </c>
      <c r="V138" s="3" t="str">
        <f ca="1">IF(CELL("contenido",O138)&lt;&gt;"Baja","Activo",O138)</f>
        <v>Activo</v>
      </c>
      <c r="W138" s="3" t="str">
        <f t="shared" si="25"/>
        <v>Zona Metropolitana de Guadalajara</v>
      </c>
      <c r="X138" s="3" t="e">
        <f>C138=VLOOKUP($C138,PólizaEstatal!$H$2:$H$82,1,FALSE)</f>
        <v>#N/A</v>
      </c>
      <c r="Y138" s="3" t="str">
        <f t="shared" si="29"/>
        <v>3G1TA5AF7DL107851 JKF1435</v>
      </c>
      <c r="AC138" s="11" t="str">
        <f>VLOOKUP($E138,'ResguardosXDir-CZ'!$C$2:$G$123,5,FALSE)</f>
        <v>PLANEACIÓN</v>
      </c>
      <c r="AD138" s="11" t="str">
        <f>VLOOKUP($E138,'ResguardosXDir-CZ'!$C$2:$G$123,4,FALSE)</f>
        <v>Jose Manuel Del Río Rosales</v>
      </c>
      <c r="AE138" s="4">
        <v>4</v>
      </c>
    </row>
    <row r="139" spans="1:31" s="5" customFormat="1" ht="14.25" customHeight="1" x14ac:dyDescent="0.25">
      <c r="A139" s="4" t="str">
        <f t="shared" si="30"/>
        <v>JT62641</v>
      </c>
      <c r="B139" s="3" t="str">
        <f t="shared" si="26"/>
        <v>INEA-54103-I-480800052-00050-15</v>
      </c>
      <c r="C139" s="3" t="str">
        <f t="shared" si="27"/>
        <v>8AFER5AD0C6018843</v>
      </c>
      <c r="D139" s="5">
        <v>155</v>
      </c>
      <c r="E139" s="5" t="s">
        <v>557</v>
      </c>
      <c r="F139" s="4">
        <f t="shared" si="28"/>
        <v>1</v>
      </c>
      <c r="G139" s="5" t="s">
        <v>434</v>
      </c>
      <c r="H139" s="3" t="s">
        <v>436</v>
      </c>
      <c r="I139" s="3" t="s">
        <v>681</v>
      </c>
      <c r="J139" s="5">
        <v>2012</v>
      </c>
      <c r="K139" s="5" t="s">
        <v>378</v>
      </c>
      <c r="L139" s="5" t="s">
        <v>4</v>
      </c>
      <c r="M139" s="5" t="s">
        <v>9</v>
      </c>
      <c r="N139" s="4" t="s">
        <v>685</v>
      </c>
      <c r="O139" s="4" t="s">
        <v>1031</v>
      </c>
      <c r="P139" s="5" t="s">
        <v>395</v>
      </c>
      <c r="Q139" s="5" t="s">
        <v>1030</v>
      </c>
      <c r="R139" s="3" t="e">
        <f ca="1">IF(OR(CELL("contenido",O139)="Baja",CELL("contenido",J139)&gt;2015,CELL("contenido",F139)="N/A"),"N/A",VLOOKUP(F139,#REF!,2,FALSE))</f>
        <v>#REF!</v>
      </c>
      <c r="S139" s="3" t="e">
        <f ca="1">IF(OR(CELL("contenido",O139)="Baja",CELL("contenido",J139)&gt;2015,CELL("contenido",F139)="N/A"),"N/A",VLOOKUP(F139,#REF!,2,FALSE))</f>
        <v>#REF!</v>
      </c>
      <c r="T139" s="3" t="e">
        <f ca="1">IF(OR(CELL("contenido",O139)="Baja",CELL("contenido",J139)&gt;2015,CELL("contenido",F139)="N/A"),"N/A",VLOOKUP(F139,#REF!,2,FALSE))</f>
        <v>#REF!</v>
      </c>
      <c r="U139" s="3" t="e">
        <f ca="1">IF(OR(CELL("contenido",O139)="Baja",CELL("contenido",J139)&gt;2015,CELL("contenido",F139)="N/A"),"N/A",VLOOKUP(F139,#REF!,2,FALSE))</f>
        <v>#REF!</v>
      </c>
      <c r="V139" s="3" t="str">
        <f t="shared" ca="1" si="31"/>
        <v>Activo</v>
      </c>
      <c r="W139" s="3" t="str">
        <f t="shared" si="25"/>
        <v>Zona Metropolitana de Guadalajara</v>
      </c>
      <c r="X139" s="3" t="e">
        <f>C139=VLOOKUP($C139,PólizaEstatal!$H$2:$H$82,1,FALSE)</f>
        <v>#N/A</v>
      </c>
      <c r="Y139" s="3" t="str">
        <f t="shared" si="29"/>
        <v>8AFER5AD0C6018843 JT62641</v>
      </c>
      <c r="AC139" s="11" t="str">
        <f>VLOOKUP($E139,'ResguardosXDir-CZ'!$C$2:$G$123,5,FALSE)</f>
        <v>INFORMATICA</v>
      </c>
      <c r="AD139" s="11" t="str">
        <f>VLOOKUP($E139,'ResguardosXDir-CZ'!$C$2:$G$123,4,FALSE)</f>
        <v>Israel Guizar Lomeli</v>
      </c>
      <c r="AE139" s="4">
        <v>4</v>
      </c>
    </row>
    <row r="140" spans="1:31" s="5" customFormat="1" ht="14.25" hidden="1" customHeight="1" x14ac:dyDescent="0.25">
      <c r="A140" s="4" t="str">
        <f t="shared" si="30"/>
        <v>JKF9539</v>
      </c>
      <c r="B140" s="3" t="str">
        <f t="shared" si="26"/>
        <v>INEA-54103-I-480800156-00028-15</v>
      </c>
      <c r="C140" s="3" t="str">
        <f t="shared" si="27"/>
        <v>1C4AJPAB8CD640268</v>
      </c>
      <c r="D140" s="5">
        <v>156</v>
      </c>
      <c r="E140" s="5" t="s">
        <v>406</v>
      </c>
      <c r="F140" s="4">
        <f t="shared" si="28"/>
        <v>9</v>
      </c>
      <c r="G140" s="5" t="s">
        <v>439</v>
      </c>
      <c r="H140" s="3" t="s">
        <v>440</v>
      </c>
      <c r="I140" s="3" t="s">
        <v>681</v>
      </c>
      <c r="J140" s="5">
        <v>2012</v>
      </c>
      <c r="K140" s="5" t="s">
        <v>373</v>
      </c>
      <c r="L140" s="5" t="s">
        <v>374</v>
      </c>
      <c r="M140" s="5" t="s">
        <v>9</v>
      </c>
      <c r="N140" s="4" t="s">
        <v>1026</v>
      </c>
      <c r="O140" s="4" t="s">
        <v>887</v>
      </c>
      <c r="P140" s="5" t="s">
        <v>397</v>
      </c>
      <c r="Q140" s="5" t="s">
        <v>1027</v>
      </c>
      <c r="R140" s="3" t="e">
        <f ca="1">IF(OR(CELL("contenido",O140)="Baja",CELL("contenido",J140)&gt;2015,CELL("contenido",F140)="N/A"),"N/A",VLOOKUP(F140,#REF!,2,FALSE))</f>
        <v>#REF!</v>
      </c>
      <c r="S140" s="3" t="e">
        <f ca="1">IF(OR(CELL("contenido",O140)="Baja",CELL("contenido",J140)&gt;2015,CELL("contenido",F140)="N/A"),"N/A",VLOOKUP(F140,#REF!,2,FALSE))</f>
        <v>#REF!</v>
      </c>
      <c r="T140" s="3" t="e">
        <f ca="1">IF(OR(CELL("contenido",O140)="Baja",CELL("contenido",J140)&gt;2015,CELL("contenido",F140)="N/A"),"N/A",VLOOKUP(F140,#REF!,2,FALSE))</f>
        <v>#REF!</v>
      </c>
      <c r="U140" s="3" t="e">
        <f ca="1">IF(OR(CELL("contenido",O140)="Baja",CELL("contenido",J140)&gt;2015,CELL("contenido",F140)="N/A"),"N/A",VLOOKUP(F140,#REF!,2,FALSE))</f>
        <v>#REF!</v>
      </c>
      <c r="V140" s="3" t="str">
        <f t="shared" ca="1" si="31"/>
        <v>Activo</v>
      </c>
      <c r="W140" s="3" t="str">
        <f t="shared" ref="W140:W167" si="32">VLOOKUP(N140,$AA$2:$AB$33,2,FALSE)</f>
        <v>Zona Metropolitana de Guadalajara</v>
      </c>
      <c r="X140" s="3" t="e">
        <f>C140=VLOOKUP($C140,PólizaEstatal!$H$2:$H$82,1,FALSE)</f>
        <v>#N/A</v>
      </c>
      <c r="Y140" s="3" t="str">
        <f t="shared" si="29"/>
        <v>1C4AJPAB8CD640268 JKF9539</v>
      </c>
      <c r="AC140" s="11" t="str">
        <f>VLOOKUP($E140,'ResguardosXDir-CZ'!$C$2:$G$123,5,FALSE)</f>
        <v>SGYRM</v>
      </c>
      <c r="AD140" s="11" t="str">
        <f>VLOOKUP($E140,'ResguardosXDir-CZ'!$C$2:$G$123,4,FALSE)</f>
        <v>David Josafat López Polanco</v>
      </c>
      <c r="AE140" s="5">
        <v>4</v>
      </c>
    </row>
    <row r="141" spans="1:31" s="5" customFormat="1" ht="14.25" hidden="1" customHeight="1" x14ac:dyDescent="0.25">
      <c r="A141" s="4" t="str">
        <f t="shared" si="30"/>
        <v>JKF9506</v>
      </c>
      <c r="B141" s="3" t="str">
        <f t="shared" si="26"/>
        <v>INEA-54103-I-480800156-00027-15</v>
      </c>
      <c r="C141" s="3" t="str">
        <f t="shared" si="27"/>
        <v>1FMNE1BW8CDA61944</v>
      </c>
      <c r="D141" s="5">
        <v>157</v>
      </c>
      <c r="E141" s="5" t="s">
        <v>567</v>
      </c>
      <c r="F141" s="4">
        <f t="shared" si="28"/>
        <v>6</v>
      </c>
      <c r="G141" s="3" t="s">
        <v>434</v>
      </c>
      <c r="H141" s="5" t="s">
        <v>379</v>
      </c>
      <c r="I141" s="5" t="s">
        <v>681</v>
      </c>
      <c r="J141" s="5">
        <v>2012</v>
      </c>
      <c r="K141" s="5" t="s">
        <v>380</v>
      </c>
      <c r="L141" s="5" t="s">
        <v>381</v>
      </c>
      <c r="M141" s="5" t="s">
        <v>9</v>
      </c>
      <c r="N141" s="4" t="s">
        <v>485</v>
      </c>
      <c r="O141" s="4" t="s">
        <v>851</v>
      </c>
      <c r="P141" s="5" t="s">
        <v>390</v>
      </c>
      <c r="R141" s="3" t="e">
        <f ca="1">IF(OR(CELL("contenido",O141)="Baja",CELL("contenido",J141)&gt;2015,CELL("contenido",F141)="N/A"),"N/A",VLOOKUP(F141,#REF!,2,FALSE))</f>
        <v>#REF!</v>
      </c>
      <c r="S141" s="3" t="e">
        <f ca="1">IF(OR(CELL("contenido",O141)="Baja",CELL("contenido",J141)&gt;2015,CELL("contenido",F141)="N/A"),"N/A",VLOOKUP(F141,#REF!,2,FALSE))</f>
        <v>#REF!</v>
      </c>
      <c r="T141" s="3" t="e">
        <f ca="1">IF(OR(CELL("contenido",O141)="Baja",CELL("contenido",J141)&gt;2015,CELL("contenido",F141)="N/A"),"N/A",VLOOKUP(F141,#REF!,2,FALSE))</f>
        <v>#REF!</v>
      </c>
      <c r="U141" s="3" t="e">
        <f ca="1">IF(OR(CELL("contenido",O141)="Baja",CELL("contenido",J141)&gt;2015,CELL("contenido",F141)="N/A"),"N/A",VLOOKUP(F141,#REF!,2,FALSE))</f>
        <v>#REF!</v>
      </c>
      <c r="V141" s="3" t="str">
        <f t="shared" ca="1" si="31"/>
        <v>Activo</v>
      </c>
      <c r="W141" s="3" t="str">
        <f t="shared" si="32"/>
        <v>Zona Metropolitana de Guadalajara</v>
      </c>
      <c r="X141" s="3" t="e">
        <f>C141=VLOOKUP($C141,PólizaEstatal!$H$2:$H$82,1,FALSE)</f>
        <v>#N/A</v>
      </c>
      <c r="Y141" s="3" t="str">
        <f t="shared" si="29"/>
        <v>1FMNE1BW8CDA61944 JKF9506</v>
      </c>
      <c r="AC141" s="11" t="str">
        <f>VLOOKUP($E141,'ResguardosXDir-CZ'!$C$2:$G$123,5,FALSE)</f>
        <v>SGYRM</v>
      </c>
      <c r="AD141" s="11" t="str">
        <f>VLOOKUP($E141,'ResguardosXDir-CZ'!$C$2:$G$123,4,FALSE)</f>
        <v>David Josafat López Polanco</v>
      </c>
      <c r="AE141" s="5">
        <v>8</v>
      </c>
    </row>
    <row r="142" spans="1:31" ht="14.25" hidden="1" customHeight="1" x14ac:dyDescent="0.2">
      <c r="A142" s="4" t="str">
        <f t="shared" si="30"/>
        <v>MSV4498</v>
      </c>
      <c r="B142" s="3" t="str">
        <f t="shared" si="26"/>
        <v>Sin número de inventario</v>
      </c>
      <c r="C142" s="3" t="str">
        <f t="shared" si="27"/>
        <v>MMBMG46H9FD032474</v>
      </c>
      <c r="D142" s="4" t="s">
        <v>357</v>
      </c>
      <c r="E142" s="4" t="s">
        <v>365</v>
      </c>
      <c r="F142" s="4" t="s">
        <v>604</v>
      </c>
      <c r="G142" s="4" t="s">
        <v>441</v>
      </c>
      <c r="H142" s="3" t="s">
        <v>442</v>
      </c>
      <c r="J142" s="4">
        <v>2015</v>
      </c>
      <c r="K142" s="5" t="s">
        <v>366</v>
      </c>
      <c r="L142" s="4" t="s">
        <v>367</v>
      </c>
      <c r="M142" s="4" t="s">
        <v>383</v>
      </c>
      <c r="N142" s="4" t="s">
        <v>485</v>
      </c>
      <c r="O142" s="4" t="s">
        <v>487</v>
      </c>
      <c r="P142" s="4" t="s">
        <v>679</v>
      </c>
      <c r="Q142" s="4" t="s">
        <v>715</v>
      </c>
      <c r="R142" s="3" t="str">
        <f ca="1">IF(OR(CELL("contenido",O142)="Baja",CELL("contenido",J142)&gt;2015,CELL("contenido",F142)="N/A"),"N/A",VLOOKUP(F142,#REF!,2,FALSE))</f>
        <v>N/A</v>
      </c>
      <c r="S142" s="3" t="str">
        <f ca="1">IF(OR(CELL("contenido",O142)="Baja",CELL("contenido",J142)&gt;2015,CELL("contenido",F142)="N/A"),"N/A",VLOOKUP(F142,#REF!,2,FALSE))</f>
        <v>N/A</v>
      </c>
      <c r="T142" s="3" t="str">
        <f ca="1">IF(OR(CELL("contenido",O142)="Baja",CELL("contenido",J142)&gt;2015,CELL("contenido",F142)="N/A"),"N/A",VLOOKUP(F142,#REF!,2,FALSE))</f>
        <v>N/A</v>
      </c>
      <c r="U142" s="3" t="str">
        <f ca="1">IF(OR(CELL("contenido",O142)="Baja",CELL("contenido",J142)&gt;2015,CELL("contenido",F142)="N/A"),"N/A",VLOOKUP(F142,#REF!,2,FALSE))</f>
        <v>N/A</v>
      </c>
      <c r="V142" s="3" t="str">
        <f t="shared" ca="1" si="31"/>
        <v>Baja</v>
      </c>
      <c r="W142" s="3" t="str">
        <f t="shared" si="32"/>
        <v>Zona Metropolitana de Guadalajara</v>
      </c>
      <c r="X142" s="3" t="e">
        <f>C142=VLOOKUP($C142,PólizaEstatal!$H$2:$H$82,1,FALSE)</f>
        <v>#N/A</v>
      </c>
      <c r="Y142" s="3" t="str">
        <f t="shared" si="29"/>
        <v>MMBMG46H9FD032474 MSV4498</v>
      </c>
      <c r="AA142" s="5"/>
      <c r="AB142" s="5"/>
      <c r="AC142" s="71" t="e">
        <f>VLOOKUP($E142,'ResguardosXDir-CZ'!$C$2:$G$123,5,FALSE)</f>
        <v>#N/A</v>
      </c>
      <c r="AD142" s="71" t="e">
        <f>VLOOKUP($E142,'ResguardosXDir-CZ'!$C$2:$G$123,4,FALSE)</f>
        <v>#N/A</v>
      </c>
      <c r="AE142" s="5" t="s">
        <v>957</v>
      </c>
    </row>
    <row r="143" spans="1:31" ht="14.25" hidden="1" customHeight="1" x14ac:dyDescent="0.2">
      <c r="A143" s="4" t="str">
        <f t="shared" si="30"/>
        <v>518ZVV</v>
      </c>
      <c r="B143" s="3" t="str">
        <f t="shared" si="26"/>
        <v>Sin número de inventario</v>
      </c>
      <c r="C143" s="3" t="str">
        <f t="shared" si="27"/>
        <v>MMBMG46HXDO32175</v>
      </c>
      <c r="D143" s="4" t="s">
        <v>357</v>
      </c>
      <c r="E143" s="4" t="s">
        <v>375</v>
      </c>
      <c r="F143" s="4" t="s">
        <v>604</v>
      </c>
      <c r="G143" s="4" t="s">
        <v>441</v>
      </c>
      <c r="H143" s="3" t="s">
        <v>442</v>
      </c>
      <c r="J143" s="4">
        <v>2015</v>
      </c>
      <c r="K143" s="5" t="s">
        <v>376</v>
      </c>
      <c r="L143" s="4" t="s">
        <v>377</v>
      </c>
      <c r="M143" s="4" t="s">
        <v>383</v>
      </c>
      <c r="N143" s="9" t="s">
        <v>485</v>
      </c>
      <c r="O143" s="4" t="s">
        <v>487</v>
      </c>
      <c r="P143" s="4" t="s">
        <v>679</v>
      </c>
      <c r="Q143" s="4" t="s">
        <v>715</v>
      </c>
      <c r="R143" s="3" t="str">
        <f ca="1">IF(OR(CELL("contenido",O143)="Baja",CELL("contenido",J143)&gt;2015,CELL("contenido",F143)="N/A"),"N/A",VLOOKUP(F143,#REF!,2,FALSE))</f>
        <v>N/A</v>
      </c>
      <c r="S143" s="3" t="str">
        <f ca="1">IF(OR(CELL("contenido",O143)="Baja",CELL("contenido",J143)&gt;2015,CELL("contenido",F143)="N/A"),"N/A",VLOOKUP(F143,#REF!,2,FALSE))</f>
        <v>N/A</v>
      </c>
      <c r="T143" s="3" t="str">
        <f ca="1">IF(OR(CELL("contenido",O143)="Baja",CELL("contenido",J143)&gt;2015,CELL("contenido",F143)="N/A"),"N/A",VLOOKUP(F143,#REF!,2,FALSE))</f>
        <v>N/A</v>
      </c>
      <c r="U143" s="3" t="str">
        <f ca="1">IF(OR(CELL("contenido",O143)="Baja",CELL("contenido",J143)&gt;2015,CELL("contenido",F143)="N/A"),"N/A",VLOOKUP(F143,#REF!,2,FALSE))</f>
        <v>N/A</v>
      </c>
      <c r="V143" s="3" t="str">
        <f t="shared" ca="1" si="31"/>
        <v>Baja</v>
      </c>
      <c r="W143" s="3" t="str">
        <f t="shared" si="32"/>
        <v>Zona Metropolitana de Guadalajara</v>
      </c>
      <c r="X143" s="3" t="e">
        <f>C143=VLOOKUP($C143,PólizaEstatal!$H$2:$H$82,1,FALSE)</f>
        <v>#N/A</v>
      </c>
      <c r="Y143" s="3" t="str">
        <f t="shared" si="29"/>
        <v>MMBMG46HXDO32175 518ZVV</v>
      </c>
      <c r="AA143" s="5"/>
      <c r="AB143" s="5"/>
      <c r="AC143" s="71" t="e">
        <f>VLOOKUP($E143,'ResguardosXDir-CZ'!$C$2:$G$123,5,FALSE)</f>
        <v>#N/A</v>
      </c>
      <c r="AD143" s="71" t="e">
        <f>VLOOKUP($E143,'ResguardosXDir-CZ'!$C$2:$G$123,4,FALSE)</f>
        <v>#N/A</v>
      </c>
      <c r="AE143" s="5" t="s">
        <v>957</v>
      </c>
    </row>
    <row r="144" spans="1:31" ht="14.25" hidden="1" customHeight="1" x14ac:dyDescent="0.2">
      <c r="A144" s="4" t="str">
        <f t="shared" si="30"/>
        <v>889ZVU</v>
      </c>
      <c r="B144" s="3" t="str">
        <f t="shared" si="26"/>
        <v>Sin número de inventario</v>
      </c>
      <c r="C144" s="3" t="str">
        <f t="shared" si="27"/>
        <v>3GNAL7EKXFS538101</v>
      </c>
      <c r="D144" s="3" t="s">
        <v>357</v>
      </c>
      <c r="E144" s="3" t="s">
        <v>618</v>
      </c>
      <c r="F144" s="4" t="s">
        <v>604</v>
      </c>
      <c r="G144" s="3" t="s">
        <v>425</v>
      </c>
      <c r="H144" s="3" t="s">
        <v>430</v>
      </c>
      <c r="J144" s="3">
        <v>2015</v>
      </c>
      <c r="K144" s="5" t="s">
        <v>417</v>
      </c>
      <c r="L144" s="3" t="s">
        <v>4</v>
      </c>
      <c r="M144" s="4" t="s">
        <v>383</v>
      </c>
      <c r="N144" s="9" t="s">
        <v>485</v>
      </c>
      <c r="O144" s="4" t="s">
        <v>487</v>
      </c>
      <c r="P144" s="4" t="s">
        <v>679</v>
      </c>
      <c r="Q144" s="4" t="s">
        <v>715</v>
      </c>
      <c r="R144" s="3" t="str">
        <f ca="1">IF(OR(CELL("contenido",O144)="Baja",CELL("contenido",J144)&gt;2015,CELL("contenido",F144)="N/A"),"N/A",VLOOKUP(F144,#REF!,2,FALSE))</f>
        <v>N/A</v>
      </c>
      <c r="S144" s="3" t="str">
        <f ca="1">IF(OR(CELL("contenido",O144)="Baja",CELL("contenido",J144)&gt;2015,CELL("contenido",F144)="N/A"),"N/A",VLOOKUP(F144,#REF!,2,FALSE))</f>
        <v>N/A</v>
      </c>
      <c r="T144" s="3" t="str">
        <f ca="1">IF(OR(CELL("contenido",O144)="Baja",CELL("contenido",J144)&gt;2015,CELL("contenido",F144)="N/A"),"N/A",VLOOKUP(F144,#REF!,2,FALSE))</f>
        <v>N/A</v>
      </c>
      <c r="U144" s="3" t="str">
        <f ca="1">IF(OR(CELL("contenido",O144)="Baja",CELL("contenido",J144)&gt;2015,CELL("contenido",F144)="N/A"),"N/A",VLOOKUP(F144,#REF!,2,FALSE))</f>
        <v>N/A</v>
      </c>
      <c r="V144" s="3" t="str">
        <f t="shared" ca="1" si="31"/>
        <v>Baja</v>
      </c>
      <c r="W144" s="3" t="str">
        <f t="shared" si="32"/>
        <v>Zona Metropolitana de Guadalajara</v>
      </c>
      <c r="X144" s="3" t="e">
        <f>C144=VLOOKUP($C144,PólizaEstatal!$H$2:$H$82,1,FALSE)</f>
        <v>#N/A</v>
      </c>
      <c r="Y144" s="3" t="str">
        <f t="shared" si="29"/>
        <v>3GNAL7EKXFS538101 889ZVU</v>
      </c>
      <c r="AA144" s="5"/>
      <c r="AB144" s="5"/>
      <c r="AC144" s="71" t="e">
        <f>VLOOKUP($E144,'ResguardosXDir-CZ'!$C$2:$G$123,5,FALSE)</f>
        <v>#N/A</v>
      </c>
      <c r="AD144" s="71" t="e">
        <f>VLOOKUP($E144,'ResguardosXDir-CZ'!$C$2:$G$123,4,FALSE)</f>
        <v>#N/A</v>
      </c>
      <c r="AE144" s="5" t="s">
        <v>957</v>
      </c>
    </row>
    <row r="145" spans="1:31" ht="14.25" hidden="1" customHeight="1" x14ac:dyDescent="0.2">
      <c r="A145" s="4" t="str">
        <f t="shared" si="30"/>
        <v>MSV9907</v>
      </c>
      <c r="B145" s="3" t="str">
        <f t="shared" si="26"/>
        <v>Sin número de inventario</v>
      </c>
      <c r="C145" s="3" t="str">
        <f t="shared" si="27"/>
        <v>MMBMG46H4FD032480</v>
      </c>
      <c r="D145" s="4" t="s">
        <v>357</v>
      </c>
      <c r="E145" s="4" t="s">
        <v>369</v>
      </c>
      <c r="F145" s="4" t="s">
        <v>604</v>
      </c>
      <c r="G145" s="4" t="s">
        <v>441</v>
      </c>
      <c r="H145" s="3" t="s">
        <v>442</v>
      </c>
      <c r="J145" s="4">
        <v>2015</v>
      </c>
      <c r="K145" s="5" t="s">
        <v>370</v>
      </c>
      <c r="L145" s="4" t="s">
        <v>371</v>
      </c>
      <c r="M145" s="4" t="s">
        <v>383</v>
      </c>
      <c r="N145" s="9" t="s">
        <v>485</v>
      </c>
      <c r="O145" s="4" t="s">
        <v>487</v>
      </c>
      <c r="P145" s="4" t="s">
        <v>679</v>
      </c>
      <c r="Q145" s="4" t="s">
        <v>715</v>
      </c>
      <c r="R145" s="3" t="str">
        <f ca="1">IF(OR(CELL("contenido",O145)="Baja",CELL("contenido",J145)&gt;2015,CELL("contenido",F145)="N/A"),"N/A",VLOOKUP(F145,#REF!,2,FALSE))</f>
        <v>N/A</v>
      </c>
      <c r="S145" s="3" t="str">
        <f ca="1">IF(OR(CELL("contenido",O145)="Baja",CELL("contenido",J145)&gt;2015,CELL("contenido",F145)="N/A"),"N/A",VLOOKUP(F145,#REF!,2,FALSE))</f>
        <v>N/A</v>
      </c>
      <c r="T145" s="3" t="str">
        <f ca="1">IF(OR(CELL("contenido",O145)="Baja",CELL("contenido",J145)&gt;2015,CELL("contenido",F145)="N/A"),"N/A",VLOOKUP(F145,#REF!,2,FALSE))</f>
        <v>N/A</v>
      </c>
      <c r="U145" s="3" t="str">
        <f ca="1">IF(OR(CELL("contenido",O145)="Baja",CELL("contenido",J145)&gt;2015,CELL("contenido",F145)="N/A"),"N/A",VLOOKUP(F145,#REF!,2,FALSE))</f>
        <v>N/A</v>
      </c>
      <c r="V145" s="3" t="str">
        <f t="shared" ca="1" si="31"/>
        <v>Baja</v>
      </c>
      <c r="W145" s="3" t="str">
        <f t="shared" si="32"/>
        <v>Zona Metropolitana de Guadalajara</v>
      </c>
      <c r="X145" s="3" t="e">
        <f>C145=VLOOKUP($C145,PólizaEstatal!$H$2:$H$82,1,FALSE)</f>
        <v>#N/A</v>
      </c>
      <c r="Y145" s="3" t="str">
        <f t="shared" si="29"/>
        <v>MMBMG46H4FD032480 MSV9907</v>
      </c>
      <c r="AA145" s="5"/>
      <c r="AB145" s="5"/>
      <c r="AC145" s="71" t="e">
        <f>VLOOKUP($E145,'ResguardosXDir-CZ'!$C$2:$G$123,5,FALSE)</f>
        <v>#N/A</v>
      </c>
      <c r="AD145" s="71" t="e">
        <f>VLOOKUP($E145,'ResguardosXDir-CZ'!$C$2:$G$123,4,FALSE)</f>
        <v>#N/A</v>
      </c>
      <c r="AE145" s="5" t="s">
        <v>957</v>
      </c>
    </row>
    <row r="146" spans="1:31" ht="14.25" hidden="1" customHeight="1" x14ac:dyDescent="0.2">
      <c r="A146" s="4" t="str">
        <f t="shared" si="30"/>
        <v>C14ASA</v>
      </c>
      <c r="B146" s="3" t="str">
        <f t="shared" si="26"/>
        <v>Sin número de inventario</v>
      </c>
      <c r="C146" s="3" t="str">
        <f t="shared" si="27"/>
        <v>MMBML45G6HH034425</v>
      </c>
      <c r="D146" s="4" t="s">
        <v>357</v>
      </c>
      <c r="E146" s="4" t="s">
        <v>418</v>
      </c>
      <c r="F146" s="4" t="s">
        <v>604</v>
      </c>
      <c r="G146" s="4" t="s">
        <v>441</v>
      </c>
      <c r="H146" s="3" t="s">
        <v>442</v>
      </c>
      <c r="J146" s="4">
        <v>2016</v>
      </c>
      <c r="K146" s="5" t="s">
        <v>419</v>
      </c>
      <c r="L146" s="4" t="s">
        <v>381</v>
      </c>
      <c r="M146" s="4" t="s">
        <v>383</v>
      </c>
      <c r="N146" s="9" t="s">
        <v>485</v>
      </c>
      <c r="O146" s="3" t="s">
        <v>487</v>
      </c>
      <c r="P146" s="4" t="s">
        <v>679</v>
      </c>
      <c r="Q146" s="4" t="s">
        <v>694</v>
      </c>
      <c r="R146" s="3" t="str">
        <f ca="1">IF(OR(CELL("contenido",O146)="Baja",CELL("contenido",J146)&gt;2015,CELL("contenido",F146)="N/A"),"N/A",VLOOKUP(F146,#REF!,2,FALSE))</f>
        <v>N/A</v>
      </c>
      <c r="S146" s="3" t="str">
        <f ca="1">IF(OR(CELL("contenido",O146)="Baja",CELL("contenido",J146)&gt;2015,CELL("contenido",F146)="N/A"),"N/A",VLOOKUP(F146,#REF!,2,FALSE))</f>
        <v>N/A</v>
      </c>
      <c r="T146" s="3" t="str">
        <f ca="1">IF(OR(CELL("contenido",O146)="Baja",CELL("contenido",J146)&gt;2015,CELL("contenido",F146)="N/A"),"N/A",VLOOKUP(F146,#REF!,2,FALSE))</f>
        <v>N/A</v>
      </c>
      <c r="U146" s="3" t="str">
        <f ca="1">IF(OR(CELL("contenido",O146)="Baja",CELL("contenido",J146)&gt;2015,CELL("contenido",F146)="N/A"),"N/A",VLOOKUP(F146,#REF!,2,FALSE))</f>
        <v>N/A</v>
      </c>
      <c r="V146" s="3" t="str">
        <f t="shared" ca="1" si="31"/>
        <v>Baja</v>
      </c>
      <c r="W146" s="3" t="str">
        <f t="shared" si="32"/>
        <v>Zona Metropolitana de Guadalajara</v>
      </c>
      <c r="X146" s="3" t="e">
        <f>C146=VLOOKUP($C146,PólizaEstatal!$H$2:$H$82,1,FALSE)</f>
        <v>#N/A</v>
      </c>
      <c r="Y146" s="3" t="str">
        <f t="shared" si="29"/>
        <v>MMBML45G6HH034425 C14ASA</v>
      </c>
      <c r="AA146" s="5"/>
      <c r="AB146" s="5"/>
      <c r="AC146" s="71" t="e">
        <f>VLOOKUP($E146,'ResguardosXDir-CZ'!$C$2:$G$123,5,FALSE)</f>
        <v>#N/A</v>
      </c>
      <c r="AD146" s="71" t="e">
        <f>VLOOKUP($E146,'ResguardosXDir-CZ'!$C$2:$G$123,4,FALSE)</f>
        <v>#N/A</v>
      </c>
      <c r="AE146" s="5" t="s">
        <v>957</v>
      </c>
    </row>
    <row r="147" spans="1:31" ht="14.25" hidden="1" customHeight="1" x14ac:dyDescent="0.2">
      <c r="A147" s="4" t="str">
        <f t="shared" si="30"/>
        <v>891ZWZ</v>
      </c>
      <c r="B147" s="3" t="str">
        <f t="shared" si="26"/>
        <v>Sin número de inventario</v>
      </c>
      <c r="C147" s="3" t="str">
        <f t="shared" si="27"/>
        <v>MMBMG46H8FD032157</v>
      </c>
      <c r="D147" s="4" t="s">
        <v>357</v>
      </c>
      <c r="E147" s="4" t="s">
        <v>362</v>
      </c>
      <c r="F147" s="4" t="s">
        <v>604</v>
      </c>
      <c r="G147" s="4" t="s">
        <v>441</v>
      </c>
      <c r="H147" s="3" t="s">
        <v>442</v>
      </c>
      <c r="J147" s="4">
        <v>2015</v>
      </c>
      <c r="K147" s="5" t="s">
        <v>363</v>
      </c>
      <c r="L147" s="4" t="s">
        <v>364</v>
      </c>
      <c r="M147" s="4" t="s">
        <v>383</v>
      </c>
      <c r="N147" s="4" t="s">
        <v>485</v>
      </c>
      <c r="O147" s="4" t="s">
        <v>487</v>
      </c>
      <c r="P147" s="4" t="s">
        <v>679</v>
      </c>
      <c r="Q147" s="4" t="s">
        <v>420</v>
      </c>
      <c r="R147" s="3" t="str">
        <f ca="1">IF(OR(CELL("contenido",O147)="Baja",CELL("contenido",J147)&gt;2015,CELL("contenido",F147)="N/A"),"N/A",VLOOKUP(F147,#REF!,2,FALSE))</f>
        <v>N/A</v>
      </c>
      <c r="S147" s="3" t="str">
        <f ca="1">IF(OR(CELL("contenido",O147)="Baja",CELL("contenido",J147)&gt;2015,CELL("contenido",F147)="N/A"),"N/A",VLOOKUP(F147,#REF!,2,FALSE))</f>
        <v>N/A</v>
      </c>
      <c r="T147" s="3" t="str">
        <f ca="1">IF(OR(CELL("contenido",O147)="Baja",CELL("contenido",J147)&gt;2015,CELL("contenido",F147)="N/A"),"N/A",VLOOKUP(F147,#REF!,2,FALSE))</f>
        <v>N/A</v>
      </c>
      <c r="U147" s="3" t="str">
        <f ca="1">IF(OR(CELL("contenido",O147)="Baja",CELL("contenido",J147)&gt;2015,CELL("contenido",F147)="N/A"),"N/A",VLOOKUP(F147,#REF!,2,FALSE))</f>
        <v>N/A</v>
      </c>
      <c r="V147" s="3" t="str">
        <f t="shared" ca="1" si="31"/>
        <v>Baja</v>
      </c>
      <c r="W147" s="3" t="str">
        <f t="shared" si="32"/>
        <v>Zona Metropolitana de Guadalajara</v>
      </c>
      <c r="X147" s="3" t="e">
        <f>C147=VLOOKUP($C147,PólizaEstatal!$H$2:$H$82,1,FALSE)</f>
        <v>#N/A</v>
      </c>
      <c r="Y147" s="3" t="str">
        <f t="shared" si="29"/>
        <v>MMBMG46H8FD032157 891ZWZ</v>
      </c>
      <c r="AC147" s="71" t="e">
        <f>VLOOKUP($E147,'ResguardosXDir-CZ'!$C$2:$G$123,5,FALSE)</f>
        <v>#N/A</v>
      </c>
      <c r="AD147" s="71" t="e">
        <f>VLOOKUP($E147,'ResguardosXDir-CZ'!$C$2:$G$123,4,FALSE)</f>
        <v>#N/A</v>
      </c>
      <c r="AE147" s="5" t="s">
        <v>957</v>
      </c>
    </row>
    <row r="148" spans="1:31" ht="15" hidden="1" customHeight="1" x14ac:dyDescent="0.25">
      <c r="A148" s="4" t="str">
        <f t="shared" si="30"/>
        <v>NEH6569</v>
      </c>
      <c r="B148" s="3" t="str">
        <f t="shared" ref="B148:B167" si="33">P148</f>
        <v>Sin número de inventario</v>
      </c>
      <c r="C148" s="3" t="str">
        <f t="shared" ref="C148:C167" si="34">K148</f>
        <v>3N6AD33AXJK861241</v>
      </c>
      <c r="D148" s="3" t="s">
        <v>760</v>
      </c>
      <c r="E148" s="3" t="s">
        <v>627</v>
      </c>
      <c r="F148" s="4" t="s">
        <v>604</v>
      </c>
      <c r="G148" s="3" t="s">
        <v>426</v>
      </c>
      <c r="H148" s="3" t="s">
        <v>643</v>
      </c>
      <c r="I148" s="3" t="s">
        <v>681</v>
      </c>
      <c r="J148" s="3">
        <v>2018</v>
      </c>
      <c r="K148" s="5" t="s">
        <v>661</v>
      </c>
      <c r="L148" s="3" t="s">
        <v>663</v>
      </c>
      <c r="M148" s="3" t="s">
        <v>662</v>
      </c>
      <c r="N148" s="3" t="s">
        <v>471</v>
      </c>
      <c r="O148" s="3" t="s">
        <v>490</v>
      </c>
      <c r="P148" s="4" t="s">
        <v>679</v>
      </c>
      <c r="Q148" s="3" t="s">
        <v>698</v>
      </c>
      <c r="R148" s="3" t="str">
        <f ca="1">IF(OR(CELL("contenido",O148)="Baja",CELL("contenido",J148)&gt;2015,CELL("contenido",F148)="N/A"),"N/A",VLOOKUP(F148,#REF!,2,FALSE))</f>
        <v>N/A</v>
      </c>
      <c r="S148" s="3" t="str">
        <f ca="1">IF(OR(CELL("contenido",O148)="Baja",CELL("contenido",J148)&gt;2015,CELL("contenido",F148)="N/A"),"N/A",VLOOKUP(F148,#REF!,2,FALSE))</f>
        <v>N/A</v>
      </c>
      <c r="T148" s="3" t="str">
        <f ca="1">IF(OR(CELL("contenido",O148)="Baja",CELL("contenido",J148)&gt;2015,CELL("contenido",F148)="N/A"),"N/A",VLOOKUP(F148,#REF!,2,FALSE))</f>
        <v>N/A</v>
      </c>
      <c r="U148" s="3" t="str">
        <f ca="1">IF(OR(CELL("contenido",O148)="Baja",CELL("contenido",J148)&gt;2015,CELL("contenido",F148)="N/A"),"N/A",VLOOKUP(F148,#REF!,2,FALSE))</f>
        <v>N/A</v>
      </c>
      <c r="V148" s="3" t="str">
        <f t="shared" ref="V148:V167" ca="1" si="35">IF(CELL("contenido",O148)&lt;&gt;"Baja","Activo",O148)</f>
        <v>Activo</v>
      </c>
      <c r="W148" s="3" t="str">
        <f t="shared" si="32"/>
        <v>Zona Metropolitana de Guadalajara</v>
      </c>
      <c r="X148" s="3" t="e">
        <f>C148=VLOOKUP($C148,PólizaEstatal!$H$2:$H$82,1,FALSE)</f>
        <v>#N/A</v>
      </c>
      <c r="Y148" s="3" t="str">
        <f t="shared" si="29"/>
        <v>3N6AD33AXJK861241 NEH6569</v>
      </c>
      <c r="AC148" s="11" t="str">
        <f>VLOOKUP($E148,'ResguardosXDir-CZ'!$C$2:$G$123,5,FALSE)</f>
        <v>18 ZAPOPAN</v>
      </c>
      <c r="AD148" s="11" t="str">
        <f>VLOOKUP($E148,'ResguardosXDir-CZ'!$C$2:$G$123,4,FALSE)</f>
        <v>María de los Remedios Serrano Gómez</v>
      </c>
      <c r="AE148" s="4">
        <v>4</v>
      </c>
    </row>
    <row r="149" spans="1:31" ht="15" hidden="1" customHeight="1" x14ac:dyDescent="0.25">
      <c r="A149" s="4" t="str">
        <f t="shared" si="30"/>
        <v>NMP8850</v>
      </c>
      <c r="B149" s="3" t="str">
        <f t="shared" si="33"/>
        <v>Sin número de inventario</v>
      </c>
      <c r="C149" s="3" t="str">
        <f t="shared" si="34"/>
        <v>3N6AD33AXJK862874</v>
      </c>
      <c r="D149" s="3" t="s">
        <v>759</v>
      </c>
      <c r="E149" s="3" t="s">
        <v>966</v>
      </c>
      <c r="F149" s="4" t="s">
        <v>604</v>
      </c>
      <c r="G149" s="3" t="s">
        <v>426</v>
      </c>
      <c r="H149" s="3" t="s">
        <v>643</v>
      </c>
      <c r="I149" s="3" t="s">
        <v>681</v>
      </c>
      <c r="J149" s="3">
        <v>2018</v>
      </c>
      <c r="K149" s="5" t="s">
        <v>655</v>
      </c>
      <c r="L149" s="3" t="s">
        <v>670</v>
      </c>
      <c r="M149" s="3" t="s">
        <v>662</v>
      </c>
      <c r="N149" s="3" t="s">
        <v>485</v>
      </c>
      <c r="O149" s="5" t="s">
        <v>851</v>
      </c>
      <c r="P149" s="4" t="s">
        <v>679</v>
      </c>
      <c r="Q149" s="3" t="s">
        <v>967</v>
      </c>
      <c r="R149" s="3" t="str">
        <f ca="1">IF(OR(CELL("contenido",O149)="Baja",CELL("contenido",J149)&gt;2015,CELL("contenido",F149)="N/A"),"N/A",VLOOKUP(F149,#REF!,2,FALSE))</f>
        <v>N/A</v>
      </c>
      <c r="S149" s="3" t="str">
        <f ca="1">IF(OR(CELL("contenido",O149)="Baja",CELL("contenido",J149)&gt;2015,CELL("contenido",F149)="N/A"),"N/A",VLOOKUP(F149,#REF!,2,FALSE))</f>
        <v>N/A</v>
      </c>
      <c r="T149" s="3" t="str">
        <f ca="1">IF(OR(CELL("contenido",O149)="Baja",CELL("contenido",J149)&gt;2015,CELL("contenido",F149)="N/A"),"N/A",VLOOKUP(F149,#REF!,2,FALSE))</f>
        <v>N/A</v>
      </c>
      <c r="U149" s="3" t="str">
        <f ca="1">IF(OR(CELL("contenido",O149)="Baja",CELL("contenido",J149)&gt;2015,CELL("contenido",F149)="N/A"),"N/A",VLOOKUP(F149,#REF!,2,FALSE))</f>
        <v>N/A</v>
      </c>
      <c r="V149" s="3" t="str">
        <f t="shared" ca="1" si="35"/>
        <v>Activo</v>
      </c>
      <c r="W149" s="3" t="str">
        <f t="shared" si="32"/>
        <v>Zona Metropolitana de Guadalajara</v>
      </c>
      <c r="X149" s="3" t="e">
        <f>C149=VLOOKUP($C149,PólizaEstatal!$H$2:$H$82,1,FALSE)</f>
        <v>#N/A</v>
      </c>
      <c r="Y149" s="3" t="str">
        <f t="shared" si="29"/>
        <v>3N6AD33AXJK862874 NMP8850</v>
      </c>
      <c r="AC149" s="11" t="str">
        <f>VLOOKUP($E149,'ResguardosXDir-CZ'!$C$2:$G$123,5,FALSE)</f>
        <v>SGYRM</v>
      </c>
      <c r="AD149" s="11" t="str">
        <f>VLOOKUP($E149,'ResguardosXDir-CZ'!$C$2:$G$123,4,FALSE)</f>
        <v>David Josafat López Polanco</v>
      </c>
      <c r="AE149" s="4">
        <v>4</v>
      </c>
    </row>
    <row r="150" spans="1:31" ht="15" hidden="1" customHeight="1" x14ac:dyDescent="0.25">
      <c r="A150" s="4" t="str">
        <f t="shared" si="30"/>
        <v>NFT6097</v>
      </c>
      <c r="B150" s="3" t="str">
        <f t="shared" si="33"/>
        <v>Sin número de inventario</v>
      </c>
      <c r="C150" s="3" t="str">
        <f t="shared" si="34"/>
        <v>3N6AD33AXJK863376</v>
      </c>
      <c r="D150" s="3" t="s">
        <v>758</v>
      </c>
      <c r="E150" s="3" t="s">
        <v>635</v>
      </c>
      <c r="F150" s="4" t="s">
        <v>604</v>
      </c>
      <c r="G150" s="3" t="s">
        <v>426</v>
      </c>
      <c r="H150" s="3" t="s">
        <v>643</v>
      </c>
      <c r="I150" s="3" t="s">
        <v>681</v>
      </c>
      <c r="J150" s="3">
        <v>2018</v>
      </c>
      <c r="K150" s="5" t="s">
        <v>656</v>
      </c>
      <c r="L150" s="3" t="s">
        <v>668</v>
      </c>
      <c r="M150" s="3" t="s">
        <v>662</v>
      </c>
      <c r="N150" s="3" t="s">
        <v>472</v>
      </c>
      <c r="O150" s="3" t="s">
        <v>492</v>
      </c>
      <c r="P150" s="4" t="s">
        <v>679</v>
      </c>
      <c r="Q150" s="3" t="s">
        <v>698</v>
      </c>
      <c r="R150" s="3" t="str">
        <f ca="1">IF(OR(CELL("contenido",O150)="Baja",CELL("contenido",J150)&gt;2015,CELL("contenido",F150)="N/A"),"N/A",VLOOKUP(F150,#REF!,2,FALSE))</f>
        <v>N/A</v>
      </c>
      <c r="S150" s="3" t="str">
        <f ca="1">IF(OR(CELL("contenido",O150)="Baja",CELL("contenido",J150)&gt;2015,CELL("contenido",F150)="N/A"),"N/A",VLOOKUP(F150,#REF!,2,FALSE))</f>
        <v>N/A</v>
      </c>
      <c r="T150" s="3" t="str">
        <f ca="1">IF(OR(CELL("contenido",O150)="Baja",CELL("contenido",J150)&gt;2015,CELL("contenido",F150)="N/A"),"N/A",VLOOKUP(F150,#REF!,2,FALSE))</f>
        <v>N/A</v>
      </c>
      <c r="U150" s="3" t="str">
        <f ca="1">IF(OR(CELL("contenido",O150)="Baja",CELL("contenido",J150)&gt;2015,CELL("contenido",F150)="N/A"),"N/A",VLOOKUP(F150,#REF!,2,FALSE))</f>
        <v>N/A</v>
      </c>
      <c r="V150" s="3" t="str">
        <f t="shared" ca="1" si="35"/>
        <v>Activo</v>
      </c>
      <c r="W150" s="3" t="str">
        <f t="shared" si="32"/>
        <v>Zona Metropolitana de Guadalajara</v>
      </c>
      <c r="X150" s="3" t="e">
        <f>C150=VLOOKUP($C150,PólizaEstatal!$H$2:$H$82,1,FALSE)</f>
        <v>#N/A</v>
      </c>
      <c r="Y150" s="3" t="str">
        <f t="shared" si="29"/>
        <v>3N6AD33AXJK863376 NFT6097</v>
      </c>
      <c r="AC150" s="11" t="str">
        <f>VLOOKUP($E150,'ResguardosXDir-CZ'!$C$2:$G$123,5,FALSE)</f>
        <v>19 TLAQUEPAQUE</v>
      </c>
      <c r="AD150" s="11" t="str">
        <f>VLOOKUP($E150,'ResguardosXDir-CZ'!$C$2:$G$123,4,FALSE)</f>
        <v>Leonardo Sánchez Saldivar</v>
      </c>
      <c r="AE150" s="4">
        <v>4</v>
      </c>
    </row>
    <row r="151" spans="1:31" ht="15" hidden="1" customHeight="1" x14ac:dyDescent="0.25">
      <c r="A151" s="4" t="str">
        <f t="shared" si="30"/>
        <v>NFT6089</v>
      </c>
      <c r="B151" s="3" t="str">
        <f t="shared" si="33"/>
        <v>Sin número de inventario</v>
      </c>
      <c r="C151" s="3" t="str">
        <f t="shared" si="34"/>
        <v>3N6AD33AXJK884776</v>
      </c>
      <c r="D151" s="3" t="s">
        <v>757</v>
      </c>
      <c r="E151" s="3" t="s">
        <v>634</v>
      </c>
      <c r="F151" s="4" t="s">
        <v>604</v>
      </c>
      <c r="G151" s="3" t="s">
        <v>426</v>
      </c>
      <c r="H151" s="3" t="s">
        <v>643</v>
      </c>
      <c r="I151" s="3" t="s">
        <v>681</v>
      </c>
      <c r="J151" s="3">
        <v>2018</v>
      </c>
      <c r="K151" s="5" t="s">
        <v>653</v>
      </c>
      <c r="L151" s="3" t="s">
        <v>669</v>
      </c>
      <c r="M151" s="3" t="s">
        <v>662</v>
      </c>
      <c r="N151" s="3" t="s">
        <v>763</v>
      </c>
      <c r="O151" s="4" t="s">
        <v>958</v>
      </c>
      <c r="P151" s="4" t="s">
        <v>679</v>
      </c>
      <c r="Q151" s="4" t="s">
        <v>699</v>
      </c>
      <c r="R151" s="3" t="str">
        <f ca="1">IF(OR(CELL("contenido",O151)="Baja",CELL("contenido",J151)&gt;2015,CELL("contenido",F151)="N/A"),"N/A",VLOOKUP(F151,#REF!,2,FALSE))</f>
        <v>N/A</v>
      </c>
      <c r="S151" s="3" t="str">
        <f ca="1">IF(OR(CELL("contenido",O151)="Baja",CELL("contenido",J151)&gt;2015,CELL("contenido",F151)="N/A"),"N/A",VLOOKUP(F151,#REF!,2,FALSE))</f>
        <v>N/A</v>
      </c>
      <c r="T151" s="3" t="str">
        <f ca="1">IF(OR(CELL("contenido",O151)="Baja",CELL("contenido",J151)&gt;2015,CELL("contenido",F151)="N/A"),"N/A",VLOOKUP(F151,#REF!,2,FALSE))</f>
        <v>N/A</v>
      </c>
      <c r="U151" s="3" t="str">
        <f ca="1">IF(OR(CELL("contenido",O151)="Baja",CELL("contenido",J151)&gt;2015,CELL("contenido",F151)="N/A"),"N/A",VLOOKUP(F151,#REF!,2,FALSE))</f>
        <v>N/A</v>
      </c>
      <c r="V151" s="3" t="str">
        <f t="shared" ca="1" si="35"/>
        <v>Activo</v>
      </c>
      <c r="W151" s="3" t="str">
        <f t="shared" si="32"/>
        <v>Zona Metropolitana de Guadalajara</v>
      </c>
      <c r="X151" s="3" t="e">
        <f>C151=VLOOKUP($C151,PólizaEstatal!$H$2:$H$82,1,FALSE)</f>
        <v>#N/A</v>
      </c>
      <c r="Y151" s="3" t="str">
        <f t="shared" si="29"/>
        <v>3N6AD33AXJK884776 NFT6089</v>
      </c>
      <c r="AC151" s="11" t="str">
        <f>VLOOKUP($E151,'ResguardosXDir-CZ'!$C$2:$G$123,5,FALSE)</f>
        <v>Dirección de Estructuras Regionales</v>
      </c>
      <c r="AD151" s="11" t="str">
        <f>VLOOKUP($E151,'ResguardosXDir-CZ'!$C$2:$G$123,4,FALSE)</f>
        <v>Slavador Jephte Navarro</v>
      </c>
      <c r="AE151" s="4">
        <v>4</v>
      </c>
    </row>
    <row r="152" spans="1:31" ht="14.25" hidden="1" customHeight="1" x14ac:dyDescent="0.25">
      <c r="A152" s="4" t="str">
        <f t="shared" si="30"/>
        <v>NFT6279</v>
      </c>
      <c r="B152" s="3" t="str">
        <f t="shared" si="33"/>
        <v>Sin número de inventario</v>
      </c>
      <c r="C152" s="3" t="str">
        <f t="shared" si="34"/>
        <v>3N6AD33A9JK873395</v>
      </c>
      <c r="D152" s="3" t="s">
        <v>756</v>
      </c>
      <c r="E152" s="3" t="s">
        <v>637</v>
      </c>
      <c r="F152" s="4" t="s">
        <v>604</v>
      </c>
      <c r="G152" s="3" t="s">
        <v>426</v>
      </c>
      <c r="H152" s="3" t="s">
        <v>643</v>
      </c>
      <c r="I152" s="3" t="s">
        <v>681</v>
      </c>
      <c r="J152" s="3">
        <v>2018</v>
      </c>
      <c r="K152" s="5" t="s">
        <v>658</v>
      </c>
      <c r="L152" s="3" t="s">
        <v>665</v>
      </c>
      <c r="M152" s="3" t="s">
        <v>662</v>
      </c>
      <c r="N152" s="4" t="s">
        <v>485</v>
      </c>
      <c r="O152" s="4" t="s">
        <v>851</v>
      </c>
      <c r="P152" s="4" t="s">
        <v>679</v>
      </c>
      <c r="Q152" s="3" t="s">
        <v>680</v>
      </c>
      <c r="R152" s="3" t="str">
        <f ca="1">IF(OR(CELL("contenido",O152)="Baja",CELL("contenido",J152)&gt;2015,CELL("contenido",F152)="N/A"),"N/A",VLOOKUP(F152,#REF!,2,FALSE))</f>
        <v>N/A</v>
      </c>
      <c r="S152" s="3" t="str">
        <f ca="1">IF(OR(CELL("contenido",O152)="Baja",CELL("contenido",J152)&gt;2015,CELL("contenido",F152)="N/A"),"N/A",VLOOKUP(F152,#REF!,2,FALSE))</f>
        <v>N/A</v>
      </c>
      <c r="T152" s="3" t="str">
        <f ca="1">IF(OR(CELL("contenido",O152)="Baja",CELL("contenido",J152)&gt;2015,CELL("contenido",F152)="N/A"),"N/A",VLOOKUP(F152,#REF!,2,FALSE))</f>
        <v>N/A</v>
      </c>
      <c r="U152" s="3" t="str">
        <f ca="1">IF(OR(CELL("contenido",O152)="Baja",CELL("contenido",J152)&gt;2015,CELL("contenido",F152)="N/A"),"N/A",VLOOKUP(F152,#REF!,2,FALSE))</f>
        <v>N/A</v>
      </c>
      <c r="V152" s="3" t="str">
        <f t="shared" ca="1" si="35"/>
        <v>Activo</v>
      </c>
      <c r="W152" s="3" t="str">
        <f t="shared" si="32"/>
        <v>Zona Metropolitana de Guadalajara</v>
      </c>
      <c r="X152" s="3" t="e">
        <f>C152=VLOOKUP($C152,PólizaEstatal!$H$2:$H$82,1,FALSE)</f>
        <v>#N/A</v>
      </c>
      <c r="Y152" s="3" t="str">
        <f t="shared" si="29"/>
        <v>3N6AD33A9JK873395 NFT6279</v>
      </c>
      <c r="AC152" s="11" t="str">
        <f>VLOOKUP($E152,'ResguardosXDir-CZ'!$C$2:$G$123,5,FALSE)</f>
        <v>SGYRM</v>
      </c>
      <c r="AD152" s="11" t="str">
        <f>VLOOKUP($E152,'ResguardosXDir-CZ'!$C$2:$G$123,4,FALSE)</f>
        <v>David Josafat López Polanco</v>
      </c>
      <c r="AE152" s="4">
        <v>4</v>
      </c>
    </row>
    <row r="153" spans="1:31" ht="15" hidden="1" customHeight="1" x14ac:dyDescent="0.25">
      <c r="A153" s="4" t="str">
        <f t="shared" si="30"/>
        <v>NEH6564</v>
      </c>
      <c r="B153" s="3" t="str">
        <f t="shared" si="33"/>
        <v>Sin número de inventario</v>
      </c>
      <c r="C153" s="3" t="str">
        <f t="shared" si="34"/>
        <v>3N6AD33A9JK868911</v>
      </c>
      <c r="D153" s="3" t="s">
        <v>755</v>
      </c>
      <c r="E153" s="3" t="s">
        <v>626</v>
      </c>
      <c r="F153" s="4" t="s">
        <v>604</v>
      </c>
      <c r="G153" s="3" t="s">
        <v>426</v>
      </c>
      <c r="H153" s="3" t="s">
        <v>643</v>
      </c>
      <c r="I153" s="3" t="s">
        <v>681</v>
      </c>
      <c r="J153" s="3">
        <v>2018</v>
      </c>
      <c r="K153" s="5" t="s">
        <v>659</v>
      </c>
      <c r="L153" s="3" t="s">
        <v>666</v>
      </c>
      <c r="M153" s="3" t="s">
        <v>662</v>
      </c>
      <c r="N153" s="3" t="s">
        <v>482</v>
      </c>
      <c r="O153" s="4" t="s">
        <v>735</v>
      </c>
      <c r="P153" s="4" t="s">
        <v>679</v>
      </c>
      <c r="Q153" s="4" t="s">
        <v>699</v>
      </c>
      <c r="R153" s="3" t="str">
        <f ca="1">IF(OR(CELL("contenido",O153)="Baja",CELL("contenido",J153)&gt;2015,CELL("contenido",F153)="N/A"),"N/A",VLOOKUP(F153,#REF!,2,FALSE))</f>
        <v>N/A</v>
      </c>
      <c r="S153" s="3" t="str">
        <f ca="1">IF(OR(CELL("contenido",O153)="Baja",CELL("contenido",J153)&gt;2015,CELL("contenido",F153)="N/A"),"N/A",VLOOKUP(F153,#REF!,2,FALSE))</f>
        <v>N/A</v>
      </c>
      <c r="T153" s="3" t="str">
        <f ca="1">IF(OR(CELL("contenido",O153)="Baja",CELL("contenido",J153)&gt;2015,CELL("contenido",F153)="N/A"),"N/A",VLOOKUP(F153,#REF!,2,FALSE))</f>
        <v>N/A</v>
      </c>
      <c r="U153" s="3" t="str">
        <f ca="1">IF(OR(CELL("contenido",O153)="Baja",CELL("contenido",J153)&gt;2015,CELL("contenido",F153)="N/A"),"N/A",VLOOKUP(F153,#REF!,2,FALSE))</f>
        <v>N/A</v>
      </c>
      <c r="V153" s="3" t="str">
        <f t="shared" ca="1" si="35"/>
        <v>Activo</v>
      </c>
      <c r="W153" s="3" t="str">
        <f t="shared" si="32"/>
        <v>Tepatitlán</v>
      </c>
      <c r="X153" s="3" t="e">
        <f>C153=VLOOKUP($C153,PólizaEstatal!$H$2:$H$82,1,FALSE)</f>
        <v>#N/A</v>
      </c>
      <c r="Y153" s="3" t="str">
        <f t="shared" si="29"/>
        <v>3N6AD33A9JK868911 NEH6564</v>
      </c>
      <c r="AC153" s="11" t="str">
        <f>VLOOKUP($E153,'ResguardosXDir-CZ'!$C$2:$G$123,5,FALSE)</f>
        <v>20 TEPATITLAN</v>
      </c>
      <c r="AD153" s="11" t="str">
        <f>VLOOKUP($E153,'ResguardosXDir-CZ'!$C$2:$G$123,4,FALSE)</f>
        <v>Diego Armando Hernández González</v>
      </c>
      <c r="AE153" s="4">
        <v>4</v>
      </c>
    </row>
    <row r="154" spans="1:31" ht="15" hidden="1" customHeight="1" x14ac:dyDescent="0.25">
      <c r="A154" s="4" t="str">
        <f t="shared" si="30"/>
        <v>NFT6085</v>
      </c>
      <c r="B154" s="3" t="str">
        <f t="shared" si="33"/>
        <v>Sin número de inventario</v>
      </c>
      <c r="C154" s="3" t="str">
        <f t="shared" si="34"/>
        <v>3N6AD33A8JK862310</v>
      </c>
      <c r="D154" s="3" t="s">
        <v>754</v>
      </c>
      <c r="E154" s="3" t="s">
        <v>636</v>
      </c>
      <c r="F154" s="4" t="s">
        <v>604</v>
      </c>
      <c r="G154" s="3" t="s">
        <v>426</v>
      </c>
      <c r="H154" s="3" t="s">
        <v>643</v>
      </c>
      <c r="I154" s="3" t="s">
        <v>681</v>
      </c>
      <c r="J154" s="3">
        <v>2018</v>
      </c>
      <c r="K154" s="5" t="s">
        <v>657</v>
      </c>
      <c r="L154" s="3" t="s">
        <v>667</v>
      </c>
      <c r="M154" s="3" t="s">
        <v>662</v>
      </c>
      <c r="N154" s="3" t="s">
        <v>479</v>
      </c>
      <c r="O154" s="4" t="s">
        <v>914</v>
      </c>
      <c r="P154" s="4" t="s">
        <v>679</v>
      </c>
      <c r="Q154" s="3" t="s">
        <v>700</v>
      </c>
      <c r="R154" s="3" t="str">
        <f ca="1">IF(OR(CELL("contenido",O154)="Baja",CELL("contenido",J154)&gt;2015,CELL("contenido",F154)="N/A"),"N/A",VLOOKUP(F154,#REF!,2,FALSE))</f>
        <v>N/A</v>
      </c>
      <c r="S154" s="3" t="str">
        <f ca="1">IF(OR(CELL("contenido",O154)="Baja",CELL("contenido",J154)&gt;2015,CELL("contenido",F154)="N/A"),"N/A",VLOOKUP(F154,#REF!,2,FALSE))</f>
        <v>N/A</v>
      </c>
      <c r="T154" s="3" t="str">
        <f ca="1">IF(OR(CELL("contenido",O154)="Baja",CELL("contenido",J154)&gt;2015,CELL("contenido",F154)="N/A"),"N/A",VLOOKUP(F154,#REF!,2,FALSE))</f>
        <v>N/A</v>
      </c>
      <c r="U154" s="3" t="str">
        <f ca="1">IF(OR(CELL("contenido",O154)="Baja",CELL("contenido",J154)&gt;2015,CELL("contenido",F154)="N/A"),"N/A",VLOOKUP(F154,#REF!,2,FALSE))</f>
        <v>N/A</v>
      </c>
      <c r="V154" s="3" t="str">
        <f t="shared" ca="1" si="35"/>
        <v>Activo</v>
      </c>
      <c r="W154" s="3" t="str">
        <f t="shared" si="32"/>
        <v>Puerto Vallarta</v>
      </c>
      <c r="X154" s="3" t="e">
        <f>C154=VLOOKUP($C154,PólizaEstatal!$H$2:$H$82,1,FALSE)</f>
        <v>#N/A</v>
      </c>
      <c r="Y154" s="3" t="str">
        <f t="shared" si="29"/>
        <v>3N6AD33A8JK862310 NFT6085</v>
      </c>
      <c r="AC154" s="11" t="str">
        <f>VLOOKUP($E154,'ResguardosXDir-CZ'!$C$2:$G$123,5,FALSE)</f>
        <v>14 VALLARTA</v>
      </c>
      <c r="AD154" s="11" t="str">
        <f>VLOOKUP($E154,'ResguardosXDir-CZ'!$C$2:$G$123,4,FALSE)</f>
        <v>Claudia Gómez Becerra</v>
      </c>
      <c r="AE154" s="4">
        <v>4</v>
      </c>
    </row>
    <row r="155" spans="1:31" ht="15" hidden="1" customHeight="1" x14ac:dyDescent="0.25">
      <c r="A155" s="4" t="str">
        <f t="shared" si="30"/>
        <v>NFP6891</v>
      </c>
      <c r="B155" s="3" t="str">
        <f t="shared" si="33"/>
        <v>Sin número de inventario</v>
      </c>
      <c r="C155" s="3" t="str">
        <f t="shared" si="34"/>
        <v>3N6AD33A8JK876188</v>
      </c>
      <c r="D155" s="3" t="s">
        <v>753</v>
      </c>
      <c r="E155" s="3" t="s">
        <v>632</v>
      </c>
      <c r="F155" s="4" t="s">
        <v>604</v>
      </c>
      <c r="G155" s="3" t="s">
        <v>426</v>
      </c>
      <c r="H155" s="3" t="s">
        <v>643</v>
      </c>
      <c r="I155" s="3" t="s">
        <v>681</v>
      </c>
      <c r="J155" s="3">
        <v>2018</v>
      </c>
      <c r="K155" s="5" t="s">
        <v>651</v>
      </c>
      <c r="L155" s="3" t="s">
        <v>673</v>
      </c>
      <c r="M155" s="3" t="s">
        <v>662</v>
      </c>
      <c r="N155" s="3" t="s">
        <v>474</v>
      </c>
      <c r="O155" s="4" t="s">
        <v>729</v>
      </c>
      <c r="P155" s="4" t="s">
        <v>679</v>
      </c>
      <c r="Q155" s="3" t="s">
        <v>699</v>
      </c>
      <c r="R155" s="3" t="str">
        <f ca="1">IF(OR(CELL("contenido",O155)="Baja",CELL("contenido",J155)&gt;2015,CELL("contenido",F155)="N/A"),"N/A",VLOOKUP(F155,#REF!,2,FALSE))</f>
        <v>N/A</v>
      </c>
      <c r="S155" s="3" t="str">
        <f ca="1">IF(OR(CELL("contenido",O155)="Baja",CELL("contenido",J155)&gt;2015,CELL("contenido",F155)="N/A"),"N/A",VLOOKUP(F155,#REF!,2,FALSE))</f>
        <v>N/A</v>
      </c>
      <c r="T155" s="3" t="str">
        <f ca="1">IF(OR(CELL("contenido",O155)="Baja",CELL("contenido",J155)&gt;2015,CELL("contenido",F155)="N/A"),"N/A",VLOOKUP(F155,#REF!,2,FALSE))</f>
        <v>N/A</v>
      </c>
      <c r="U155" s="3" t="str">
        <f ca="1">IF(OR(CELL("contenido",O155)="Baja",CELL("contenido",J155)&gt;2015,CELL("contenido",F155)="N/A"),"N/A",VLOOKUP(F155,#REF!,2,FALSE))</f>
        <v>N/A</v>
      </c>
      <c r="V155" s="3" t="str">
        <f t="shared" ca="1" si="35"/>
        <v>Activo</v>
      </c>
      <c r="W155" s="3" t="str">
        <f t="shared" si="32"/>
        <v>Colotlán</v>
      </c>
      <c r="X155" s="3" t="e">
        <f>C155=VLOOKUP($C155,PólizaEstatal!$H$2:$H$82,1,FALSE)</f>
        <v>#N/A</v>
      </c>
      <c r="Y155" s="3" t="str">
        <f t="shared" si="29"/>
        <v>3N6AD33A8JK876188 NFP6891</v>
      </c>
      <c r="AC155" s="11" t="str">
        <f>VLOOKUP($E155,'ResguardosXDir-CZ'!$C$2:$G$123,5,FALSE)</f>
        <v>01 COLOTLAN</v>
      </c>
      <c r="AD155" s="11" t="str">
        <f>VLOOKUP($E155,'ResguardosXDir-CZ'!$C$2:$G$123,4,FALSE)</f>
        <v>Luis Enrique Gándara Alcantar</v>
      </c>
      <c r="AE155" s="4">
        <v>4</v>
      </c>
    </row>
    <row r="156" spans="1:31" ht="15" hidden="1" customHeight="1" x14ac:dyDescent="0.25">
      <c r="A156" s="4" t="str">
        <f t="shared" si="30"/>
        <v>NFP6988</v>
      </c>
      <c r="B156" s="3" t="str">
        <f t="shared" si="33"/>
        <v>Sin número de inventario</v>
      </c>
      <c r="C156" s="3" t="str">
        <f t="shared" si="34"/>
        <v>3N6AD33A7JK891328</v>
      </c>
      <c r="D156" s="3" t="s">
        <v>752</v>
      </c>
      <c r="E156" s="3" t="s">
        <v>638</v>
      </c>
      <c r="F156" s="4" t="s">
        <v>604</v>
      </c>
      <c r="G156" s="3" t="s">
        <v>426</v>
      </c>
      <c r="H156" s="3" t="s">
        <v>643</v>
      </c>
      <c r="I156" s="3" t="s">
        <v>681</v>
      </c>
      <c r="J156" s="3">
        <v>2018</v>
      </c>
      <c r="K156" s="5" t="s">
        <v>660</v>
      </c>
      <c r="L156" s="3" t="s">
        <v>664</v>
      </c>
      <c r="M156" s="3" t="s">
        <v>662</v>
      </c>
      <c r="N156" s="3" t="s">
        <v>475</v>
      </c>
      <c r="O156" s="4" t="s">
        <v>824</v>
      </c>
      <c r="P156" s="4" t="s">
        <v>679</v>
      </c>
      <c r="Q156" s="4" t="s">
        <v>699</v>
      </c>
      <c r="R156" s="3" t="str">
        <f ca="1">IF(OR(CELL("contenido",O156)="Baja",CELL("contenido",J156)&gt;2015,CELL("contenido",F156)="N/A"),"N/A",VLOOKUP(F156,#REF!,2,FALSE))</f>
        <v>N/A</v>
      </c>
      <c r="S156" s="3" t="str">
        <f ca="1">IF(OR(CELL("contenido",O156)="Baja",CELL("contenido",J156)&gt;2015,CELL("contenido",F156)="N/A"),"N/A",VLOOKUP(F156,#REF!,2,FALSE))</f>
        <v>N/A</v>
      </c>
      <c r="T156" s="3" t="str">
        <f ca="1">IF(OR(CELL("contenido",O156)="Baja",CELL("contenido",J156)&gt;2015,CELL("contenido",F156)="N/A"),"N/A",VLOOKUP(F156,#REF!,2,FALSE))</f>
        <v>N/A</v>
      </c>
      <c r="U156" s="3" t="str">
        <f ca="1">IF(OR(CELL("contenido",O156)="Baja",CELL("contenido",J156)&gt;2015,CELL("contenido",F156)="N/A"),"N/A",VLOOKUP(F156,#REF!,2,FALSE))</f>
        <v>N/A</v>
      </c>
      <c r="V156" s="3" t="str">
        <f t="shared" ca="1" si="35"/>
        <v>Activo</v>
      </c>
      <c r="W156" s="3" t="str">
        <f t="shared" si="32"/>
        <v>Lagos de Moreno</v>
      </c>
      <c r="X156" s="3" t="e">
        <f>C156=VLOOKUP($C156,PólizaEstatal!$H$2:$H$82,1,FALSE)</f>
        <v>#N/A</v>
      </c>
      <c r="Y156" s="3" t="str">
        <f t="shared" si="29"/>
        <v>3N6AD33A7JK891328 NFP6988</v>
      </c>
      <c r="AC156" s="11" t="str">
        <f>VLOOKUP($E156,'ResguardosXDir-CZ'!$C$2:$G$123,5,FALSE)</f>
        <v>02 LAGOS</v>
      </c>
      <c r="AD156" s="11" t="str">
        <f>VLOOKUP($E156,'ResguardosXDir-CZ'!$C$2:$G$123,4,FALSE)</f>
        <v>José Guadalupe Hernández Torres</v>
      </c>
      <c r="AE156" s="4">
        <v>4</v>
      </c>
    </row>
    <row r="157" spans="1:31" ht="15" hidden="1" customHeight="1" x14ac:dyDescent="0.25">
      <c r="A157" s="4" t="str">
        <f t="shared" si="30"/>
        <v>NFT6235</v>
      </c>
      <c r="B157" s="3" t="str">
        <f t="shared" si="33"/>
        <v>Sin número de inventario</v>
      </c>
      <c r="C157" s="3" t="str">
        <f t="shared" si="34"/>
        <v>3N6AD33A8JK860704</v>
      </c>
      <c r="D157" s="3" t="s">
        <v>751</v>
      </c>
      <c r="E157" s="3" t="s">
        <v>696</v>
      </c>
      <c r="F157" s="4" t="s">
        <v>604</v>
      </c>
      <c r="G157" s="3" t="s">
        <v>426</v>
      </c>
      <c r="H157" s="3" t="s">
        <v>643</v>
      </c>
      <c r="I157" s="3" t="s">
        <v>681</v>
      </c>
      <c r="J157" s="3">
        <v>2018</v>
      </c>
      <c r="K157" s="5" t="s">
        <v>697</v>
      </c>
      <c r="L157" s="3" t="s">
        <v>669</v>
      </c>
      <c r="M157" s="3" t="s">
        <v>662</v>
      </c>
      <c r="N157" s="3" t="s">
        <v>469</v>
      </c>
      <c r="O157" s="4" t="s">
        <v>733</v>
      </c>
      <c r="P157" s="4" t="s">
        <v>679</v>
      </c>
      <c r="Q157" s="3" t="s">
        <v>700</v>
      </c>
      <c r="R157" s="3" t="str">
        <f ca="1">IF(OR(CELL("contenido",O157)="Baja",CELL("contenido",J157)&gt;2015,CELL("contenido",F157)="N/A"),"N/A",VLOOKUP(F157,#REF!,2,FALSE))</f>
        <v>N/A</v>
      </c>
      <c r="S157" s="3" t="str">
        <f ca="1">IF(OR(CELL("contenido",O157)="Baja",CELL("contenido",J157)&gt;2015,CELL("contenido",F157)="N/A"),"N/A",VLOOKUP(F157,#REF!,2,FALSE))</f>
        <v>N/A</v>
      </c>
      <c r="T157" s="3" t="str">
        <f ca="1">IF(OR(CELL("contenido",O157)="Baja",CELL("contenido",J157)&gt;2015,CELL("contenido",F157)="N/A"),"N/A",VLOOKUP(F157,#REF!,2,FALSE))</f>
        <v>N/A</v>
      </c>
      <c r="U157" s="3" t="str">
        <f ca="1">IF(OR(CELL("contenido",O157)="Baja",CELL("contenido",J157)&gt;2015,CELL("contenido",F157)="N/A"),"N/A",VLOOKUP(F157,#REF!,2,FALSE))</f>
        <v>N/A</v>
      </c>
      <c r="V157" s="3" t="str">
        <f t="shared" ca="1" si="35"/>
        <v>Activo</v>
      </c>
      <c r="W157" s="3" t="str">
        <f t="shared" si="32"/>
        <v>Ameca</v>
      </c>
      <c r="X157" s="3" t="e">
        <f>C157=VLOOKUP($C157,PólizaEstatal!$H$2:$H$82,1,FALSE)</f>
        <v>#N/A</v>
      </c>
      <c r="Y157" s="3" t="str">
        <f t="shared" si="29"/>
        <v>3N6AD33A8JK860704 NFT6235</v>
      </c>
      <c r="AC157" s="11" t="str">
        <f>VLOOKUP($E157,'ResguardosXDir-CZ'!$C$2:$G$123,5,FALSE)</f>
        <v>12 AMECA</v>
      </c>
      <c r="AD157" s="11" t="str">
        <f>VLOOKUP($E157,'ResguardosXDir-CZ'!$C$2:$G$123,4,FALSE)</f>
        <v>Cesar Octavio Salazar Murillo</v>
      </c>
      <c r="AE157" s="4">
        <v>4</v>
      </c>
    </row>
    <row r="158" spans="1:31" ht="14.25" hidden="1" customHeight="1" x14ac:dyDescent="0.25">
      <c r="A158" s="4" t="str">
        <f t="shared" si="30"/>
        <v>NFP4339</v>
      </c>
      <c r="B158" s="3" t="str">
        <f t="shared" si="33"/>
        <v>Sin número de inventario</v>
      </c>
      <c r="C158" s="3" t="str">
        <f t="shared" si="34"/>
        <v>MEX5G2605JT089768</v>
      </c>
      <c r="D158" s="3" t="s">
        <v>750</v>
      </c>
      <c r="E158" s="3" t="s">
        <v>623</v>
      </c>
      <c r="F158" s="4" t="s">
        <v>604</v>
      </c>
      <c r="G158" s="3" t="s">
        <v>447</v>
      </c>
      <c r="H158" s="3" t="s">
        <v>639</v>
      </c>
      <c r="I158" s="3" t="s">
        <v>681</v>
      </c>
      <c r="J158" s="3">
        <v>2018</v>
      </c>
      <c r="K158" s="5" t="s">
        <v>645</v>
      </c>
      <c r="L158" s="3" t="s">
        <v>678</v>
      </c>
      <c r="M158" s="3" t="s">
        <v>662</v>
      </c>
      <c r="N158" s="3" t="s">
        <v>763</v>
      </c>
      <c r="O158" s="3" t="s">
        <v>740</v>
      </c>
      <c r="P158" s="4" t="s">
        <v>679</v>
      </c>
      <c r="Q158" s="3" t="s">
        <v>421</v>
      </c>
      <c r="R158" s="3" t="str">
        <f ca="1">IF(OR(CELL("contenido",O158)="Baja",CELL("contenido",J158)&gt;2015,CELL("contenido",F158)="N/A"),"N/A",VLOOKUP(F158,#REF!,2,FALSE))</f>
        <v>N/A</v>
      </c>
      <c r="S158" s="3" t="str">
        <f ca="1">IF(OR(CELL("contenido",O158)="Baja",CELL("contenido",J158)&gt;2015,CELL("contenido",F158)="N/A"),"N/A",VLOOKUP(F158,#REF!,2,FALSE))</f>
        <v>N/A</v>
      </c>
      <c r="T158" s="3" t="str">
        <f ca="1">IF(OR(CELL("contenido",O158)="Baja",CELL("contenido",J158)&gt;2015,CELL("contenido",F158)="N/A"),"N/A",VLOOKUP(F158,#REF!,2,FALSE))</f>
        <v>N/A</v>
      </c>
      <c r="U158" s="3" t="str">
        <f ca="1">IF(OR(CELL("contenido",O158)="Baja",CELL("contenido",J158)&gt;2015,CELL("contenido",F158)="N/A"),"N/A",VLOOKUP(F158,#REF!,2,FALSE))</f>
        <v>N/A</v>
      </c>
      <c r="V158" s="3" t="str">
        <f t="shared" ca="1" si="35"/>
        <v>Activo</v>
      </c>
      <c r="W158" s="3" t="str">
        <f t="shared" si="32"/>
        <v>Zona Metropolitana de Guadalajara</v>
      </c>
      <c r="X158" s="3" t="e">
        <f>C158=VLOOKUP($C158,PólizaEstatal!$H$2:$H$82,1,FALSE)</f>
        <v>#N/A</v>
      </c>
      <c r="Y158" s="3" t="str">
        <f t="shared" si="29"/>
        <v>MEX5G2605JT089768 NFP4339</v>
      </c>
      <c r="AC158" s="11" t="str">
        <f>VLOOKUP($E158,'ResguardosXDir-CZ'!$C$2:$G$123,5,FALSE)</f>
        <v>DIRECCION ESTRUCTURAS REGIONALES</v>
      </c>
      <c r="AD158" s="11" t="str">
        <f>VLOOKUP($E158,'ResguardosXDir-CZ'!$C$2:$G$123,4,FALSE)</f>
        <v>Abrahan Fernando Lozano Morales</v>
      </c>
      <c r="AE158" s="3">
        <v>4</v>
      </c>
    </row>
    <row r="159" spans="1:31" ht="14.25" hidden="1" customHeight="1" x14ac:dyDescent="0.2">
      <c r="A159" s="4" t="str">
        <f t="shared" si="30"/>
        <v>NFP4320</v>
      </c>
      <c r="B159" s="3" t="str">
        <f t="shared" si="33"/>
        <v>Sin número de inventario</v>
      </c>
      <c r="C159" s="3" t="str">
        <f t="shared" si="34"/>
        <v>MEX5G2606JT090587</v>
      </c>
      <c r="D159" s="3" t="s">
        <v>749</v>
      </c>
      <c r="E159" s="3" t="s">
        <v>624</v>
      </c>
      <c r="F159" s="4" t="s">
        <v>604</v>
      </c>
      <c r="G159" s="3" t="s">
        <v>447</v>
      </c>
      <c r="H159" s="3" t="s">
        <v>639</v>
      </c>
      <c r="I159" s="3" t="s">
        <v>681</v>
      </c>
      <c r="J159" s="3">
        <v>2018</v>
      </c>
      <c r="K159" s="5" t="s">
        <v>818</v>
      </c>
      <c r="L159" s="3" t="s">
        <v>677</v>
      </c>
      <c r="M159" s="3" t="s">
        <v>662</v>
      </c>
      <c r="N159" s="3" t="s">
        <v>947</v>
      </c>
      <c r="O159" s="3" t="s">
        <v>948</v>
      </c>
      <c r="P159" s="4" t="s">
        <v>679</v>
      </c>
      <c r="Q159" s="3" t="s">
        <v>421</v>
      </c>
      <c r="R159" s="3" t="str">
        <f ca="1">IF(OR(CELL("contenido",O159)="Baja",CELL("contenido",J159)&gt;2015,CELL("contenido",F159)="N/A"),"N/A",VLOOKUP(F159,#REF!,2,FALSE))</f>
        <v>N/A</v>
      </c>
      <c r="S159" s="3" t="str">
        <f ca="1">IF(OR(CELL("contenido",O159)="Baja",CELL("contenido",J159)&gt;2015,CELL("contenido",F159)="N/A"),"N/A",VLOOKUP(F159,#REF!,2,FALSE))</f>
        <v>N/A</v>
      </c>
      <c r="T159" s="3" t="str">
        <f ca="1">IF(OR(CELL("contenido",O159)="Baja",CELL("contenido",J159)&gt;2015,CELL("contenido",F159)="N/A"),"N/A",VLOOKUP(F159,#REF!,2,FALSE))</f>
        <v>N/A</v>
      </c>
      <c r="U159" s="3" t="str">
        <f ca="1">IF(OR(CELL("contenido",O159)="Baja",CELL("contenido",J159)&gt;2015,CELL("contenido",F159)="N/A"),"N/A",VLOOKUP(F159,#REF!,2,FALSE))</f>
        <v>N/A</v>
      </c>
      <c r="V159" s="3" t="str">
        <f t="shared" ca="1" si="35"/>
        <v>Activo</v>
      </c>
      <c r="W159" s="3" t="str">
        <f t="shared" si="32"/>
        <v>Zona Metropolitana de Guadalajara</v>
      </c>
      <c r="X159" s="3" t="e">
        <f>C159=VLOOKUP($C159,PólizaEstatal!$H$2:$H$82,1,FALSE)</f>
        <v>#N/A</v>
      </c>
      <c r="Y159" s="3" t="str">
        <f t="shared" si="29"/>
        <v>MEX5G2606JT090587 NFP4320</v>
      </c>
      <c r="AC159" s="74" t="s">
        <v>947</v>
      </c>
      <c r="AD159" s="74" t="s">
        <v>948</v>
      </c>
      <c r="AE159" s="3">
        <v>4</v>
      </c>
    </row>
    <row r="160" spans="1:31" ht="14.25" hidden="1" customHeight="1" x14ac:dyDescent="0.25">
      <c r="A160" s="4" t="str">
        <f t="shared" si="30"/>
        <v>NFP4416</v>
      </c>
      <c r="B160" s="3" t="str">
        <f t="shared" si="33"/>
        <v>Sin número de inventario</v>
      </c>
      <c r="C160" s="3" t="str">
        <f t="shared" si="34"/>
        <v>3C6SRBDG1JG199131</v>
      </c>
      <c r="D160" s="3" t="s">
        <v>748</v>
      </c>
      <c r="E160" s="3" t="s">
        <v>628</v>
      </c>
      <c r="F160" s="4" t="s">
        <v>604</v>
      </c>
      <c r="G160" s="3" t="s">
        <v>644</v>
      </c>
      <c r="H160" s="3" t="s">
        <v>640</v>
      </c>
      <c r="I160" s="3" t="s">
        <v>681</v>
      </c>
      <c r="J160" s="3">
        <v>2018</v>
      </c>
      <c r="K160" s="5" t="s">
        <v>646</v>
      </c>
      <c r="L160" s="3" t="s">
        <v>676</v>
      </c>
      <c r="M160" s="3" t="s">
        <v>662</v>
      </c>
      <c r="N160" s="3" t="s">
        <v>484</v>
      </c>
      <c r="O160" s="5" t="s">
        <v>762</v>
      </c>
      <c r="P160" s="4" t="s">
        <v>679</v>
      </c>
      <c r="Q160" s="3" t="s">
        <v>714</v>
      </c>
      <c r="R160" s="3" t="str">
        <f ca="1">IF(OR(CELL("contenido",O160)="Baja",CELL("contenido",J160)&gt;2015,CELL("contenido",F160)="N/A"),"N/A",VLOOKUP(F160,#REF!,2,FALSE))</f>
        <v>N/A</v>
      </c>
      <c r="S160" s="3" t="str">
        <f ca="1">IF(OR(CELL("contenido",O160)="Baja",CELL("contenido",J160)&gt;2015,CELL("contenido",F160)="N/A"),"N/A",VLOOKUP(F160,#REF!,2,FALSE))</f>
        <v>N/A</v>
      </c>
      <c r="T160" s="3" t="str">
        <f ca="1">IF(OR(CELL("contenido",O160)="Baja",CELL("contenido",J160)&gt;2015,CELL("contenido",F160)="N/A"),"N/A",VLOOKUP(F160,#REF!,2,FALSE))</f>
        <v>N/A</v>
      </c>
      <c r="U160" s="3" t="str">
        <f ca="1">IF(OR(CELL("contenido",O160)="Baja",CELL("contenido",J160)&gt;2015,CELL("contenido",F160)="N/A"),"N/A",VLOOKUP(F160,#REF!,2,FALSE))</f>
        <v>N/A</v>
      </c>
      <c r="V160" s="3" t="str">
        <f t="shared" ca="1" si="35"/>
        <v>Activo</v>
      </c>
      <c r="W160" s="3" t="str">
        <f t="shared" si="32"/>
        <v>Zona Metropolitana de Guadalajara</v>
      </c>
      <c r="X160" s="3" t="e">
        <f>C160=VLOOKUP($C160,PólizaEstatal!$H$2:$H$82,1,FALSE)</f>
        <v>#N/A</v>
      </c>
      <c r="Y160" s="3" t="str">
        <f t="shared" si="29"/>
        <v>3C6SRBDG1JG199131 NFP4416</v>
      </c>
      <c r="AC160" s="11" t="str">
        <f>VLOOKUP($E160,'ResguardosXDir-CZ'!$C$2:$G$123,5,FALSE)</f>
        <v>DIRECCION GENERAL</v>
      </c>
      <c r="AD160" s="11" t="str">
        <f>VLOOKUP($E160,'ResguardosXDir-CZ'!$C$2:$G$123,4,FALSE)</f>
        <v>Marcos Godínez Montes</v>
      </c>
      <c r="AE160" s="3">
        <v>6</v>
      </c>
    </row>
    <row r="161" spans="1:31" ht="14.25" hidden="1" customHeight="1" x14ac:dyDescent="0.25">
      <c r="A161" s="4" t="str">
        <f t="shared" si="30"/>
        <v>NAP3329</v>
      </c>
      <c r="B161" s="3" t="str">
        <f t="shared" si="33"/>
        <v>Sin número de inventario</v>
      </c>
      <c r="C161" s="3" t="str">
        <f t="shared" si="34"/>
        <v>3C6SRBDG0JG220115</v>
      </c>
      <c r="D161" s="3" t="s">
        <v>747</v>
      </c>
      <c r="E161" s="3" t="s">
        <v>839</v>
      </c>
      <c r="F161" s="4" t="s">
        <v>604</v>
      </c>
      <c r="G161" s="3" t="s">
        <v>644</v>
      </c>
      <c r="H161" s="3" t="s">
        <v>640</v>
      </c>
      <c r="I161" s="3" t="s">
        <v>681</v>
      </c>
      <c r="J161" s="3">
        <v>2018</v>
      </c>
      <c r="K161" s="5" t="s">
        <v>647</v>
      </c>
      <c r="L161" s="3" t="s">
        <v>676</v>
      </c>
      <c r="M161" s="3" t="s">
        <v>662</v>
      </c>
      <c r="N161" s="3" t="s">
        <v>685</v>
      </c>
      <c r="O161" s="5" t="s">
        <v>952</v>
      </c>
      <c r="P161" s="4" t="s">
        <v>679</v>
      </c>
      <c r="Q161" s="3" t="s">
        <v>680</v>
      </c>
      <c r="R161" s="3" t="str">
        <f ca="1">IF(OR(CELL("contenido",O161)="Baja",CELL("contenido",J161)&gt;2015,CELL("contenido",F161)="N/A"),"N/A",VLOOKUP(F161,#REF!,2,FALSE))</f>
        <v>N/A</v>
      </c>
      <c r="S161" s="3" t="str">
        <f ca="1">IF(OR(CELL("contenido",O161)="Baja",CELL("contenido",J161)&gt;2015,CELL("contenido",F161)="N/A"),"N/A",VLOOKUP(F161,#REF!,2,FALSE))</f>
        <v>N/A</v>
      </c>
      <c r="T161" s="3" t="str">
        <f ca="1">IF(OR(CELL("contenido",O161)="Baja",CELL("contenido",J161)&gt;2015,CELL("contenido",F161)="N/A"),"N/A",VLOOKUP(F161,#REF!,2,FALSE))</f>
        <v>N/A</v>
      </c>
      <c r="U161" s="3" t="str">
        <f ca="1">IF(OR(CELL("contenido",O161)="Baja",CELL("contenido",J161)&gt;2015,CELL("contenido",F161)="N/A"),"N/A",VLOOKUP(F161,#REF!,2,FALSE))</f>
        <v>N/A</v>
      </c>
      <c r="V161" s="3" t="str">
        <f t="shared" ca="1" si="35"/>
        <v>Activo</v>
      </c>
      <c r="W161" s="3" t="str">
        <f t="shared" si="32"/>
        <v>Zona Metropolitana de Guadalajara</v>
      </c>
      <c r="X161" s="3" t="e">
        <f>C161=VLOOKUP($C161,PólizaEstatal!$H$2:$H$82,1,FALSE)</f>
        <v>#N/A</v>
      </c>
      <c r="Y161" s="3" t="str">
        <f t="shared" si="29"/>
        <v>3C6SRBDG0JG220115 NAP3329</v>
      </c>
      <c r="AC161" s="11" t="str">
        <f>VLOOKUP($E161,'ResguardosXDir-CZ'!$C$2:$G$123,5,FALSE)</f>
        <v>ADMINISTRADOR</v>
      </c>
      <c r="AD161" s="11" t="str">
        <f>VLOOKUP($E161,'ResguardosXDir-CZ'!$C$2:$G$123,4,FALSE)</f>
        <v>Jose Cruz Sanchez Ortega</v>
      </c>
      <c r="AE161" s="3">
        <v>6</v>
      </c>
    </row>
    <row r="162" spans="1:31" ht="14.25" hidden="1" customHeight="1" x14ac:dyDescent="0.25">
      <c r="A162" s="4" t="str">
        <f t="shared" si="30"/>
        <v>NAP3316</v>
      </c>
      <c r="B162" s="3" t="str">
        <f t="shared" si="33"/>
        <v>Sin número de inventario</v>
      </c>
      <c r="C162" s="3" t="str">
        <f t="shared" si="34"/>
        <v>3C6SRBDG7JG220029</v>
      </c>
      <c r="D162" s="3" t="s">
        <v>746</v>
      </c>
      <c r="E162" s="3" t="s">
        <v>701</v>
      </c>
      <c r="F162" s="4" t="s">
        <v>604</v>
      </c>
      <c r="G162" s="3" t="s">
        <v>644</v>
      </c>
      <c r="H162" s="3" t="s">
        <v>640</v>
      </c>
      <c r="I162" s="3" t="s">
        <v>681</v>
      </c>
      <c r="J162" s="3">
        <v>2018</v>
      </c>
      <c r="K162" s="5" t="s">
        <v>648</v>
      </c>
      <c r="L162" s="3" t="s">
        <v>676</v>
      </c>
      <c r="M162" s="3" t="s">
        <v>662</v>
      </c>
      <c r="N162" s="3" t="s">
        <v>951</v>
      </c>
      <c r="O162" s="5" t="s">
        <v>833</v>
      </c>
      <c r="P162" s="4" t="s">
        <v>679</v>
      </c>
      <c r="Q162" s="3" t="s">
        <v>718</v>
      </c>
      <c r="R162" s="3" t="str">
        <f ca="1">IF(OR(CELL("contenido",O162)="Baja",CELL("contenido",J162)&gt;2015,CELL("contenido",F162)="N/A"),"N/A",VLOOKUP(F162,#REF!,2,FALSE))</f>
        <v>N/A</v>
      </c>
      <c r="S162" s="3" t="str">
        <f ca="1">IF(OR(CELL("contenido",O162)="Baja",CELL("contenido",J162)&gt;2015,CELL("contenido",F162)="N/A"),"N/A",VLOOKUP(F162,#REF!,2,FALSE))</f>
        <v>N/A</v>
      </c>
      <c r="T162" s="3" t="str">
        <f ca="1">IF(OR(CELL("contenido",O162)="Baja",CELL("contenido",J162)&gt;2015,CELL("contenido",F162)="N/A"),"N/A",VLOOKUP(F162,#REF!,2,FALSE))</f>
        <v>N/A</v>
      </c>
      <c r="U162" s="3" t="str">
        <f ca="1">IF(OR(CELL("contenido",O162)="Baja",CELL("contenido",J162)&gt;2015,CELL("contenido",F162)="N/A"),"N/A",VLOOKUP(F162,#REF!,2,FALSE))</f>
        <v>N/A</v>
      </c>
      <c r="V162" s="3" t="str">
        <f t="shared" ca="1" si="35"/>
        <v>Activo</v>
      </c>
      <c r="W162" s="3" t="str">
        <f t="shared" si="32"/>
        <v>Zona Metropolitana de Guadalajara</v>
      </c>
      <c r="X162" s="3" t="e">
        <f>C162=VLOOKUP($C162,PólizaEstatal!$H$2:$H$82,1,FALSE)</f>
        <v>#N/A</v>
      </c>
      <c r="Y162" s="3" t="str">
        <f t="shared" ref="Y162:Y167" si="36">CONCATENATE(TRIM(C162)," ",TRIM(E162))</f>
        <v>3C6SRBDG7JG220029 NAP3316</v>
      </c>
      <c r="AC162" s="11" t="str">
        <f>VLOOKUP($E162,'ResguardosXDir-CZ'!$C$2:$G$123,5,FALSE)</f>
        <v>ACADEMICA</v>
      </c>
      <c r="AD162" s="11" t="str">
        <f>VLOOKUP($E162,'ResguardosXDir-CZ'!$C$2:$G$123,4,FALSE)</f>
        <v>Juan José Torres Martínez</v>
      </c>
      <c r="AE162" s="3">
        <v>6</v>
      </c>
    </row>
    <row r="163" spans="1:31" ht="15" hidden="1" customHeight="1" x14ac:dyDescent="0.25">
      <c r="A163" s="4" t="str">
        <f t="shared" si="30"/>
        <v>NEH6560</v>
      </c>
      <c r="B163" s="3" t="str">
        <f t="shared" si="33"/>
        <v>Sin número de inventario</v>
      </c>
      <c r="C163" s="3" t="str">
        <f t="shared" si="34"/>
        <v>3N6AD33A4JK862756</v>
      </c>
      <c r="D163" s="3" t="s">
        <v>745</v>
      </c>
      <c r="E163" s="3" t="s">
        <v>631</v>
      </c>
      <c r="F163" s="4" t="s">
        <v>604</v>
      </c>
      <c r="G163" s="3" t="s">
        <v>426</v>
      </c>
      <c r="H163" s="3" t="s">
        <v>643</v>
      </c>
      <c r="I163" s="3" t="s">
        <v>681</v>
      </c>
      <c r="J163" s="3">
        <v>2018</v>
      </c>
      <c r="K163" s="5" t="s">
        <v>650</v>
      </c>
      <c r="L163" s="3" t="s">
        <v>674</v>
      </c>
      <c r="M163" s="3" t="s">
        <v>662</v>
      </c>
      <c r="N163" s="3" t="s">
        <v>468</v>
      </c>
      <c r="O163" s="3" t="s">
        <v>489</v>
      </c>
      <c r="P163" s="4" t="s">
        <v>679</v>
      </c>
      <c r="Q163" s="3" t="s">
        <v>680</v>
      </c>
      <c r="R163" s="3" t="str">
        <f ca="1">IF(OR(CELL("contenido",O163)="Baja",CELL("contenido",J163)&gt;2015,CELL("contenido",F163)="N/A"),"N/A",VLOOKUP(F163,#REF!,2,FALSE))</f>
        <v>N/A</v>
      </c>
      <c r="S163" s="3" t="str">
        <f ca="1">IF(OR(CELL("contenido",O163)="Baja",CELL("contenido",J163)&gt;2015,CELL("contenido",F163)="N/A"),"N/A",VLOOKUP(F163,#REF!,2,FALSE))</f>
        <v>N/A</v>
      </c>
      <c r="T163" s="3" t="str">
        <f ca="1">IF(OR(CELL("contenido",O163)="Baja",CELL("contenido",J163)&gt;2015,CELL("contenido",F163)="N/A"),"N/A",VLOOKUP(F163,#REF!,2,FALSE))</f>
        <v>N/A</v>
      </c>
      <c r="U163" s="3" t="str">
        <f ca="1">IF(OR(CELL("contenido",O163)="Baja",CELL("contenido",J163)&gt;2015,CELL("contenido",F163)="N/A"),"N/A",VLOOKUP(F163,#REF!,2,FALSE))</f>
        <v>N/A</v>
      </c>
      <c r="V163" s="3" t="str">
        <f t="shared" ca="1" si="35"/>
        <v>Activo</v>
      </c>
      <c r="W163" s="3" t="str">
        <f t="shared" si="32"/>
        <v>Zona Metropolitana de Guadalajara</v>
      </c>
      <c r="X163" s="3" t="e">
        <f>C163=VLOOKUP($C163,PólizaEstatal!$H$2:$H$82,1,FALSE)</f>
        <v>#N/A</v>
      </c>
      <c r="Y163" s="3" t="str">
        <f t="shared" si="36"/>
        <v>3N6AD33A4JK862756 NEH6560</v>
      </c>
      <c r="AC163" s="11" t="str">
        <f>VLOOKUP($E163,'ResguardosXDir-CZ'!$C$2:$G$123,5,FALSE)</f>
        <v>11 GUADALAJARA</v>
      </c>
      <c r="AD163" s="11" t="str">
        <f>VLOOKUP($E163,'ResguardosXDir-CZ'!$C$2:$G$123,4,FALSE)</f>
        <v>Laura Verónica Lambarén Verdín</v>
      </c>
      <c r="AE163" s="4">
        <v>4</v>
      </c>
    </row>
    <row r="164" spans="1:31" ht="15" hidden="1" customHeight="1" x14ac:dyDescent="0.25">
      <c r="A164" s="4" t="str">
        <f t="shared" si="30"/>
        <v>NEH6554</v>
      </c>
      <c r="B164" s="3" t="str">
        <f t="shared" si="33"/>
        <v>Sin número de inventario</v>
      </c>
      <c r="C164" s="3" t="str">
        <f t="shared" si="34"/>
        <v>3N6AD33A4JK861364</v>
      </c>
      <c r="D164" s="3" t="s">
        <v>744</v>
      </c>
      <c r="E164" s="12" t="s">
        <v>625</v>
      </c>
      <c r="F164" s="4" t="s">
        <v>604</v>
      </c>
      <c r="G164" s="3" t="s">
        <v>426</v>
      </c>
      <c r="H164" s="3" t="s">
        <v>643</v>
      </c>
      <c r="I164" s="3" t="s">
        <v>681</v>
      </c>
      <c r="J164" s="3">
        <v>2018</v>
      </c>
      <c r="K164" s="5" t="s">
        <v>654</v>
      </c>
      <c r="L164" s="3" t="s">
        <v>671</v>
      </c>
      <c r="M164" s="3" t="s">
        <v>662</v>
      </c>
      <c r="N164" s="3" t="s">
        <v>738</v>
      </c>
      <c r="O164" s="3" t="s">
        <v>737</v>
      </c>
      <c r="P164" s="4" t="s">
        <v>679</v>
      </c>
      <c r="Q164" s="3" t="s">
        <v>703</v>
      </c>
      <c r="R164" s="3" t="str">
        <f ca="1">IF(OR(CELL("contenido",O164)="Baja",CELL("contenido",J164)&gt;2015,CELL("contenido",F164)="N/A"),"N/A",VLOOKUP(F164,#REF!,2,FALSE))</f>
        <v>N/A</v>
      </c>
      <c r="S164" s="3" t="str">
        <f ca="1">IF(OR(CELL("contenido",O164)="Baja",CELL("contenido",J164)&gt;2015,CELL("contenido",F164)="N/A"),"N/A",VLOOKUP(F164,#REF!,2,FALSE))</f>
        <v>N/A</v>
      </c>
      <c r="T164" s="3" t="str">
        <f ca="1">IF(OR(CELL("contenido",O164)="Baja",CELL("contenido",J164)&gt;2015,CELL("contenido",F164)="N/A"),"N/A",VLOOKUP(F164,#REF!,2,FALSE))</f>
        <v>N/A</v>
      </c>
      <c r="U164" s="3" t="str">
        <f ca="1">IF(OR(CELL("contenido",O164)="Baja",CELL("contenido",J164)&gt;2015,CELL("contenido",F164)="N/A"),"N/A",VLOOKUP(F164,#REF!,2,FALSE))</f>
        <v>N/A</v>
      </c>
      <c r="V164" s="3" t="str">
        <f t="shared" ca="1" si="35"/>
        <v>Activo</v>
      </c>
      <c r="W164" s="3" t="str">
        <f t="shared" si="32"/>
        <v>Zona Metropolitana de Guadalajara</v>
      </c>
      <c r="X164" s="3" t="e">
        <f>C164=VLOOKUP($C164,PólizaEstatal!$H$2:$H$82,1,FALSE)</f>
        <v>#N/A</v>
      </c>
      <c r="Y164" s="3" t="str">
        <f t="shared" si="36"/>
        <v>3N6AD33A4JK861364 NEH6554</v>
      </c>
      <c r="AC164" s="74" t="s">
        <v>738</v>
      </c>
      <c r="AD164" s="74" t="s">
        <v>949</v>
      </c>
      <c r="AE164" s="4">
        <v>4</v>
      </c>
    </row>
    <row r="165" spans="1:31" ht="15" hidden="1" customHeight="1" x14ac:dyDescent="0.25">
      <c r="A165" s="4" t="str">
        <f t="shared" si="30"/>
        <v>NFT6278</v>
      </c>
      <c r="B165" s="3" t="str">
        <f t="shared" si="33"/>
        <v>Sin número de inventario</v>
      </c>
      <c r="C165" s="3" t="str">
        <f t="shared" si="34"/>
        <v>3N6AD33A8JK861643</v>
      </c>
      <c r="D165" s="3" t="s">
        <v>743</v>
      </c>
      <c r="E165" s="12" t="s">
        <v>633</v>
      </c>
      <c r="F165" s="4" t="s">
        <v>604</v>
      </c>
      <c r="G165" s="3" t="s">
        <v>426</v>
      </c>
      <c r="H165" s="3" t="s">
        <v>643</v>
      </c>
      <c r="I165" s="3" t="s">
        <v>681</v>
      </c>
      <c r="J165" s="3">
        <v>2018</v>
      </c>
      <c r="K165" s="5" t="s">
        <v>652</v>
      </c>
      <c r="L165" s="3" t="s">
        <v>672</v>
      </c>
      <c r="M165" s="3" t="s">
        <v>662</v>
      </c>
      <c r="N165" s="3" t="s">
        <v>466</v>
      </c>
      <c r="O165" s="5" t="s">
        <v>730</v>
      </c>
      <c r="P165" s="4" t="s">
        <v>679</v>
      </c>
      <c r="Q165" s="3" t="s">
        <v>704</v>
      </c>
      <c r="R165" s="3" t="str">
        <f ca="1">IF(OR(CELL("contenido",O165)="Baja",CELL("contenido",J165)&gt;2015,CELL("contenido",F165)="N/A"),"N/A",VLOOKUP(F165,#REF!,2,FALSE))</f>
        <v>N/A</v>
      </c>
      <c r="S165" s="3" t="str">
        <f ca="1">IF(OR(CELL("contenido",O165)="Baja",CELL("contenido",J165)&gt;2015,CELL("contenido",F165)="N/A"),"N/A",VLOOKUP(F165,#REF!,2,FALSE))</f>
        <v>N/A</v>
      </c>
      <c r="T165" s="3" t="str">
        <f ca="1">IF(OR(CELL("contenido",O165)="Baja",CELL("contenido",J165)&gt;2015,CELL("contenido",F165)="N/A"),"N/A",VLOOKUP(F165,#REF!,2,FALSE))</f>
        <v>N/A</v>
      </c>
      <c r="U165" s="3" t="str">
        <f ca="1">IF(OR(CELL("contenido",O165)="Baja",CELL("contenido",J165)&gt;2015,CELL("contenido",F165)="N/A"),"N/A",VLOOKUP(F165,#REF!,2,FALSE))</f>
        <v>N/A</v>
      </c>
      <c r="V165" s="3" t="str">
        <f t="shared" ca="1" si="35"/>
        <v>Activo</v>
      </c>
      <c r="W165" s="3" t="str">
        <f t="shared" si="32"/>
        <v>Mazamitla</v>
      </c>
      <c r="X165" s="3" t="e">
        <f>C165=VLOOKUP($C165,PólizaEstatal!$H$2:$H$82,1,FALSE)</f>
        <v>#N/A</v>
      </c>
      <c r="Y165" s="3" t="str">
        <f t="shared" si="36"/>
        <v>3N6AD33A8JK861643 NFT6278</v>
      </c>
      <c r="AC165" s="11" t="str">
        <f>VLOOKUP($E165,'ResguardosXDir-CZ'!$C$2:$G$123,5,FALSE)</f>
        <v>06 MAZAMITLA</v>
      </c>
      <c r="AD165" s="11" t="str">
        <f>VLOOKUP($E165,'ResguardosXDir-CZ'!$C$2:$G$123,4,FALSE)</f>
        <v>Humberto Acevedo Trinidad</v>
      </c>
      <c r="AE165" s="4">
        <v>4</v>
      </c>
    </row>
    <row r="166" spans="1:31" ht="14.25" hidden="1" customHeight="1" x14ac:dyDescent="0.25">
      <c r="A166" s="4" t="str">
        <f t="shared" si="30"/>
        <v>NFT6177</v>
      </c>
      <c r="B166" s="3" t="str">
        <f t="shared" si="33"/>
        <v>Sin número de inventario</v>
      </c>
      <c r="C166" s="3" t="str">
        <f t="shared" si="34"/>
        <v>JTFSX23P5J6189419</v>
      </c>
      <c r="D166" s="3" t="s">
        <v>742</v>
      </c>
      <c r="E166" s="3" t="s">
        <v>630</v>
      </c>
      <c r="F166" s="4" t="s">
        <v>604</v>
      </c>
      <c r="G166" s="3" t="s">
        <v>445</v>
      </c>
      <c r="H166" s="3" t="s">
        <v>642</v>
      </c>
      <c r="I166" s="3" t="s">
        <v>681</v>
      </c>
      <c r="J166" s="3">
        <v>2018</v>
      </c>
      <c r="K166" s="5" t="s">
        <v>817</v>
      </c>
      <c r="L166" s="3" t="s">
        <v>675</v>
      </c>
      <c r="M166" s="3" t="s">
        <v>662</v>
      </c>
      <c r="N166" s="3" t="s">
        <v>614</v>
      </c>
      <c r="O166" s="3" t="s">
        <v>488</v>
      </c>
      <c r="P166" s="4" t="s">
        <v>679</v>
      </c>
      <c r="R166" s="3" t="str">
        <f ca="1">IF(OR(CELL("contenido",O166)="Baja",CELL("contenido",J166)&gt;2015,CELL("contenido",F166)="N/A"),"N/A",VLOOKUP(F166,#REF!,2,FALSE))</f>
        <v>N/A</v>
      </c>
      <c r="S166" s="3" t="str">
        <f ca="1">IF(OR(CELL("contenido",O166)="Baja",CELL("contenido",J166)&gt;2015,CELL("contenido",F166)="N/A"),"N/A",VLOOKUP(F166,#REF!,2,FALSE))</f>
        <v>N/A</v>
      </c>
      <c r="T166" s="3" t="str">
        <f ca="1">IF(OR(CELL("contenido",O166)="Baja",CELL("contenido",J166)&gt;2015,CELL("contenido",F166)="N/A"),"N/A",VLOOKUP(F166,#REF!,2,FALSE))</f>
        <v>N/A</v>
      </c>
      <c r="U166" s="3" t="str">
        <f ca="1">IF(OR(CELL("contenido",O166)="Baja",CELL("contenido",J166)&gt;2015,CELL("contenido",F166)="N/A"),"N/A",VLOOKUP(F166,#REF!,2,FALSE))</f>
        <v>N/A</v>
      </c>
      <c r="V166" s="3" t="str">
        <f t="shared" ca="1" si="35"/>
        <v>Activo</v>
      </c>
      <c r="W166" s="3" t="str">
        <f t="shared" si="32"/>
        <v>Zona Metropolitana de Guadalajara</v>
      </c>
      <c r="X166" s="3" t="e">
        <f>C166=VLOOKUP($C166,PólizaEstatal!$H$2:$H$82,1,FALSE)</f>
        <v>#N/A</v>
      </c>
      <c r="Y166" s="3" t="str">
        <f t="shared" si="36"/>
        <v>JTFSX23P5J6189419 NFT6177</v>
      </c>
      <c r="AC166" s="11" t="str">
        <f>VLOOKUP($E166,'ResguardosXDir-CZ'!$C$2:$G$123,5,FALSE)</f>
        <v>ALMACEN</v>
      </c>
      <c r="AD166" s="11" t="str">
        <f>VLOOKUP($E166,'ResguardosXDir-CZ'!$C$2:$G$123,4,FALSE)</f>
        <v>Jose Osorio Lomelí</v>
      </c>
      <c r="AE166" s="4">
        <v>4</v>
      </c>
    </row>
    <row r="167" spans="1:31" ht="14.25" hidden="1" customHeight="1" x14ac:dyDescent="0.25">
      <c r="A167" s="4" t="str">
        <f t="shared" si="30"/>
        <v>NEF4879</v>
      </c>
      <c r="B167" s="3" t="str">
        <f t="shared" si="33"/>
        <v>Sin número de inventario</v>
      </c>
      <c r="C167" s="3" t="str">
        <f t="shared" si="34"/>
        <v>3GNAX9EV2JS503247</v>
      </c>
      <c r="D167" s="3" t="s">
        <v>741</v>
      </c>
      <c r="E167" s="3" t="s">
        <v>629</v>
      </c>
      <c r="F167" s="4" t="s">
        <v>604</v>
      </c>
      <c r="G167" s="3" t="s">
        <v>425</v>
      </c>
      <c r="H167" s="3" t="s">
        <v>641</v>
      </c>
      <c r="I167" s="3" t="s">
        <v>681</v>
      </c>
      <c r="J167" s="3">
        <v>2018</v>
      </c>
      <c r="K167" s="5" t="s">
        <v>649</v>
      </c>
      <c r="L167" s="3" t="s">
        <v>676</v>
      </c>
      <c r="M167" s="3" t="s">
        <v>662</v>
      </c>
      <c r="N167" s="3" t="s">
        <v>484</v>
      </c>
      <c r="O167" s="5" t="s">
        <v>762</v>
      </c>
      <c r="P167" s="4" t="s">
        <v>679</v>
      </c>
      <c r="Q167" s="3" t="s">
        <v>421</v>
      </c>
      <c r="R167" s="3" t="str">
        <f ca="1">IF(OR(CELL("contenido",O167)="Baja",CELL("contenido",J167)&gt;2015,CELL("contenido",F167)="N/A"),"N/A",VLOOKUP(F167,#REF!,2,FALSE))</f>
        <v>N/A</v>
      </c>
      <c r="S167" s="3" t="str">
        <f ca="1">IF(OR(CELL("contenido",O167)="Baja",CELL("contenido",J167)&gt;2015,CELL("contenido",F167)="N/A"),"N/A",VLOOKUP(F167,#REF!,2,FALSE))</f>
        <v>N/A</v>
      </c>
      <c r="T167" s="3" t="str">
        <f ca="1">IF(OR(CELL("contenido",O167)="Baja",CELL("contenido",J167)&gt;2015,CELL("contenido",F167)="N/A"),"N/A",VLOOKUP(F167,#REF!,2,FALSE))</f>
        <v>N/A</v>
      </c>
      <c r="U167" s="3" t="str">
        <f ca="1">IF(OR(CELL("contenido",O167)="Baja",CELL("contenido",J167)&gt;2015,CELL("contenido",F167)="N/A"),"N/A",VLOOKUP(F167,#REF!,2,FALSE))</f>
        <v>N/A</v>
      </c>
      <c r="V167" s="3" t="str">
        <f t="shared" ca="1" si="35"/>
        <v>Activo</v>
      </c>
      <c r="W167" s="3" t="str">
        <f t="shared" si="32"/>
        <v>Zona Metropolitana de Guadalajara</v>
      </c>
      <c r="X167" s="3" t="e">
        <f>C167=VLOOKUP($C167,PólizaEstatal!$H$2:$H$82,1,FALSE)</f>
        <v>#N/A</v>
      </c>
      <c r="Y167" s="3" t="str">
        <f t="shared" si="36"/>
        <v>3GNAX9EV2JS503247 NEF4879</v>
      </c>
      <c r="AC167" s="11" t="str">
        <f>VLOOKUP($E167,'ResguardosXDir-CZ'!$C$2:$G$123,5,FALSE)</f>
        <v>DIRECCION GENERAL</v>
      </c>
      <c r="AD167" s="11" t="str">
        <f>VLOOKUP($E167,'ResguardosXDir-CZ'!$C$2:$G$123,4,FALSE)</f>
        <v>Marcos Godínez Montes</v>
      </c>
      <c r="AE167" s="3">
        <v>4</v>
      </c>
    </row>
  </sheetData>
  <autoFilter ref="A1:AD167">
    <filterColumn colId="6">
      <filters>
        <filter val="FORD"/>
      </filters>
    </filterColumn>
    <filterColumn colId="7">
      <filters>
        <filter val="RANGER"/>
        <filter val="RANGER XL"/>
      </filters>
    </filterColumn>
  </autoFilter>
  <sortState ref="A148:V167">
    <sortCondition ref="D148:D167" customList="R-1,R-2,R-3,R-4,R-5,R-6,R-7,R-8,R-9,R-10,R-11,R-12,R-13,R-14,R-15,R-16,R-17,R-18,R-19,R-20"/>
  </sortState>
  <pageMargins left="0.70866141732283472" right="0.70866141732283472" top="1.3385826771653544" bottom="0.74803149606299213" header="0.31496062992125984" footer="0.31496062992125984"/>
  <pageSetup scale="75" orientation="landscape" horizontalDpi="4294967295" verticalDpi="4294967295" r:id="rId1"/>
  <headerFooter>
    <oddHeader>&amp;L&amp;G&amp;R&amp;"Arial Rounded MT Bold,Negrita"Listado de vehículos resguardados en Coordinaciones de ZonaOrigen: Comodato INEA</oddHead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123"/>
  <sheetViews>
    <sheetView zoomScale="80" zoomScaleNormal="80" workbookViewId="0">
      <pane ySplit="1" topLeftCell="A50" activePane="bottomLeft" state="frozen"/>
      <selection pane="bottomLeft" activeCell="G22" sqref="G22"/>
    </sheetView>
  </sheetViews>
  <sheetFormatPr baseColWidth="10" defaultRowHeight="14.25" x14ac:dyDescent="0.2"/>
  <cols>
    <col min="1" max="1" width="44.5703125" style="72" bestFit="1" customWidth="1"/>
    <col min="2" max="2" width="9" style="72" customWidth="1"/>
    <col min="3" max="3" width="12.28515625" style="72" bestFit="1" customWidth="1"/>
    <col min="4" max="4" width="13.28515625" style="72" customWidth="1"/>
    <col min="5" max="5" width="11" style="72" customWidth="1"/>
    <col min="6" max="6" width="52.42578125" style="72" bestFit="1" customWidth="1"/>
    <col min="7" max="7" width="22" style="72" customWidth="1"/>
    <col min="8" max="16384" width="11.42578125" style="72"/>
  </cols>
  <sheetData>
    <row r="1" spans="1:7" x14ac:dyDescent="0.2">
      <c r="A1" s="72" t="s">
        <v>945</v>
      </c>
      <c r="B1" s="72" t="s">
        <v>766</v>
      </c>
      <c r="C1" s="72" t="s">
        <v>944</v>
      </c>
      <c r="D1" s="72" t="s">
        <v>943</v>
      </c>
      <c r="E1" s="72" t="s">
        <v>942</v>
      </c>
      <c r="F1" s="72" t="s">
        <v>941</v>
      </c>
      <c r="G1" s="72" t="s">
        <v>940</v>
      </c>
    </row>
    <row r="2" spans="1:7" x14ac:dyDescent="0.2">
      <c r="A2" s="72" t="s">
        <v>859</v>
      </c>
      <c r="B2" s="72">
        <v>2009</v>
      </c>
      <c r="C2" s="72" t="s">
        <v>495</v>
      </c>
      <c r="D2" s="72">
        <v>95</v>
      </c>
      <c r="E2" s="72" t="s">
        <v>5</v>
      </c>
      <c r="F2" s="72" t="s">
        <v>936</v>
      </c>
      <c r="G2" s="72" t="s">
        <v>935</v>
      </c>
    </row>
    <row r="3" spans="1:7" x14ac:dyDescent="0.2">
      <c r="A3" s="72" t="s">
        <v>878</v>
      </c>
      <c r="B3" s="72">
        <v>2014</v>
      </c>
      <c r="C3" s="72" t="s">
        <v>342</v>
      </c>
      <c r="D3" s="72">
        <v>145</v>
      </c>
      <c r="E3" s="72" t="s">
        <v>5</v>
      </c>
      <c r="F3" s="72" t="s">
        <v>936</v>
      </c>
      <c r="G3" s="72" t="s">
        <v>935</v>
      </c>
    </row>
    <row r="4" spans="1:7" x14ac:dyDescent="0.2">
      <c r="A4" s="72" t="s">
        <v>939</v>
      </c>
      <c r="B4" s="72">
        <v>2012</v>
      </c>
      <c r="C4" s="72" t="s">
        <v>496</v>
      </c>
      <c r="D4" s="72">
        <v>149</v>
      </c>
      <c r="E4" s="72" t="s">
        <v>9</v>
      </c>
      <c r="F4" s="72" t="s">
        <v>936</v>
      </c>
      <c r="G4" s="72" t="s">
        <v>935</v>
      </c>
    </row>
    <row r="5" spans="1:7" x14ac:dyDescent="0.2">
      <c r="A5" s="72" t="s">
        <v>938</v>
      </c>
      <c r="B5" s="72">
        <v>2018</v>
      </c>
      <c r="C5" s="72" t="s">
        <v>632</v>
      </c>
      <c r="D5" s="72" t="s">
        <v>937</v>
      </c>
      <c r="E5" s="72" t="s">
        <v>9</v>
      </c>
      <c r="F5" s="72" t="s">
        <v>936</v>
      </c>
      <c r="G5" s="72" t="s">
        <v>935</v>
      </c>
    </row>
    <row r="6" spans="1:7" x14ac:dyDescent="0.2">
      <c r="A6" s="72" t="s">
        <v>878</v>
      </c>
      <c r="B6" s="72">
        <v>2014</v>
      </c>
      <c r="C6" s="72" t="s">
        <v>286</v>
      </c>
      <c r="D6" s="72">
        <v>144</v>
      </c>
      <c r="E6" s="72" t="s">
        <v>5</v>
      </c>
      <c r="F6" s="72" t="s">
        <v>824</v>
      </c>
      <c r="G6" s="72" t="s">
        <v>933</v>
      </c>
    </row>
    <row r="7" spans="1:7" x14ac:dyDescent="0.2">
      <c r="A7" s="72" t="s">
        <v>859</v>
      </c>
      <c r="B7" s="72">
        <v>2012</v>
      </c>
      <c r="C7" s="72" t="s">
        <v>500</v>
      </c>
      <c r="D7" s="72">
        <v>150</v>
      </c>
      <c r="E7" s="72" t="s">
        <v>9</v>
      </c>
      <c r="F7" s="72" t="s">
        <v>824</v>
      </c>
      <c r="G7" s="72" t="s">
        <v>933</v>
      </c>
    </row>
    <row r="8" spans="1:7" x14ac:dyDescent="0.2">
      <c r="A8" s="72" t="s">
        <v>861</v>
      </c>
      <c r="B8" s="72">
        <v>2018</v>
      </c>
      <c r="C8" s="72" t="s">
        <v>638</v>
      </c>
      <c r="D8" s="72" t="s">
        <v>934</v>
      </c>
      <c r="E8" s="72" t="s">
        <v>9</v>
      </c>
      <c r="F8" s="72" t="s">
        <v>824</v>
      </c>
      <c r="G8" s="72" t="s">
        <v>933</v>
      </c>
    </row>
    <row r="9" spans="1:7" x14ac:dyDescent="0.2">
      <c r="A9" s="72" t="s">
        <v>899</v>
      </c>
      <c r="B9" s="72">
        <v>2014</v>
      </c>
      <c r="C9" s="72" t="s">
        <v>510</v>
      </c>
      <c r="D9" s="72">
        <v>137</v>
      </c>
      <c r="E9" s="72" t="s">
        <v>5</v>
      </c>
      <c r="F9" s="72" t="s">
        <v>824</v>
      </c>
      <c r="G9" s="72" t="s">
        <v>933</v>
      </c>
    </row>
    <row r="10" spans="1:7" x14ac:dyDescent="0.2">
      <c r="A10" s="72" t="s">
        <v>876</v>
      </c>
      <c r="B10" s="72">
        <v>2008</v>
      </c>
      <c r="C10" s="72" t="s">
        <v>398</v>
      </c>
      <c r="D10" s="72">
        <v>85</v>
      </c>
      <c r="E10" s="72" t="s">
        <v>5</v>
      </c>
      <c r="F10" s="72" t="s">
        <v>825</v>
      </c>
      <c r="G10" s="72" t="s">
        <v>931</v>
      </c>
    </row>
    <row r="11" spans="1:7" x14ac:dyDescent="0.2">
      <c r="A11" s="72" t="s">
        <v>865</v>
      </c>
      <c r="B11" s="72">
        <v>2009</v>
      </c>
      <c r="C11" s="72" t="s">
        <v>399</v>
      </c>
      <c r="D11" s="72">
        <v>109</v>
      </c>
      <c r="E11" s="72" t="s">
        <v>5</v>
      </c>
      <c r="F11" s="72" t="s">
        <v>825</v>
      </c>
      <c r="G11" s="72" t="s">
        <v>931</v>
      </c>
    </row>
    <row r="12" spans="1:7" x14ac:dyDescent="0.2">
      <c r="A12" s="72" t="s">
        <v>904</v>
      </c>
      <c r="B12" s="72">
        <v>2015</v>
      </c>
      <c r="C12" s="72" t="s">
        <v>301</v>
      </c>
      <c r="D12" s="72">
        <v>131</v>
      </c>
      <c r="E12" s="72" t="s">
        <v>5</v>
      </c>
      <c r="F12" s="72" t="s">
        <v>825</v>
      </c>
      <c r="G12" s="72" t="s">
        <v>931</v>
      </c>
    </row>
    <row r="13" spans="1:7" x14ac:dyDescent="0.2">
      <c r="A13" s="72" t="s">
        <v>878</v>
      </c>
      <c r="B13" s="72">
        <v>2014</v>
      </c>
      <c r="C13" s="72" t="s">
        <v>322</v>
      </c>
      <c r="D13" s="72">
        <v>139</v>
      </c>
      <c r="E13" s="72" t="s">
        <v>5</v>
      </c>
      <c r="F13" s="72" t="s">
        <v>825</v>
      </c>
      <c r="G13" s="72" t="s">
        <v>931</v>
      </c>
    </row>
    <row r="14" spans="1:7" x14ac:dyDescent="0.2">
      <c r="A14" s="72" t="s">
        <v>861</v>
      </c>
      <c r="B14" s="72">
        <v>2018</v>
      </c>
      <c r="C14" s="72" t="s">
        <v>634</v>
      </c>
      <c r="D14" s="72" t="s">
        <v>932</v>
      </c>
      <c r="E14" s="72" t="s">
        <v>9</v>
      </c>
      <c r="F14" s="72" t="s">
        <v>959</v>
      </c>
      <c r="G14" s="72" t="s">
        <v>763</v>
      </c>
    </row>
    <row r="15" spans="1:7" x14ac:dyDescent="0.2">
      <c r="A15" s="72" t="s">
        <v>876</v>
      </c>
      <c r="B15" s="72">
        <v>2008</v>
      </c>
      <c r="C15" s="72" t="s">
        <v>502</v>
      </c>
      <c r="D15" s="72">
        <v>86</v>
      </c>
      <c r="E15" s="72" t="s">
        <v>5</v>
      </c>
      <c r="F15" s="72" t="s">
        <v>730</v>
      </c>
      <c r="G15" s="72" t="s">
        <v>929</v>
      </c>
    </row>
    <row r="16" spans="1:7" x14ac:dyDescent="0.2">
      <c r="A16" s="72" t="s">
        <v>859</v>
      </c>
      <c r="B16" s="72">
        <v>2011</v>
      </c>
      <c r="C16" s="72" t="s">
        <v>501</v>
      </c>
      <c r="D16" s="72">
        <v>120</v>
      </c>
      <c r="E16" s="72" t="s">
        <v>9</v>
      </c>
      <c r="F16" s="72" t="s">
        <v>730</v>
      </c>
      <c r="G16" s="72" t="s">
        <v>929</v>
      </c>
    </row>
    <row r="17" spans="1:7" x14ac:dyDescent="0.2">
      <c r="A17" s="72" t="s">
        <v>878</v>
      </c>
      <c r="B17" s="72">
        <v>2014</v>
      </c>
      <c r="C17" s="72" t="s">
        <v>350</v>
      </c>
      <c r="D17" s="72">
        <v>147</v>
      </c>
      <c r="E17" s="72" t="s">
        <v>5</v>
      </c>
      <c r="F17" s="72" t="s">
        <v>730</v>
      </c>
      <c r="G17" s="72" t="s">
        <v>929</v>
      </c>
    </row>
    <row r="18" spans="1:7" x14ac:dyDescent="0.2">
      <c r="A18" s="72" t="s">
        <v>861</v>
      </c>
      <c r="B18" s="72">
        <v>2018</v>
      </c>
      <c r="C18" s="72" t="s">
        <v>633</v>
      </c>
      <c r="D18" s="72" t="s">
        <v>930</v>
      </c>
      <c r="E18" s="72" t="s">
        <v>9</v>
      </c>
      <c r="F18" s="72" t="s">
        <v>730</v>
      </c>
      <c r="G18" s="72" t="s">
        <v>929</v>
      </c>
    </row>
    <row r="19" spans="1:7" x14ac:dyDescent="0.2">
      <c r="A19" s="72" t="s">
        <v>859</v>
      </c>
      <c r="B19" s="72">
        <v>2011</v>
      </c>
      <c r="C19" s="72" t="s">
        <v>503</v>
      </c>
      <c r="D19" s="72">
        <v>116</v>
      </c>
      <c r="E19" s="72" t="s">
        <v>9</v>
      </c>
      <c r="F19" s="72" t="s">
        <v>731</v>
      </c>
      <c r="G19" s="72" t="s">
        <v>927</v>
      </c>
    </row>
    <row r="20" spans="1:7" x14ac:dyDescent="0.2">
      <c r="A20" s="72" t="s">
        <v>904</v>
      </c>
      <c r="B20" s="72">
        <v>2015</v>
      </c>
      <c r="C20" s="72" t="s">
        <v>319</v>
      </c>
      <c r="D20" s="72">
        <v>138</v>
      </c>
      <c r="E20" s="72" t="s">
        <v>5</v>
      </c>
      <c r="F20" s="72" t="s">
        <v>731</v>
      </c>
      <c r="G20" s="72" t="s">
        <v>927</v>
      </c>
    </row>
    <row r="21" spans="1:7" x14ac:dyDescent="0.2">
      <c r="A21" s="72" t="s">
        <v>878</v>
      </c>
      <c r="B21" s="72">
        <v>2014</v>
      </c>
      <c r="C21" s="72" t="s">
        <v>346</v>
      </c>
      <c r="D21" s="72">
        <v>146</v>
      </c>
      <c r="E21" s="72" t="s">
        <v>5</v>
      </c>
      <c r="F21" s="72" t="s">
        <v>731</v>
      </c>
      <c r="G21" s="72" t="s">
        <v>927</v>
      </c>
    </row>
    <row r="22" spans="1:7" x14ac:dyDescent="0.2">
      <c r="A22" s="72" t="s">
        <v>861</v>
      </c>
      <c r="B22" s="72">
        <v>2018</v>
      </c>
      <c r="C22" s="3" t="s">
        <v>966</v>
      </c>
      <c r="D22" s="72" t="s">
        <v>928</v>
      </c>
      <c r="E22" s="72" t="s">
        <v>9</v>
      </c>
      <c r="F22" s="72" t="s">
        <v>851</v>
      </c>
      <c r="G22" s="72" t="s">
        <v>850</v>
      </c>
    </row>
    <row r="23" spans="1:7" x14ac:dyDescent="0.2">
      <c r="A23" s="72" t="s">
        <v>876</v>
      </c>
      <c r="B23" s="72">
        <v>2003</v>
      </c>
      <c r="C23" s="72" t="s">
        <v>509</v>
      </c>
      <c r="D23" s="72">
        <v>41</v>
      </c>
      <c r="E23" s="72" t="s">
        <v>5</v>
      </c>
      <c r="F23" s="72" t="s">
        <v>926</v>
      </c>
      <c r="G23" s="72" t="s">
        <v>925</v>
      </c>
    </row>
    <row r="24" spans="1:7" x14ac:dyDescent="0.2">
      <c r="A24" s="72" t="s">
        <v>859</v>
      </c>
      <c r="B24" s="72">
        <v>2009</v>
      </c>
      <c r="C24" s="72" t="s">
        <v>506</v>
      </c>
      <c r="D24" s="72">
        <v>99</v>
      </c>
      <c r="E24" s="72" t="s">
        <v>5</v>
      </c>
      <c r="F24" s="72" t="s">
        <v>926</v>
      </c>
      <c r="G24" s="72" t="s">
        <v>925</v>
      </c>
    </row>
    <row r="25" spans="1:7" x14ac:dyDescent="0.2">
      <c r="A25" s="72" t="s">
        <v>904</v>
      </c>
      <c r="B25" s="72">
        <v>2015</v>
      </c>
      <c r="C25" s="72" t="s">
        <v>280</v>
      </c>
      <c r="D25" s="72">
        <v>124</v>
      </c>
      <c r="E25" s="72" t="s">
        <v>5</v>
      </c>
      <c r="F25" s="72" t="s">
        <v>926</v>
      </c>
      <c r="G25" s="72" t="s">
        <v>925</v>
      </c>
    </row>
    <row r="26" spans="1:7" x14ac:dyDescent="0.2">
      <c r="A26" s="72" t="s">
        <v>859</v>
      </c>
      <c r="B26" s="72">
        <v>2012</v>
      </c>
      <c r="C26" s="72" t="s">
        <v>508</v>
      </c>
      <c r="D26" s="72">
        <v>151</v>
      </c>
      <c r="E26" s="72" t="s">
        <v>9</v>
      </c>
      <c r="F26" s="72" t="s">
        <v>926</v>
      </c>
      <c r="G26" s="72" t="s">
        <v>925</v>
      </c>
    </row>
    <row r="27" spans="1:7" x14ac:dyDescent="0.2">
      <c r="A27" s="72" t="s">
        <v>859</v>
      </c>
      <c r="B27" s="72">
        <v>2009</v>
      </c>
      <c r="C27" s="72" t="s">
        <v>507</v>
      </c>
      <c r="D27" s="72">
        <v>100</v>
      </c>
      <c r="E27" s="72" t="s">
        <v>9</v>
      </c>
      <c r="F27" s="72" t="s">
        <v>926</v>
      </c>
      <c r="G27" s="72" t="s">
        <v>925</v>
      </c>
    </row>
    <row r="28" spans="1:7" x14ac:dyDescent="0.2">
      <c r="A28" s="72" t="s">
        <v>876</v>
      </c>
      <c r="B28" s="72">
        <v>2003</v>
      </c>
      <c r="C28" s="72" t="s">
        <v>512</v>
      </c>
      <c r="D28" s="72">
        <v>31</v>
      </c>
      <c r="E28" s="72" t="s">
        <v>5</v>
      </c>
      <c r="F28" s="72" t="s">
        <v>732</v>
      </c>
      <c r="G28" s="72" t="s">
        <v>924</v>
      </c>
    </row>
    <row r="29" spans="1:7" x14ac:dyDescent="0.2">
      <c r="A29" s="72" t="s">
        <v>859</v>
      </c>
      <c r="B29" s="72">
        <v>2009</v>
      </c>
      <c r="C29" s="72" t="s">
        <v>511</v>
      </c>
      <c r="D29" s="72">
        <v>104</v>
      </c>
      <c r="E29" s="72" t="s">
        <v>9</v>
      </c>
      <c r="F29" s="72" t="s">
        <v>732</v>
      </c>
      <c r="G29" s="72" t="s">
        <v>924</v>
      </c>
    </row>
    <row r="30" spans="1:7" x14ac:dyDescent="0.2">
      <c r="A30" s="72" t="s">
        <v>899</v>
      </c>
      <c r="B30" s="72">
        <v>2015</v>
      </c>
      <c r="C30" s="72" t="s">
        <v>318</v>
      </c>
      <c r="D30" s="72">
        <v>126</v>
      </c>
      <c r="E30" s="72" t="s">
        <v>5</v>
      </c>
      <c r="F30" s="72" t="s">
        <v>732</v>
      </c>
      <c r="G30" s="72" t="s">
        <v>924</v>
      </c>
    </row>
    <row r="31" spans="1:7" x14ac:dyDescent="0.2">
      <c r="A31" s="72" t="s">
        <v>859</v>
      </c>
      <c r="B31" s="72">
        <v>2009</v>
      </c>
      <c r="C31" s="72" t="s">
        <v>573</v>
      </c>
      <c r="D31" s="72">
        <v>103</v>
      </c>
      <c r="E31" s="72" t="s">
        <v>9</v>
      </c>
      <c r="F31" s="72" t="s">
        <v>489</v>
      </c>
      <c r="G31" s="72" t="s">
        <v>922</v>
      </c>
    </row>
    <row r="32" spans="1:7" x14ac:dyDescent="0.2">
      <c r="A32" s="73" t="s">
        <v>861</v>
      </c>
      <c r="B32" s="72">
        <v>2018</v>
      </c>
      <c r="C32" s="72" t="s">
        <v>631</v>
      </c>
      <c r="D32" s="72" t="s">
        <v>923</v>
      </c>
      <c r="E32" s="72" t="s">
        <v>9</v>
      </c>
      <c r="F32" s="72" t="s">
        <v>489</v>
      </c>
      <c r="G32" s="72" t="s">
        <v>922</v>
      </c>
    </row>
    <row r="33" spans="1:7" x14ac:dyDescent="0.2">
      <c r="A33" s="72" t="s">
        <v>859</v>
      </c>
      <c r="B33" s="72">
        <v>2009</v>
      </c>
      <c r="C33" s="72" t="s">
        <v>515</v>
      </c>
      <c r="D33" s="72">
        <v>96</v>
      </c>
      <c r="E33" s="72" t="s">
        <v>5</v>
      </c>
      <c r="F33" s="72" t="s">
        <v>733</v>
      </c>
      <c r="G33" s="72" t="s">
        <v>920</v>
      </c>
    </row>
    <row r="34" spans="1:7" x14ac:dyDescent="0.2">
      <c r="A34" s="72" t="s">
        <v>904</v>
      </c>
      <c r="B34" s="72">
        <v>2015</v>
      </c>
      <c r="C34" s="72" t="s">
        <v>292</v>
      </c>
      <c r="D34" s="72">
        <v>128</v>
      </c>
      <c r="E34" s="72" t="s">
        <v>5</v>
      </c>
      <c r="F34" s="72" t="s">
        <v>733</v>
      </c>
      <c r="G34" s="72" t="s">
        <v>920</v>
      </c>
    </row>
    <row r="35" spans="1:7" x14ac:dyDescent="0.2">
      <c r="A35" s="72" t="s">
        <v>878</v>
      </c>
      <c r="B35" s="72">
        <v>2014</v>
      </c>
      <c r="C35" s="72" t="s">
        <v>330</v>
      </c>
      <c r="D35" s="72">
        <v>141</v>
      </c>
      <c r="E35" s="72" t="s">
        <v>5</v>
      </c>
      <c r="F35" s="72" t="s">
        <v>733</v>
      </c>
      <c r="G35" s="72" t="s">
        <v>920</v>
      </c>
    </row>
    <row r="36" spans="1:7" x14ac:dyDescent="0.2">
      <c r="A36" s="72" t="s">
        <v>859</v>
      </c>
      <c r="B36" s="72">
        <v>2012</v>
      </c>
      <c r="C36" s="72" t="s">
        <v>516</v>
      </c>
      <c r="D36" s="72">
        <v>152</v>
      </c>
      <c r="E36" s="72" t="s">
        <v>9</v>
      </c>
      <c r="F36" s="72" t="s">
        <v>733</v>
      </c>
      <c r="G36" s="72" t="s">
        <v>920</v>
      </c>
    </row>
    <row r="37" spans="1:7" x14ac:dyDescent="0.2">
      <c r="A37" s="72" t="s">
        <v>861</v>
      </c>
      <c r="B37" s="72">
        <v>2018</v>
      </c>
      <c r="C37" s="72" t="s">
        <v>696</v>
      </c>
      <c r="D37" s="72" t="s">
        <v>921</v>
      </c>
      <c r="E37" s="72" t="s">
        <v>9</v>
      </c>
      <c r="F37" s="72" t="s">
        <v>733</v>
      </c>
      <c r="G37" s="72" t="s">
        <v>920</v>
      </c>
    </row>
    <row r="38" spans="1:7" x14ac:dyDescent="0.2">
      <c r="A38" s="72" t="s">
        <v>876</v>
      </c>
      <c r="B38" s="72">
        <v>2008</v>
      </c>
      <c r="C38" s="72" t="s">
        <v>520</v>
      </c>
      <c r="D38" s="72">
        <v>87</v>
      </c>
      <c r="E38" s="72" t="s">
        <v>5</v>
      </c>
      <c r="F38" s="72" t="s">
        <v>918</v>
      </c>
      <c r="G38" s="72" t="s">
        <v>917</v>
      </c>
    </row>
    <row r="39" spans="1:7" x14ac:dyDescent="0.2">
      <c r="A39" s="72" t="s">
        <v>859</v>
      </c>
      <c r="B39" s="72">
        <v>2009</v>
      </c>
      <c r="C39" s="72" t="s">
        <v>518</v>
      </c>
      <c r="D39" s="72">
        <v>105</v>
      </c>
      <c r="E39" s="72" t="s">
        <v>9</v>
      </c>
      <c r="F39" s="72" t="s">
        <v>918</v>
      </c>
      <c r="G39" s="72" t="s">
        <v>917</v>
      </c>
    </row>
    <row r="40" spans="1:7" x14ac:dyDescent="0.2">
      <c r="A40" s="72" t="s">
        <v>904</v>
      </c>
      <c r="B40" s="72">
        <v>2015</v>
      </c>
      <c r="C40" s="72" t="s">
        <v>313</v>
      </c>
      <c r="D40" s="72">
        <v>136</v>
      </c>
      <c r="E40" s="72" t="s">
        <v>5</v>
      </c>
      <c r="F40" s="72" t="s">
        <v>918</v>
      </c>
      <c r="G40" s="72" t="s">
        <v>917</v>
      </c>
    </row>
    <row r="41" spans="1:7" x14ac:dyDescent="0.2">
      <c r="A41" s="72" t="s">
        <v>919</v>
      </c>
      <c r="B41" s="72">
        <v>2003</v>
      </c>
      <c r="C41" s="72" t="s">
        <v>596</v>
      </c>
      <c r="D41" s="72">
        <v>40</v>
      </c>
      <c r="E41" s="72" t="s">
        <v>5</v>
      </c>
      <c r="F41" s="72" t="s">
        <v>918</v>
      </c>
      <c r="G41" s="72" t="s">
        <v>917</v>
      </c>
    </row>
    <row r="42" spans="1:7" x14ac:dyDescent="0.2">
      <c r="A42" s="72" t="s">
        <v>862</v>
      </c>
      <c r="B42" s="72">
        <v>2003</v>
      </c>
      <c r="C42" s="72" t="s">
        <v>522</v>
      </c>
      <c r="D42" s="72">
        <v>53</v>
      </c>
      <c r="E42" s="72" t="s">
        <v>5</v>
      </c>
      <c r="F42" s="72" t="s">
        <v>914</v>
      </c>
      <c r="G42" s="72" t="s">
        <v>913</v>
      </c>
    </row>
    <row r="43" spans="1:7" x14ac:dyDescent="0.2">
      <c r="A43" s="72" t="s">
        <v>859</v>
      </c>
      <c r="B43" s="72">
        <v>2011</v>
      </c>
      <c r="C43" s="72" t="s">
        <v>521</v>
      </c>
      <c r="D43" s="72">
        <v>115</v>
      </c>
      <c r="E43" s="72" t="s">
        <v>9</v>
      </c>
      <c r="F43" s="72" t="s">
        <v>914</v>
      </c>
      <c r="G43" s="72" t="s">
        <v>913</v>
      </c>
    </row>
    <row r="44" spans="1:7" x14ac:dyDescent="0.2">
      <c r="A44" s="72" t="s">
        <v>904</v>
      </c>
      <c r="B44" s="72">
        <v>2015</v>
      </c>
      <c r="C44" s="72" t="s">
        <v>283</v>
      </c>
      <c r="D44" s="72">
        <v>125</v>
      </c>
      <c r="E44" s="72" t="s">
        <v>5</v>
      </c>
      <c r="F44" s="72" t="s">
        <v>914</v>
      </c>
      <c r="G44" s="72" t="s">
        <v>913</v>
      </c>
    </row>
    <row r="45" spans="1:7" x14ac:dyDescent="0.2">
      <c r="A45" s="72" t="s">
        <v>878</v>
      </c>
      <c r="B45" s="72">
        <v>2014</v>
      </c>
      <c r="C45" s="72" t="s">
        <v>326</v>
      </c>
      <c r="D45" s="72">
        <v>140</v>
      </c>
      <c r="E45" s="72" t="s">
        <v>5</v>
      </c>
      <c r="F45" s="72" t="s">
        <v>914</v>
      </c>
      <c r="G45" s="72" t="s">
        <v>913</v>
      </c>
    </row>
    <row r="46" spans="1:7" x14ac:dyDescent="0.2">
      <c r="A46" s="72" t="s">
        <v>916</v>
      </c>
      <c r="B46" s="72">
        <v>2003</v>
      </c>
      <c r="C46" s="72" t="s">
        <v>583</v>
      </c>
      <c r="D46" s="72">
        <v>30</v>
      </c>
      <c r="E46" s="72" t="s">
        <v>5</v>
      </c>
      <c r="F46" s="72" t="s">
        <v>914</v>
      </c>
      <c r="G46" s="72" t="s">
        <v>913</v>
      </c>
    </row>
    <row r="47" spans="1:7" x14ac:dyDescent="0.2">
      <c r="A47" s="72" t="s">
        <v>861</v>
      </c>
      <c r="B47" s="72">
        <v>2018</v>
      </c>
      <c r="C47" s="72" t="s">
        <v>636</v>
      </c>
      <c r="D47" s="72" t="s">
        <v>915</v>
      </c>
      <c r="E47" s="72" t="s">
        <v>9</v>
      </c>
      <c r="F47" s="72" t="s">
        <v>914</v>
      </c>
      <c r="G47" s="72" t="s">
        <v>913</v>
      </c>
    </row>
    <row r="48" spans="1:7" x14ac:dyDescent="0.2">
      <c r="A48" s="72" t="s">
        <v>912</v>
      </c>
      <c r="B48" s="72">
        <v>2009</v>
      </c>
      <c r="C48" s="72" t="s">
        <v>524</v>
      </c>
      <c r="D48" s="72">
        <v>101</v>
      </c>
      <c r="E48" s="72" t="s">
        <v>9</v>
      </c>
      <c r="F48" s="72" t="s">
        <v>810</v>
      </c>
      <c r="G48" s="72" t="s">
        <v>911</v>
      </c>
    </row>
    <row r="49" spans="1:7" x14ac:dyDescent="0.2">
      <c r="A49" s="72" t="s">
        <v>876</v>
      </c>
      <c r="B49" s="72">
        <v>1998</v>
      </c>
      <c r="C49" s="72" t="s">
        <v>527</v>
      </c>
      <c r="D49" s="72">
        <v>21</v>
      </c>
      <c r="E49" s="72" t="s">
        <v>5</v>
      </c>
      <c r="F49" s="72" t="s">
        <v>827</v>
      </c>
      <c r="G49" s="72" t="s">
        <v>910</v>
      </c>
    </row>
    <row r="50" spans="1:7" x14ac:dyDescent="0.2">
      <c r="A50" s="72" t="s">
        <v>859</v>
      </c>
      <c r="B50" s="72">
        <v>2009</v>
      </c>
      <c r="C50" s="72" t="s">
        <v>526</v>
      </c>
      <c r="D50" s="72">
        <v>98</v>
      </c>
      <c r="E50" s="72" t="s">
        <v>5</v>
      </c>
      <c r="F50" s="72" t="s">
        <v>827</v>
      </c>
      <c r="G50" s="72" t="s">
        <v>910</v>
      </c>
    </row>
    <row r="51" spans="1:7" x14ac:dyDescent="0.2">
      <c r="A51" s="72" t="s">
        <v>904</v>
      </c>
      <c r="B51" s="72">
        <v>2015</v>
      </c>
      <c r="C51" s="72" t="s">
        <v>295</v>
      </c>
      <c r="D51" s="72">
        <v>129</v>
      </c>
      <c r="E51" s="72" t="s">
        <v>5</v>
      </c>
      <c r="F51" s="72" t="s">
        <v>827</v>
      </c>
      <c r="G51" s="72" t="s">
        <v>909</v>
      </c>
    </row>
    <row r="52" spans="1:7" x14ac:dyDescent="0.2">
      <c r="A52" s="72" t="s">
        <v>260</v>
      </c>
      <c r="B52" s="72">
        <v>2009</v>
      </c>
      <c r="C52" s="72" t="s">
        <v>535</v>
      </c>
      <c r="D52" s="72">
        <v>113</v>
      </c>
      <c r="E52" s="72" t="s">
        <v>5</v>
      </c>
      <c r="F52" s="72" t="s">
        <v>490</v>
      </c>
      <c r="G52" s="72" t="s">
        <v>907</v>
      </c>
    </row>
    <row r="53" spans="1:7" x14ac:dyDescent="0.2">
      <c r="A53" s="72" t="s">
        <v>861</v>
      </c>
      <c r="B53" s="72">
        <v>2018</v>
      </c>
      <c r="C53" s="72" t="s">
        <v>627</v>
      </c>
      <c r="D53" s="72" t="s">
        <v>908</v>
      </c>
      <c r="E53" s="72" t="s">
        <v>9</v>
      </c>
      <c r="F53" s="72" t="s">
        <v>490</v>
      </c>
      <c r="G53" s="72" t="s">
        <v>907</v>
      </c>
    </row>
    <row r="54" spans="1:7" x14ac:dyDescent="0.2">
      <c r="A54" s="72" t="s">
        <v>859</v>
      </c>
      <c r="B54" s="72">
        <v>2011</v>
      </c>
      <c r="C54" s="72" t="s">
        <v>530</v>
      </c>
      <c r="D54" s="72">
        <v>117</v>
      </c>
      <c r="E54" s="72" t="s">
        <v>9</v>
      </c>
      <c r="F54" s="72" t="s">
        <v>490</v>
      </c>
      <c r="G54" s="72" t="s">
        <v>907</v>
      </c>
    </row>
    <row r="55" spans="1:7" x14ac:dyDescent="0.2">
      <c r="A55" s="72" t="s">
        <v>899</v>
      </c>
      <c r="B55" s="72">
        <v>2014</v>
      </c>
      <c r="C55" s="72" t="s">
        <v>537</v>
      </c>
      <c r="D55" s="72">
        <v>134</v>
      </c>
      <c r="E55" s="72" t="s">
        <v>5</v>
      </c>
      <c r="F55" s="72" t="s">
        <v>492</v>
      </c>
      <c r="G55" s="72" t="s">
        <v>905</v>
      </c>
    </row>
    <row r="56" spans="1:7" x14ac:dyDescent="0.2">
      <c r="A56" s="72" t="s">
        <v>861</v>
      </c>
      <c r="B56" s="72">
        <v>2018</v>
      </c>
      <c r="C56" s="72" t="s">
        <v>635</v>
      </c>
      <c r="D56" s="72" t="s">
        <v>906</v>
      </c>
      <c r="E56" s="72" t="s">
        <v>9</v>
      </c>
      <c r="F56" s="72" t="s">
        <v>492</v>
      </c>
      <c r="G56" s="72" t="s">
        <v>905</v>
      </c>
    </row>
    <row r="57" spans="1:7" x14ac:dyDescent="0.2">
      <c r="A57" s="72" t="s">
        <v>852</v>
      </c>
      <c r="B57" s="72">
        <v>2005</v>
      </c>
      <c r="C57" s="72" t="s">
        <v>541</v>
      </c>
      <c r="D57" s="72">
        <v>76</v>
      </c>
      <c r="E57" s="72" t="s">
        <v>5</v>
      </c>
      <c r="F57" s="72" t="s">
        <v>735</v>
      </c>
      <c r="G57" s="72" t="s">
        <v>902</v>
      </c>
    </row>
    <row r="58" spans="1:7" x14ac:dyDescent="0.2">
      <c r="A58" s="72" t="s">
        <v>865</v>
      </c>
      <c r="B58" s="72">
        <v>2009</v>
      </c>
      <c r="C58" s="72" t="s">
        <v>540</v>
      </c>
      <c r="D58" s="72">
        <v>112</v>
      </c>
      <c r="E58" s="72" t="s">
        <v>5</v>
      </c>
      <c r="F58" s="72" t="s">
        <v>735</v>
      </c>
      <c r="G58" s="72" t="s">
        <v>902</v>
      </c>
    </row>
    <row r="59" spans="1:7" x14ac:dyDescent="0.2">
      <c r="A59" s="72" t="s">
        <v>904</v>
      </c>
      <c r="B59" s="72">
        <v>2015</v>
      </c>
      <c r="C59" s="72" t="s">
        <v>289</v>
      </c>
      <c r="D59" s="72">
        <v>127</v>
      </c>
      <c r="E59" s="72" t="s">
        <v>5</v>
      </c>
      <c r="F59" s="72" t="s">
        <v>735</v>
      </c>
      <c r="G59" s="72" t="s">
        <v>902</v>
      </c>
    </row>
    <row r="60" spans="1:7" x14ac:dyDescent="0.2">
      <c r="A60" s="72" t="s">
        <v>878</v>
      </c>
      <c r="B60" s="72">
        <v>2014</v>
      </c>
      <c r="C60" s="72" t="s">
        <v>338</v>
      </c>
      <c r="D60" s="72">
        <v>143</v>
      </c>
      <c r="E60" s="72" t="s">
        <v>5</v>
      </c>
      <c r="F60" s="72" t="s">
        <v>735</v>
      </c>
      <c r="G60" s="72" t="s">
        <v>902</v>
      </c>
    </row>
    <row r="61" spans="1:7" x14ac:dyDescent="0.2">
      <c r="A61" s="72" t="s">
        <v>861</v>
      </c>
      <c r="B61" s="72">
        <v>2018</v>
      </c>
      <c r="C61" s="72" t="s">
        <v>626</v>
      </c>
      <c r="D61" s="72" t="s">
        <v>903</v>
      </c>
      <c r="E61" s="72" t="s">
        <v>9</v>
      </c>
      <c r="F61" s="72" t="s">
        <v>735</v>
      </c>
      <c r="G61" s="72" t="s">
        <v>902</v>
      </c>
    </row>
    <row r="62" spans="1:7" x14ac:dyDescent="0.2">
      <c r="A62" s="72" t="s">
        <v>865</v>
      </c>
      <c r="B62" s="72">
        <v>2009</v>
      </c>
      <c r="C62" s="72" t="s">
        <v>401</v>
      </c>
      <c r="D62" s="72">
        <v>111</v>
      </c>
      <c r="E62" s="72" t="s">
        <v>5</v>
      </c>
      <c r="F62" s="72" t="s">
        <v>901</v>
      </c>
      <c r="G62" s="72" t="s">
        <v>900</v>
      </c>
    </row>
    <row r="63" spans="1:7" x14ac:dyDescent="0.2">
      <c r="A63" s="72" t="s">
        <v>899</v>
      </c>
      <c r="B63" s="72">
        <v>2014</v>
      </c>
      <c r="C63" s="72" t="s">
        <v>544</v>
      </c>
      <c r="D63" s="72">
        <v>133</v>
      </c>
      <c r="E63" s="72" t="s">
        <v>5</v>
      </c>
      <c r="F63" s="72" t="s">
        <v>901</v>
      </c>
      <c r="G63" s="72" t="s">
        <v>900</v>
      </c>
    </row>
    <row r="64" spans="1:7" x14ac:dyDescent="0.2">
      <c r="A64" s="72" t="s">
        <v>899</v>
      </c>
      <c r="B64" s="72">
        <v>2014</v>
      </c>
      <c r="C64" s="72" t="s">
        <v>514</v>
      </c>
      <c r="D64" s="72">
        <v>135</v>
      </c>
      <c r="E64" s="72" t="s">
        <v>5</v>
      </c>
      <c r="F64" s="72" t="s">
        <v>898</v>
      </c>
      <c r="G64" s="72" t="s">
        <v>897</v>
      </c>
    </row>
    <row r="65" spans="1:7" x14ac:dyDescent="0.2">
      <c r="A65" s="72" t="s">
        <v>876</v>
      </c>
      <c r="B65" s="72">
        <v>2003</v>
      </c>
      <c r="C65" s="72" t="s">
        <v>546</v>
      </c>
      <c r="D65" s="72">
        <v>39</v>
      </c>
      <c r="E65" s="72" t="s">
        <v>5</v>
      </c>
      <c r="F65" s="72" t="s">
        <v>826</v>
      </c>
      <c r="G65" s="72" t="s">
        <v>897</v>
      </c>
    </row>
    <row r="66" spans="1:7" x14ac:dyDescent="0.2">
      <c r="A66" s="72" t="s">
        <v>896</v>
      </c>
      <c r="B66" s="72">
        <v>2018</v>
      </c>
      <c r="C66" s="72" t="s">
        <v>623</v>
      </c>
      <c r="D66" s="72" t="s">
        <v>895</v>
      </c>
      <c r="E66" s="72" t="s">
        <v>9</v>
      </c>
      <c r="F66" s="72" t="s">
        <v>894</v>
      </c>
      <c r="G66" s="72" t="s">
        <v>893</v>
      </c>
    </row>
    <row r="67" spans="1:7" x14ac:dyDescent="0.2">
      <c r="A67" s="72" t="s">
        <v>892</v>
      </c>
      <c r="B67" s="72">
        <v>2008</v>
      </c>
      <c r="C67" s="72" t="s">
        <v>409</v>
      </c>
      <c r="D67" s="72">
        <v>90</v>
      </c>
      <c r="E67" s="72" t="s">
        <v>5</v>
      </c>
      <c r="F67" s="72" t="s">
        <v>736</v>
      </c>
      <c r="G67" s="72" t="s">
        <v>891</v>
      </c>
    </row>
    <row r="68" spans="1:7" x14ac:dyDescent="0.2">
      <c r="A68" s="72" t="s">
        <v>859</v>
      </c>
      <c r="B68" s="72">
        <v>2012</v>
      </c>
      <c r="C68" s="72" t="s">
        <v>557</v>
      </c>
      <c r="D68" s="72">
        <v>155</v>
      </c>
      <c r="E68" s="72" t="s">
        <v>5</v>
      </c>
      <c r="F68" s="72" t="s">
        <v>890</v>
      </c>
      <c r="G68" s="72" t="s">
        <v>889</v>
      </c>
    </row>
    <row r="69" spans="1:7" x14ac:dyDescent="0.2">
      <c r="A69" s="72" t="s">
        <v>859</v>
      </c>
      <c r="C69" s="72" t="s">
        <v>556</v>
      </c>
      <c r="D69" s="72">
        <v>97</v>
      </c>
      <c r="E69" s="72" t="s">
        <v>888</v>
      </c>
      <c r="F69" s="72" t="s">
        <v>887</v>
      </c>
      <c r="G69" s="72" t="s">
        <v>886</v>
      </c>
    </row>
    <row r="70" spans="1:7" x14ac:dyDescent="0.2">
      <c r="A70" s="72" t="s">
        <v>885</v>
      </c>
      <c r="B70" s="72">
        <v>2009</v>
      </c>
      <c r="C70" s="72" t="s">
        <v>555</v>
      </c>
      <c r="D70" s="72">
        <v>94</v>
      </c>
      <c r="E70" s="72" t="s">
        <v>5</v>
      </c>
      <c r="F70" s="72" t="s">
        <v>884</v>
      </c>
      <c r="G70" s="72" t="s">
        <v>883</v>
      </c>
    </row>
    <row r="71" spans="1:7" x14ac:dyDescent="0.2">
      <c r="A71" s="72" t="s">
        <v>178</v>
      </c>
      <c r="B71" s="72">
        <v>2006</v>
      </c>
      <c r="C71" s="72" t="s">
        <v>595</v>
      </c>
      <c r="D71" s="72">
        <v>81</v>
      </c>
      <c r="E71" s="72" t="s">
        <v>9</v>
      </c>
      <c r="F71" s="72" t="s">
        <v>491</v>
      </c>
      <c r="G71" s="72" t="s">
        <v>882</v>
      </c>
    </row>
    <row r="72" spans="1:7" x14ac:dyDescent="0.2">
      <c r="A72" s="72" t="s">
        <v>881</v>
      </c>
      <c r="B72" s="72">
        <v>1997</v>
      </c>
      <c r="C72" s="72" t="s">
        <v>402</v>
      </c>
      <c r="D72" s="72">
        <v>17</v>
      </c>
      <c r="E72" s="72" t="s">
        <v>5</v>
      </c>
      <c r="F72" s="72" t="s">
        <v>869</v>
      </c>
      <c r="G72" s="72" t="s">
        <v>868</v>
      </c>
    </row>
    <row r="73" spans="1:7" x14ac:dyDescent="0.2">
      <c r="A73" s="72" t="s">
        <v>880</v>
      </c>
      <c r="B73" s="72">
        <v>2004</v>
      </c>
      <c r="C73" s="72" t="s">
        <v>550</v>
      </c>
      <c r="D73" s="72">
        <v>68</v>
      </c>
      <c r="E73" s="72" t="s">
        <v>5</v>
      </c>
      <c r="F73" s="72" t="s">
        <v>869</v>
      </c>
      <c r="G73" s="72" t="s">
        <v>868</v>
      </c>
    </row>
    <row r="74" spans="1:7" x14ac:dyDescent="0.2">
      <c r="A74" s="72" t="s">
        <v>879</v>
      </c>
      <c r="B74" s="72">
        <v>2009</v>
      </c>
      <c r="C74" s="72" t="s">
        <v>552</v>
      </c>
      <c r="D74" s="72">
        <v>107</v>
      </c>
      <c r="E74" s="72" t="s">
        <v>9</v>
      </c>
      <c r="F74" s="72" t="s">
        <v>869</v>
      </c>
      <c r="G74" s="72" t="s">
        <v>868</v>
      </c>
    </row>
    <row r="75" spans="1:7" x14ac:dyDescent="0.2">
      <c r="A75" s="72" t="s">
        <v>878</v>
      </c>
      <c r="B75" s="72">
        <v>2014</v>
      </c>
      <c r="C75" s="72" t="s">
        <v>354</v>
      </c>
      <c r="D75" s="72">
        <v>148</v>
      </c>
      <c r="E75" s="72" t="s">
        <v>5</v>
      </c>
      <c r="F75" s="72" t="s">
        <v>869</v>
      </c>
      <c r="G75" s="72" t="s">
        <v>868</v>
      </c>
    </row>
    <row r="76" spans="1:7" x14ac:dyDescent="0.2">
      <c r="A76" s="72" t="s">
        <v>877</v>
      </c>
      <c r="B76" s="72">
        <v>2012</v>
      </c>
      <c r="C76" s="72" t="s">
        <v>551</v>
      </c>
      <c r="D76" s="72">
        <v>153</v>
      </c>
      <c r="E76" s="72" t="s">
        <v>9</v>
      </c>
      <c r="F76" s="72" t="s">
        <v>869</v>
      </c>
      <c r="G76" s="72" t="s">
        <v>868</v>
      </c>
    </row>
    <row r="77" spans="1:7" x14ac:dyDescent="0.2">
      <c r="A77" s="72" t="s">
        <v>263</v>
      </c>
      <c r="B77" s="72">
        <v>2012</v>
      </c>
      <c r="C77" s="72" t="s">
        <v>566</v>
      </c>
      <c r="D77" s="72">
        <v>121</v>
      </c>
      <c r="E77" s="72" t="s">
        <v>5</v>
      </c>
      <c r="F77" s="72" t="s">
        <v>869</v>
      </c>
      <c r="G77" s="72" t="s">
        <v>868</v>
      </c>
    </row>
    <row r="78" spans="1:7" x14ac:dyDescent="0.2">
      <c r="A78" s="72" t="s">
        <v>263</v>
      </c>
      <c r="B78" s="72">
        <v>2009</v>
      </c>
      <c r="C78" s="72" t="s">
        <v>565</v>
      </c>
      <c r="D78" s="72">
        <v>114</v>
      </c>
      <c r="E78" s="72" t="s">
        <v>5</v>
      </c>
      <c r="F78" s="72" t="s">
        <v>869</v>
      </c>
      <c r="G78" s="72" t="s">
        <v>868</v>
      </c>
    </row>
    <row r="79" spans="1:7" x14ac:dyDescent="0.2">
      <c r="A79" s="72" t="s">
        <v>876</v>
      </c>
      <c r="B79" s="72">
        <v>2008</v>
      </c>
      <c r="C79" s="72" t="s">
        <v>538</v>
      </c>
      <c r="D79" s="72">
        <v>88</v>
      </c>
      <c r="E79" s="72" t="s">
        <v>5</v>
      </c>
      <c r="F79" s="72" t="s">
        <v>869</v>
      </c>
      <c r="G79" s="72" t="s">
        <v>868</v>
      </c>
    </row>
    <row r="80" spans="1:7" x14ac:dyDescent="0.2">
      <c r="A80" s="72" t="s">
        <v>852</v>
      </c>
      <c r="B80" s="72">
        <v>2005</v>
      </c>
      <c r="C80" s="72" t="s">
        <v>529</v>
      </c>
      <c r="D80" s="72">
        <v>75</v>
      </c>
      <c r="E80" s="72" t="s">
        <v>5</v>
      </c>
      <c r="F80" s="72" t="s">
        <v>869</v>
      </c>
      <c r="G80" s="72" t="s">
        <v>868</v>
      </c>
    </row>
    <row r="81" spans="1:7" x14ac:dyDescent="0.2">
      <c r="A81" s="73" t="s">
        <v>875</v>
      </c>
      <c r="B81" s="72">
        <v>2018</v>
      </c>
      <c r="C81" s="73" t="s">
        <v>630</v>
      </c>
      <c r="D81" s="73" t="s">
        <v>874</v>
      </c>
      <c r="E81" s="73" t="s">
        <v>9</v>
      </c>
      <c r="F81" s="72" t="s">
        <v>869</v>
      </c>
      <c r="G81" s="73" t="s">
        <v>868</v>
      </c>
    </row>
    <row r="82" spans="1:7" x14ac:dyDescent="0.2">
      <c r="A82" s="72" t="s">
        <v>861</v>
      </c>
      <c r="B82" s="72">
        <v>2009</v>
      </c>
      <c r="C82" s="72" t="s">
        <v>558</v>
      </c>
      <c r="D82" s="72">
        <v>108</v>
      </c>
      <c r="E82" s="72" t="s">
        <v>5</v>
      </c>
      <c r="F82" s="72" t="s">
        <v>869</v>
      </c>
      <c r="G82" s="72" t="s">
        <v>868</v>
      </c>
    </row>
    <row r="83" spans="1:7" x14ac:dyDescent="0.2">
      <c r="A83" s="72" t="s">
        <v>852</v>
      </c>
      <c r="B83" s="72">
        <v>2005</v>
      </c>
      <c r="C83" s="72" t="s">
        <v>543</v>
      </c>
      <c r="D83" s="72">
        <v>74</v>
      </c>
      <c r="E83" s="72" t="s">
        <v>5</v>
      </c>
      <c r="F83" s="72" t="s">
        <v>869</v>
      </c>
      <c r="G83" s="72" t="s">
        <v>868</v>
      </c>
    </row>
    <row r="84" spans="1:7" x14ac:dyDescent="0.2">
      <c r="A84" s="72" t="s">
        <v>873</v>
      </c>
      <c r="B84" s="72">
        <v>2005</v>
      </c>
      <c r="C84" s="72" t="s">
        <v>529</v>
      </c>
      <c r="D84" s="72">
        <v>75</v>
      </c>
      <c r="E84" s="72" t="s">
        <v>5</v>
      </c>
      <c r="F84" s="72" t="s">
        <v>869</v>
      </c>
      <c r="G84" s="72" t="s">
        <v>868</v>
      </c>
    </row>
    <row r="85" spans="1:7" x14ac:dyDescent="0.2">
      <c r="A85" s="72" t="s">
        <v>872</v>
      </c>
      <c r="B85" s="72">
        <v>2003</v>
      </c>
      <c r="C85" s="72" t="s">
        <v>407</v>
      </c>
      <c r="D85" s="72">
        <v>46</v>
      </c>
      <c r="E85" s="72" t="s">
        <v>5</v>
      </c>
      <c r="F85" s="72" t="s">
        <v>869</v>
      </c>
      <c r="G85" s="72" t="s">
        <v>868</v>
      </c>
    </row>
    <row r="86" spans="1:7" x14ac:dyDescent="0.2">
      <c r="A86" s="72" t="s">
        <v>859</v>
      </c>
      <c r="B86" s="72">
        <v>2009</v>
      </c>
      <c r="C86" s="72" t="s">
        <v>572</v>
      </c>
      <c r="D86" s="72">
        <v>102</v>
      </c>
      <c r="E86" s="72" t="s">
        <v>9</v>
      </c>
      <c r="F86" s="72" t="s">
        <v>869</v>
      </c>
      <c r="G86" s="72" t="s">
        <v>868</v>
      </c>
    </row>
    <row r="87" spans="1:7" x14ac:dyDescent="0.2">
      <c r="A87" s="72" t="s">
        <v>871</v>
      </c>
      <c r="B87" s="72">
        <v>1998</v>
      </c>
      <c r="C87" s="72" t="s">
        <v>534</v>
      </c>
      <c r="D87" s="72">
        <v>19</v>
      </c>
      <c r="E87" s="72" t="s">
        <v>5</v>
      </c>
      <c r="F87" s="72" t="s">
        <v>869</v>
      </c>
      <c r="G87" s="72" t="s">
        <v>868</v>
      </c>
    </row>
    <row r="88" spans="1:7" x14ac:dyDescent="0.2">
      <c r="A88" s="72" t="s">
        <v>871</v>
      </c>
      <c r="B88" s="72">
        <v>1998</v>
      </c>
      <c r="C88" s="72" t="s">
        <v>533</v>
      </c>
      <c r="D88" s="72">
        <v>20</v>
      </c>
      <c r="E88" s="72" t="s">
        <v>5</v>
      </c>
      <c r="F88" s="72" t="s">
        <v>869</v>
      </c>
      <c r="G88" s="72" t="s">
        <v>868</v>
      </c>
    </row>
    <row r="89" spans="1:7" x14ac:dyDescent="0.2">
      <c r="A89" s="72" t="s">
        <v>871</v>
      </c>
      <c r="B89" s="72">
        <v>2008</v>
      </c>
      <c r="C89" s="72" t="s">
        <v>532</v>
      </c>
      <c r="D89" s="72">
        <v>91</v>
      </c>
      <c r="E89" s="72" t="s">
        <v>5</v>
      </c>
      <c r="F89" s="72" t="s">
        <v>869</v>
      </c>
      <c r="G89" s="72" t="s">
        <v>868</v>
      </c>
    </row>
    <row r="90" spans="1:7" x14ac:dyDescent="0.2">
      <c r="A90" s="72" t="s">
        <v>870</v>
      </c>
      <c r="B90" s="72">
        <v>2009</v>
      </c>
      <c r="C90" s="72" t="s">
        <v>536</v>
      </c>
      <c r="D90" s="72">
        <v>110</v>
      </c>
      <c r="E90" s="72" t="s">
        <v>5</v>
      </c>
      <c r="F90" s="72" t="s">
        <v>492</v>
      </c>
      <c r="G90" s="72" t="s">
        <v>905</v>
      </c>
    </row>
    <row r="91" spans="1:7" x14ac:dyDescent="0.2">
      <c r="A91" s="72" t="s">
        <v>867</v>
      </c>
      <c r="B91" s="72">
        <v>2004</v>
      </c>
      <c r="C91" s="72" t="s">
        <v>408</v>
      </c>
      <c r="D91" s="72">
        <v>1</v>
      </c>
      <c r="E91" s="72" t="s">
        <v>5</v>
      </c>
      <c r="F91" s="72" t="s">
        <v>851</v>
      </c>
      <c r="G91" s="72" t="s">
        <v>850</v>
      </c>
    </row>
    <row r="92" spans="1:7" x14ac:dyDescent="0.2">
      <c r="A92" s="72" t="s">
        <v>862</v>
      </c>
      <c r="B92" s="72">
        <v>2003</v>
      </c>
      <c r="C92" s="72" t="s">
        <v>548</v>
      </c>
      <c r="D92" s="72">
        <v>43</v>
      </c>
      <c r="E92" s="72" t="s">
        <v>5</v>
      </c>
      <c r="F92" s="72" t="s">
        <v>851</v>
      </c>
      <c r="G92" s="72" t="s">
        <v>850</v>
      </c>
    </row>
    <row r="93" spans="1:7" x14ac:dyDescent="0.2">
      <c r="A93" s="72" t="s">
        <v>862</v>
      </c>
      <c r="B93" s="72">
        <v>2003</v>
      </c>
      <c r="C93" s="72" t="s">
        <v>539</v>
      </c>
      <c r="D93" s="72">
        <v>44</v>
      </c>
      <c r="E93" s="72" t="s">
        <v>5</v>
      </c>
      <c r="F93" s="72" t="s">
        <v>851</v>
      </c>
      <c r="G93" s="72" t="s">
        <v>850</v>
      </c>
    </row>
    <row r="94" spans="1:7" x14ac:dyDescent="0.2">
      <c r="A94" s="72" t="s">
        <v>862</v>
      </c>
      <c r="B94" s="72">
        <v>2003</v>
      </c>
      <c r="C94" s="72" t="s">
        <v>588</v>
      </c>
      <c r="D94" s="72">
        <v>51</v>
      </c>
      <c r="E94" s="72" t="s">
        <v>5</v>
      </c>
      <c r="F94" s="72" t="s">
        <v>851</v>
      </c>
      <c r="G94" s="72" t="s">
        <v>850</v>
      </c>
    </row>
    <row r="95" spans="1:7" x14ac:dyDescent="0.2">
      <c r="A95" s="72" t="s">
        <v>862</v>
      </c>
      <c r="B95" s="72">
        <v>2003</v>
      </c>
      <c r="C95" s="72" t="s">
        <v>589</v>
      </c>
      <c r="D95" s="72">
        <v>54</v>
      </c>
      <c r="E95" s="72" t="s">
        <v>5</v>
      </c>
      <c r="F95" s="72" t="s">
        <v>851</v>
      </c>
      <c r="G95" s="72" t="s">
        <v>850</v>
      </c>
    </row>
    <row r="96" spans="1:7" x14ac:dyDescent="0.2">
      <c r="A96" s="72" t="s">
        <v>862</v>
      </c>
      <c r="B96" s="72">
        <v>2003</v>
      </c>
      <c r="C96" s="72" t="s">
        <v>123</v>
      </c>
      <c r="D96" s="72">
        <v>55</v>
      </c>
      <c r="E96" s="72" t="s">
        <v>5</v>
      </c>
      <c r="F96" s="72" t="s">
        <v>851</v>
      </c>
      <c r="G96" s="72" t="s">
        <v>850</v>
      </c>
    </row>
    <row r="97" spans="1:7" x14ac:dyDescent="0.2">
      <c r="A97" s="72" t="s">
        <v>866</v>
      </c>
      <c r="B97" s="72">
        <v>2004</v>
      </c>
      <c r="C97" s="72" t="s">
        <v>564</v>
      </c>
      <c r="D97" s="72">
        <v>63</v>
      </c>
      <c r="E97" s="72" t="s">
        <v>5</v>
      </c>
      <c r="F97" s="72" t="s">
        <v>851</v>
      </c>
      <c r="G97" s="72" t="s">
        <v>850</v>
      </c>
    </row>
    <row r="98" spans="1:7" x14ac:dyDescent="0.2">
      <c r="A98" s="72" t="s">
        <v>866</v>
      </c>
      <c r="B98" s="72">
        <v>2004</v>
      </c>
      <c r="C98" s="72" t="s">
        <v>598</v>
      </c>
      <c r="D98" s="72">
        <v>64</v>
      </c>
      <c r="E98" s="72" t="s">
        <v>5</v>
      </c>
      <c r="F98" s="72" t="s">
        <v>851</v>
      </c>
      <c r="G98" s="72" t="s">
        <v>850</v>
      </c>
    </row>
    <row r="99" spans="1:7" x14ac:dyDescent="0.2">
      <c r="A99" s="72" t="s">
        <v>852</v>
      </c>
      <c r="B99" s="72">
        <v>2004</v>
      </c>
      <c r="C99" s="72" t="s">
        <v>561</v>
      </c>
      <c r="D99" s="72">
        <v>65</v>
      </c>
      <c r="E99" s="72" t="s">
        <v>5</v>
      </c>
      <c r="F99" s="72" t="s">
        <v>851</v>
      </c>
      <c r="G99" s="72" t="s">
        <v>850</v>
      </c>
    </row>
    <row r="100" spans="1:7" x14ac:dyDescent="0.2">
      <c r="A100" s="72" t="s">
        <v>859</v>
      </c>
      <c r="B100" s="72">
        <v>2009</v>
      </c>
      <c r="C100" s="72" t="s">
        <v>571</v>
      </c>
      <c r="D100" s="72">
        <v>93</v>
      </c>
      <c r="E100" s="72" t="s">
        <v>5</v>
      </c>
      <c r="F100" s="72" t="s">
        <v>851</v>
      </c>
      <c r="G100" s="72" t="s">
        <v>850</v>
      </c>
    </row>
    <row r="101" spans="1:7" x14ac:dyDescent="0.2">
      <c r="A101" s="72" t="s">
        <v>859</v>
      </c>
      <c r="B101" s="72">
        <v>2009</v>
      </c>
      <c r="C101" s="72" t="s">
        <v>507</v>
      </c>
      <c r="D101" s="72">
        <v>100</v>
      </c>
      <c r="E101" s="72" t="s">
        <v>9</v>
      </c>
      <c r="F101" s="72" t="s">
        <v>851</v>
      </c>
      <c r="G101" s="72" t="s">
        <v>850</v>
      </c>
    </row>
    <row r="102" spans="1:7" x14ac:dyDescent="0.2">
      <c r="A102" s="72" t="s">
        <v>865</v>
      </c>
      <c r="B102" s="72">
        <v>2009</v>
      </c>
      <c r="C102" s="72" t="s">
        <v>558</v>
      </c>
      <c r="D102" s="72">
        <v>108</v>
      </c>
      <c r="E102" s="72" t="s">
        <v>5</v>
      </c>
      <c r="F102" s="72" t="s">
        <v>851</v>
      </c>
      <c r="G102" s="72" t="s">
        <v>850</v>
      </c>
    </row>
    <row r="103" spans="1:7" x14ac:dyDescent="0.2">
      <c r="A103" s="72" t="s">
        <v>859</v>
      </c>
      <c r="B103" s="72">
        <v>2011</v>
      </c>
      <c r="C103" s="72" t="s">
        <v>530</v>
      </c>
      <c r="D103" s="72">
        <v>117</v>
      </c>
      <c r="E103" s="72" t="s">
        <v>9</v>
      </c>
      <c r="F103" s="72" t="s">
        <v>851</v>
      </c>
      <c r="G103" s="72" t="s">
        <v>850</v>
      </c>
    </row>
    <row r="104" spans="1:7" x14ac:dyDescent="0.2">
      <c r="A104" s="72" t="s">
        <v>864</v>
      </c>
      <c r="B104" s="72">
        <v>2011</v>
      </c>
      <c r="C104" s="72" t="s">
        <v>574</v>
      </c>
      <c r="D104" s="72">
        <v>122</v>
      </c>
      <c r="E104" s="72" t="s">
        <v>9</v>
      </c>
      <c r="F104" s="72" t="s">
        <v>851</v>
      </c>
      <c r="G104" s="72" t="s">
        <v>850</v>
      </c>
    </row>
    <row r="105" spans="1:7" x14ac:dyDescent="0.2">
      <c r="A105" s="72" t="s">
        <v>863</v>
      </c>
      <c r="B105" s="72">
        <v>2012</v>
      </c>
      <c r="C105" s="72" t="s">
        <v>567</v>
      </c>
      <c r="D105" s="72">
        <v>157</v>
      </c>
      <c r="E105" s="72" t="s">
        <v>9</v>
      </c>
      <c r="F105" s="72" t="s">
        <v>851</v>
      </c>
      <c r="G105" s="72" t="s">
        <v>850</v>
      </c>
    </row>
    <row r="106" spans="1:7" x14ac:dyDescent="0.2">
      <c r="A106" s="72" t="s">
        <v>862</v>
      </c>
      <c r="B106" s="72">
        <v>2003</v>
      </c>
      <c r="C106" s="72" t="s">
        <v>584</v>
      </c>
      <c r="D106" s="72">
        <v>42</v>
      </c>
      <c r="E106" s="72" t="s">
        <v>5</v>
      </c>
      <c r="F106" s="72" t="s">
        <v>851</v>
      </c>
      <c r="G106" s="72" t="s">
        <v>850</v>
      </c>
    </row>
    <row r="107" spans="1:7" x14ac:dyDescent="0.2">
      <c r="A107" s="72" t="s">
        <v>861</v>
      </c>
      <c r="B107" s="72">
        <v>2018</v>
      </c>
      <c r="C107" s="72" t="s">
        <v>637</v>
      </c>
      <c r="D107" s="72" t="s">
        <v>860</v>
      </c>
      <c r="E107" s="72" t="s">
        <v>9</v>
      </c>
      <c r="F107" s="72" t="s">
        <v>851</v>
      </c>
      <c r="G107" s="72" t="s">
        <v>850</v>
      </c>
    </row>
    <row r="108" spans="1:7" x14ac:dyDescent="0.2">
      <c r="A108" s="72" t="s">
        <v>859</v>
      </c>
      <c r="B108" s="72">
        <v>2012</v>
      </c>
      <c r="C108" s="72" t="s">
        <v>557</v>
      </c>
      <c r="D108" s="72">
        <v>155</v>
      </c>
      <c r="E108" s="72" t="s">
        <v>9</v>
      </c>
      <c r="F108" s="72" t="s">
        <v>851</v>
      </c>
      <c r="G108" s="72" t="s">
        <v>850</v>
      </c>
    </row>
    <row r="109" spans="1:7" x14ac:dyDescent="0.2">
      <c r="A109" s="72" t="s">
        <v>858</v>
      </c>
      <c r="B109" s="72">
        <v>2014</v>
      </c>
      <c r="C109" s="72" t="s">
        <v>334</v>
      </c>
      <c r="D109" s="72">
        <v>142</v>
      </c>
      <c r="E109" s="72" t="s">
        <v>5</v>
      </c>
      <c r="F109" s="72" t="s">
        <v>851</v>
      </c>
      <c r="G109" s="72" t="s">
        <v>850</v>
      </c>
    </row>
    <row r="110" spans="1:7" x14ac:dyDescent="0.2">
      <c r="A110" s="72" t="s">
        <v>857</v>
      </c>
      <c r="B110" s="72">
        <v>2012</v>
      </c>
      <c r="C110" s="72" t="s">
        <v>406</v>
      </c>
      <c r="D110" s="72">
        <v>156</v>
      </c>
      <c r="E110" s="72" t="s">
        <v>9</v>
      </c>
      <c r="F110" s="72" t="s">
        <v>851</v>
      </c>
      <c r="G110" s="72" t="s">
        <v>850</v>
      </c>
    </row>
    <row r="111" spans="1:7" x14ac:dyDescent="0.2">
      <c r="A111" s="72" t="s">
        <v>856</v>
      </c>
      <c r="B111" s="72">
        <v>2003</v>
      </c>
      <c r="C111" s="72" t="s">
        <v>498</v>
      </c>
      <c r="D111" s="72">
        <v>32</v>
      </c>
      <c r="E111" s="72" t="s">
        <v>5</v>
      </c>
      <c r="F111" s="72" t="s">
        <v>851</v>
      </c>
      <c r="G111" s="72" t="s">
        <v>850</v>
      </c>
    </row>
    <row r="112" spans="1:7" x14ac:dyDescent="0.2">
      <c r="A112" s="72" t="s">
        <v>854</v>
      </c>
      <c r="B112" s="72">
        <v>2003</v>
      </c>
      <c r="C112" s="72" t="s">
        <v>855</v>
      </c>
      <c r="D112" s="72">
        <v>58</v>
      </c>
      <c r="E112" s="72" t="s">
        <v>5</v>
      </c>
      <c r="F112" s="72" t="s">
        <v>851</v>
      </c>
      <c r="G112" s="72" t="s">
        <v>850</v>
      </c>
    </row>
    <row r="113" spans="1:7" x14ac:dyDescent="0.2">
      <c r="A113" s="72" t="s">
        <v>854</v>
      </c>
      <c r="B113" s="72">
        <v>1998</v>
      </c>
      <c r="C113" s="72" t="s">
        <v>549</v>
      </c>
      <c r="D113" s="72">
        <v>27</v>
      </c>
      <c r="E113" s="72" t="s">
        <v>5</v>
      </c>
      <c r="F113" s="72" t="s">
        <v>851</v>
      </c>
      <c r="G113" s="72" t="s">
        <v>850</v>
      </c>
    </row>
    <row r="114" spans="1:7" x14ac:dyDescent="0.2">
      <c r="A114" s="72" t="s">
        <v>854</v>
      </c>
      <c r="B114" s="72">
        <v>2003</v>
      </c>
      <c r="C114" s="72" t="s">
        <v>545</v>
      </c>
      <c r="D114" s="72">
        <v>59</v>
      </c>
      <c r="E114" s="72" t="s">
        <v>5</v>
      </c>
      <c r="F114" s="72" t="s">
        <v>851</v>
      </c>
      <c r="G114" s="72" t="s">
        <v>850</v>
      </c>
    </row>
    <row r="115" spans="1:7" x14ac:dyDescent="0.2">
      <c r="A115" s="72" t="s">
        <v>853</v>
      </c>
      <c r="B115" s="72">
        <v>2008</v>
      </c>
      <c r="C115" s="72" t="s">
        <v>554</v>
      </c>
      <c r="D115" s="72">
        <v>82</v>
      </c>
      <c r="E115" s="72" t="s">
        <v>5</v>
      </c>
      <c r="F115" s="72" t="s">
        <v>851</v>
      </c>
      <c r="G115" s="72" t="s">
        <v>850</v>
      </c>
    </row>
    <row r="116" spans="1:7" x14ac:dyDescent="0.2">
      <c r="A116" s="72" t="s">
        <v>852</v>
      </c>
      <c r="B116" s="72">
        <v>2004</v>
      </c>
      <c r="C116" s="72" t="s">
        <v>523</v>
      </c>
      <c r="D116" s="72">
        <v>67</v>
      </c>
      <c r="E116" s="72" t="s">
        <v>5</v>
      </c>
      <c r="F116" s="72" t="s">
        <v>851</v>
      </c>
      <c r="G116" s="72" t="s">
        <v>850</v>
      </c>
    </row>
    <row r="117" spans="1:7" x14ac:dyDescent="0.2">
      <c r="A117" s="72" t="s">
        <v>849</v>
      </c>
      <c r="B117" s="72">
        <v>2018</v>
      </c>
      <c r="C117" s="72" t="s">
        <v>628</v>
      </c>
      <c r="D117" s="73" t="s">
        <v>748</v>
      </c>
      <c r="E117" s="72" t="s">
        <v>846</v>
      </c>
      <c r="F117" s="72" t="s">
        <v>762</v>
      </c>
      <c r="G117" s="72" t="s">
        <v>845</v>
      </c>
    </row>
    <row r="118" spans="1:7" x14ac:dyDescent="0.2">
      <c r="A118" s="72" t="s">
        <v>848</v>
      </c>
      <c r="B118" s="72">
        <v>2018</v>
      </c>
      <c r="C118" s="72" t="s">
        <v>629</v>
      </c>
      <c r="D118" s="72" t="s">
        <v>847</v>
      </c>
      <c r="E118" s="72" t="s">
        <v>846</v>
      </c>
      <c r="F118" s="72" t="s">
        <v>762</v>
      </c>
      <c r="G118" s="72" t="s">
        <v>845</v>
      </c>
    </row>
    <row r="119" spans="1:7" x14ac:dyDescent="0.2">
      <c r="A119" s="72" t="s">
        <v>844</v>
      </c>
      <c r="B119" s="72">
        <v>2013</v>
      </c>
      <c r="C119" s="72" t="s">
        <v>404</v>
      </c>
      <c r="D119" s="72">
        <v>154</v>
      </c>
      <c r="E119" s="72" t="s">
        <v>9</v>
      </c>
      <c r="F119" s="72" t="s">
        <v>842</v>
      </c>
      <c r="G119" s="72" t="s">
        <v>841</v>
      </c>
    </row>
    <row r="120" spans="1:7" x14ac:dyDescent="0.2">
      <c r="A120" s="72" t="s">
        <v>843</v>
      </c>
      <c r="C120" s="72" t="s">
        <v>563</v>
      </c>
      <c r="D120" s="72">
        <v>123</v>
      </c>
      <c r="E120" s="72" t="s">
        <v>5</v>
      </c>
      <c r="F120" s="72" t="s">
        <v>842</v>
      </c>
      <c r="G120" s="72" t="s">
        <v>841</v>
      </c>
    </row>
    <row r="121" spans="1:7" x14ac:dyDescent="0.2">
      <c r="A121" s="72" t="s">
        <v>840</v>
      </c>
      <c r="B121" s="72">
        <v>2018</v>
      </c>
      <c r="C121" s="72" t="s">
        <v>839</v>
      </c>
      <c r="D121" s="72" t="s">
        <v>838</v>
      </c>
      <c r="E121" s="72" t="s">
        <v>9</v>
      </c>
      <c r="F121" s="72" t="s">
        <v>837</v>
      </c>
      <c r="G121" s="72" t="s">
        <v>836</v>
      </c>
    </row>
    <row r="122" spans="1:7" x14ac:dyDescent="0.2">
      <c r="A122" s="72" t="s">
        <v>835</v>
      </c>
      <c r="B122" s="72">
        <v>2018</v>
      </c>
      <c r="C122" s="72" t="s">
        <v>701</v>
      </c>
      <c r="D122" s="72" t="s">
        <v>834</v>
      </c>
      <c r="E122" s="72" t="s">
        <v>9</v>
      </c>
      <c r="F122" s="72" t="s">
        <v>833</v>
      </c>
      <c r="G122" s="72" t="s">
        <v>832</v>
      </c>
    </row>
    <row r="123" spans="1:7" x14ac:dyDescent="0.2">
      <c r="A123" s="72" t="s">
        <v>904</v>
      </c>
      <c r="B123" s="72">
        <v>2015</v>
      </c>
      <c r="C123" s="72" t="s">
        <v>298</v>
      </c>
      <c r="D123" s="72">
        <v>130</v>
      </c>
      <c r="E123" s="72" t="s">
        <v>5</v>
      </c>
      <c r="F123" s="72" t="s">
        <v>810</v>
      </c>
      <c r="G123" s="72" t="s">
        <v>955</v>
      </c>
    </row>
  </sheetData>
  <autoFilter ref="A1:G123"/>
  <pageMargins left="3.937007874015748E-2" right="3.937007874015748E-2" top="0.74803149606299213" bottom="0.74803149606299213" header="0.31496062992125984" footer="0.31496062992125984"/>
  <pageSetup scale="70" orientation="landscape" horizontalDpi="4294967295" verticalDpi="4294967295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4"/>
  <sheetViews>
    <sheetView tabSelected="1" workbookViewId="0">
      <pane xSplit="4" ySplit="1" topLeftCell="G2" activePane="bottomRight" state="frozen"/>
      <selection activeCell="E168" sqref="E168"/>
      <selection pane="topRight" activeCell="E168" sqref="E168"/>
      <selection pane="bottomLeft" activeCell="E168" sqref="E168"/>
      <selection pane="bottomRight" activeCell="L1" sqref="L1"/>
    </sheetView>
  </sheetViews>
  <sheetFormatPr baseColWidth="10" defaultRowHeight="12.75" x14ac:dyDescent="0.2"/>
  <cols>
    <col min="1" max="1" width="7.28515625" style="3" customWidth="1"/>
    <col min="2" max="3" width="11" style="3" customWidth="1"/>
    <col min="4" max="4" width="17.140625" style="3" bestFit="1" customWidth="1"/>
    <col min="5" max="5" width="12.140625" style="3" customWidth="1"/>
    <col min="6" max="6" width="8.5703125" style="3" customWidth="1"/>
    <col min="7" max="7" width="9.28515625" style="3" customWidth="1"/>
    <col min="8" max="8" width="21.42578125" style="5" customWidth="1"/>
    <col min="9" max="9" width="14.140625" style="3" customWidth="1"/>
    <col min="10" max="10" width="14.85546875" style="3" customWidth="1"/>
    <col min="11" max="11" width="14.7109375" style="3" bestFit="1" customWidth="1"/>
    <col min="12" max="12" width="40" style="3" customWidth="1"/>
    <col min="13" max="14" width="11.42578125" style="3" customWidth="1"/>
    <col min="15" max="16384" width="11.42578125" style="3"/>
  </cols>
  <sheetData>
    <row r="1" spans="1:15" x14ac:dyDescent="0.2">
      <c r="A1" s="1" t="s">
        <v>423</v>
      </c>
      <c r="B1" s="1" t="s">
        <v>424</v>
      </c>
      <c r="C1" s="1" t="s">
        <v>601</v>
      </c>
      <c r="D1" s="1" t="s">
        <v>457</v>
      </c>
      <c r="E1" s="1" t="s">
        <v>458</v>
      </c>
      <c r="F1" s="1" t="s">
        <v>686</v>
      </c>
      <c r="G1" s="1" t="s">
        <v>0</v>
      </c>
      <c r="H1" s="5" t="s">
        <v>461</v>
      </c>
      <c r="I1" s="2" t="s">
        <v>462</v>
      </c>
      <c r="J1" s="1" t="s">
        <v>1</v>
      </c>
      <c r="K1" s="1" t="s">
        <v>2</v>
      </c>
      <c r="L1" s="3" t="s">
        <v>465</v>
      </c>
      <c r="M1" s="3" t="s">
        <v>605</v>
      </c>
      <c r="N1" s="3" t="s">
        <v>619</v>
      </c>
      <c r="O1" s="3" t="s">
        <v>687</v>
      </c>
    </row>
    <row r="2" spans="1:15" s="5" customFormat="1" ht="12.75" customHeight="1" x14ac:dyDescent="0.2">
      <c r="A2" s="5">
        <v>2</v>
      </c>
      <c r="B2" s="5" t="s">
        <v>597</v>
      </c>
      <c r="C2" s="4">
        <f t="shared" ref="C2:C31" si="0">VALUE(RIGHT(B2))</f>
        <v>7</v>
      </c>
      <c r="D2" s="5" t="s">
        <v>438</v>
      </c>
      <c r="E2" s="3" t="s">
        <v>454</v>
      </c>
      <c r="F2" s="3" t="s">
        <v>681</v>
      </c>
      <c r="G2" s="5">
        <v>1995</v>
      </c>
      <c r="H2" s="5" t="s">
        <v>7</v>
      </c>
      <c r="I2" s="5" t="s">
        <v>8</v>
      </c>
      <c r="J2" s="5" t="s">
        <v>9</v>
      </c>
      <c r="K2" s="4" t="str">
        <f>VLOOKUP($B2,'Listado General'!$E$2:$V$167,11,FALSE)</f>
        <v>Baja</v>
      </c>
      <c r="L2" s="5" t="s">
        <v>410</v>
      </c>
      <c r="M2" s="3" t="str">
        <f t="shared" ref="M2:M22" ca="1" si="1">IF(CELL("contenido",K2)&lt;&gt;"Baja","Activo",K2)</f>
        <v>Baja</v>
      </c>
      <c r="N2" s="3" t="str">
        <f t="shared" ref="N2:N35" si="2">CONCATENATE(B2," ",H2)</f>
        <v>JM11607 3GCJC44K2SM127055</v>
      </c>
      <c r="O2" s="5" t="s">
        <v>688</v>
      </c>
    </row>
    <row r="3" spans="1:15" s="5" customFormat="1" ht="12.75" customHeight="1" x14ac:dyDescent="0.2">
      <c r="A3" s="5">
        <v>6</v>
      </c>
      <c r="B3" s="5" t="s">
        <v>559</v>
      </c>
      <c r="C3" s="4">
        <f t="shared" si="0"/>
        <v>6</v>
      </c>
      <c r="D3" s="5" t="s">
        <v>425</v>
      </c>
      <c r="E3" s="3" t="s">
        <v>459</v>
      </c>
      <c r="F3" s="3"/>
      <c r="G3" s="5">
        <v>2000</v>
      </c>
      <c r="H3" s="5" t="s">
        <v>609</v>
      </c>
      <c r="I3" s="5" t="s">
        <v>11</v>
      </c>
      <c r="J3" s="5" t="s">
        <v>9</v>
      </c>
      <c r="K3" s="4" t="str">
        <f>VLOOKUP($B3,'Listado General'!$E$2:$V$167,11,FALSE)</f>
        <v>Baja</v>
      </c>
      <c r="L3" s="5" t="s">
        <v>411</v>
      </c>
      <c r="M3" s="3" t="str">
        <f t="shared" ca="1" si="1"/>
        <v>Baja</v>
      </c>
      <c r="N3" s="3" t="str">
        <f t="shared" si="2"/>
        <v>HZR7536 3G1SF2426YS164736</v>
      </c>
      <c r="O3" s="5" t="s">
        <v>688</v>
      </c>
    </row>
    <row r="4" spans="1:15" s="5" customFormat="1" ht="12.75" customHeight="1" x14ac:dyDescent="0.2">
      <c r="A4" s="5">
        <v>8</v>
      </c>
      <c r="B4" s="5" t="s">
        <v>553</v>
      </c>
      <c r="C4" s="4">
        <f t="shared" si="0"/>
        <v>8</v>
      </c>
      <c r="D4" s="5" t="s">
        <v>434</v>
      </c>
      <c r="E4" s="3" t="s">
        <v>453</v>
      </c>
      <c r="F4" s="3" t="s">
        <v>681</v>
      </c>
      <c r="G4" s="5">
        <v>1995</v>
      </c>
      <c r="H4" s="5" t="s">
        <v>13</v>
      </c>
      <c r="I4" s="5" t="s">
        <v>14</v>
      </c>
      <c r="J4" s="5" t="s">
        <v>9</v>
      </c>
      <c r="K4" s="4" t="str">
        <f>VLOOKUP($B4,'Listado General'!$E$2:$V$167,11,FALSE)</f>
        <v>Baja</v>
      </c>
      <c r="L4" s="5" t="s">
        <v>412</v>
      </c>
      <c r="M4" s="3" t="str">
        <f t="shared" ca="1" si="1"/>
        <v>Baja</v>
      </c>
      <c r="N4" s="3" t="str">
        <f t="shared" si="2"/>
        <v>JM11608 3FEKF37HSMA01075</v>
      </c>
      <c r="O4" s="5" t="s">
        <v>688</v>
      </c>
    </row>
    <row r="5" spans="1:15" s="5" customFormat="1" ht="12.75" customHeight="1" x14ac:dyDescent="0.2">
      <c r="A5" s="5">
        <v>9</v>
      </c>
      <c r="B5" s="5" t="s">
        <v>569</v>
      </c>
      <c r="C5" s="4">
        <f t="shared" si="0"/>
        <v>6</v>
      </c>
      <c r="D5" s="5" t="s">
        <v>434</v>
      </c>
      <c r="E5" s="3" t="s">
        <v>450</v>
      </c>
      <c r="F5" s="3" t="s">
        <v>681</v>
      </c>
      <c r="G5" s="5">
        <v>2000</v>
      </c>
      <c r="H5" s="5" t="s">
        <v>16</v>
      </c>
      <c r="I5" s="5" t="s">
        <v>4</v>
      </c>
      <c r="J5" s="5" t="s">
        <v>9</v>
      </c>
      <c r="K5" s="4" t="str">
        <f>VLOOKUP($B5,'Listado General'!$E$2:$V$167,11,FALSE)</f>
        <v>Baja</v>
      </c>
      <c r="L5" s="5" t="s">
        <v>413</v>
      </c>
      <c r="M5" s="3" t="str">
        <f t="shared" ca="1" si="1"/>
        <v>Baja</v>
      </c>
      <c r="N5" s="3" t="str">
        <f t="shared" si="2"/>
        <v>JF46016 3FTDF1728YMA65233</v>
      </c>
      <c r="O5" s="5" t="s">
        <v>688</v>
      </c>
    </row>
    <row r="6" spans="1:15" s="5" customFormat="1" ht="12.75" customHeight="1" x14ac:dyDescent="0.2">
      <c r="A6" s="5">
        <v>10</v>
      </c>
      <c r="B6" s="5" t="s">
        <v>577</v>
      </c>
      <c r="C6" s="4">
        <f t="shared" si="0"/>
        <v>8</v>
      </c>
      <c r="D6" s="5" t="s">
        <v>426</v>
      </c>
      <c r="E6" s="3" t="s">
        <v>455</v>
      </c>
      <c r="F6" s="3"/>
      <c r="G6" s="5">
        <v>2002</v>
      </c>
      <c r="H6" s="5" t="s">
        <v>19</v>
      </c>
      <c r="I6" s="5" t="s">
        <v>416</v>
      </c>
      <c r="J6" s="5" t="s">
        <v>9</v>
      </c>
      <c r="K6" s="4" t="str">
        <f>VLOOKUP($B6,'Listado General'!$E$2:$V$167,11,FALSE)</f>
        <v>Baja</v>
      </c>
      <c r="L6" s="5" t="s">
        <v>414</v>
      </c>
      <c r="M6" s="3" t="str">
        <f t="shared" ca="1" si="1"/>
        <v>Baja</v>
      </c>
      <c r="N6" s="3" t="str">
        <f t="shared" si="2"/>
        <v>JCR3478 3N1EB31S22K386310</v>
      </c>
      <c r="O6" s="5" t="s">
        <v>688</v>
      </c>
    </row>
    <row r="7" spans="1:15" ht="12.75" customHeight="1" x14ac:dyDescent="0.2">
      <c r="A7" s="3">
        <v>11</v>
      </c>
      <c r="B7" s="3" t="s">
        <v>576</v>
      </c>
      <c r="C7" s="4">
        <f t="shared" si="0"/>
        <v>9</v>
      </c>
      <c r="D7" s="3" t="s">
        <v>426</v>
      </c>
      <c r="E7" s="3" t="s">
        <v>427</v>
      </c>
      <c r="G7" s="3">
        <v>1997</v>
      </c>
      <c r="H7" s="5" t="s">
        <v>21</v>
      </c>
      <c r="I7" s="4" t="s">
        <v>22</v>
      </c>
      <c r="J7" s="3" t="s">
        <v>5</v>
      </c>
      <c r="K7" s="4" t="str">
        <f>VLOOKUP($B7,'Listado General'!$E$2:$V$167,11,FALSE)</f>
        <v>Baja</v>
      </c>
      <c r="L7" s="3" t="s">
        <v>387</v>
      </c>
      <c r="M7" s="3" t="str">
        <f t="shared" ca="1" si="1"/>
        <v>Baja</v>
      </c>
      <c r="N7" s="3" t="str">
        <f t="shared" si="2"/>
        <v>JF47319 3N1UCAD21VK00110</v>
      </c>
      <c r="O7" s="5" t="s">
        <v>688</v>
      </c>
    </row>
    <row r="8" spans="1:15" s="5" customFormat="1" ht="12.75" customHeight="1" x14ac:dyDescent="0.2">
      <c r="A8" s="5">
        <v>12</v>
      </c>
      <c r="B8" s="5" t="s">
        <v>504</v>
      </c>
      <c r="C8" s="4">
        <f t="shared" si="0"/>
        <v>4</v>
      </c>
      <c r="D8" s="5" t="s">
        <v>426</v>
      </c>
      <c r="E8" s="3" t="s">
        <v>427</v>
      </c>
      <c r="F8" s="3"/>
      <c r="G8" s="5">
        <v>1997</v>
      </c>
      <c r="H8" s="5" t="s">
        <v>388</v>
      </c>
      <c r="I8" s="5" t="s">
        <v>24</v>
      </c>
      <c r="J8" s="5" t="s">
        <v>9</v>
      </c>
      <c r="K8" s="4" t="str">
        <f>VLOOKUP($B8,'Listado General'!$E$2:$V$167,11,FALSE)</f>
        <v>Baja</v>
      </c>
      <c r="L8" s="5" t="s">
        <v>414</v>
      </c>
      <c r="M8" s="3" t="str">
        <f t="shared" ca="1" si="1"/>
        <v>Baja</v>
      </c>
      <c r="N8" s="3" t="str">
        <f t="shared" si="2"/>
        <v>JF46014 3N1UCAD21VK001910</v>
      </c>
      <c r="O8" s="5" t="s">
        <v>688</v>
      </c>
    </row>
    <row r="9" spans="1:15" s="5" customFormat="1" ht="12.75" customHeight="1" x14ac:dyDescent="0.2">
      <c r="A9" s="5">
        <v>13</v>
      </c>
      <c r="B9" s="5" t="s">
        <v>517</v>
      </c>
      <c r="C9" s="4">
        <f t="shared" si="0"/>
        <v>2</v>
      </c>
      <c r="D9" s="5" t="s">
        <v>426</v>
      </c>
      <c r="E9" s="3" t="s">
        <v>427</v>
      </c>
      <c r="F9" s="3"/>
      <c r="G9" s="5">
        <v>1997</v>
      </c>
      <c r="H9" s="5" t="s">
        <v>389</v>
      </c>
      <c r="I9" s="5" t="s">
        <v>26</v>
      </c>
      <c r="J9" s="5" t="s">
        <v>9</v>
      </c>
      <c r="K9" s="4" t="str">
        <f>VLOOKUP($B9,'Listado General'!$E$2:$V$167,11,FALSE)</f>
        <v>Baja</v>
      </c>
      <c r="L9" s="5" t="s">
        <v>414</v>
      </c>
      <c r="M9" s="3" t="str">
        <f t="shared" ca="1" si="1"/>
        <v>Baja</v>
      </c>
      <c r="N9" s="3" t="str">
        <f t="shared" si="2"/>
        <v>JF46252 3N1UCAS21VK001930</v>
      </c>
      <c r="O9" s="5" t="s">
        <v>688</v>
      </c>
    </row>
    <row r="10" spans="1:15" ht="15.75" customHeight="1" x14ac:dyDescent="0.25">
      <c r="A10" s="3">
        <v>25</v>
      </c>
      <c r="B10" s="3" t="s">
        <v>591</v>
      </c>
      <c r="C10" s="4">
        <f t="shared" si="0"/>
        <v>7</v>
      </c>
      <c r="D10" s="3" t="s">
        <v>447</v>
      </c>
      <c r="E10" s="3" t="s">
        <v>449</v>
      </c>
      <c r="F10" s="3" t="s">
        <v>681</v>
      </c>
      <c r="G10" s="3">
        <v>1997</v>
      </c>
      <c r="H10" s="5" t="s">
        <v>40</v>
      </c>
      <c r="I10" s="4" t="s">
        <v>41</v>
      </c>
      <c r="J10" s="3" t="s">
        <v>5</v>
      </c>
      <c r="K10" s="4" t="str">
        <f>VLOOKUP($B10,'Listado General'!$E$2:$V$167,11,FALSE)</f>
        <v>Baja</v>
      </c>
      <c r="L10" s="3" t="s">
        <v>415</v>
      </c>
      <c r="M10" s="3" t="str">
        <f t="shared" ca="1" si="1"/>
        <v>Baja</v>
      </c>
      <c r="N10" s="11" t="str">
        <f t="shared" si="2"/>
        <v>HYY3827 3VWZZZ113VM514274</v>
      </c>
      <c r="O10" s="5" t="s">
        <v>688</v>
      </c>
    </row>
    <row r="11" spans="1:15" ht="15" customHeight="1" x14ac:dyDescent="0.25">
      <c r="A11" s="3">
        <v>28</v>
      </c>
      <c r="B11" s="3" t="s">
        <v>592</v>
      </c>
      <c r="C11" s="4">
        <f t="shared" si="0"/>
        <v>7</v>
      </c>
      <c r="D11" s="3" t="s">
        <v>447</v>
      </c>
      <c r="E11" s="3" t="s">
        <v>449</v>
      </c>
      <c r="F11" s="3" t="s">
        <v>681</v>
      </c>
      <c r="G11" s="3">
        <v>1998</v>
      </c>
      <c r="H11" s="5" t="s">
        <v>46</v>
      </c>
      <c r="I11" s="4" t="s">
        <v>47</v>
      </c>
      <c r="J11" s="3" t="s">
        <v>5</v>
      </c>
      <c r="K11" s="4" t="str">
        <f>VLOOKUP($B11,'Listado General'!$E$2:$V$167,11,FALSE)</f>
        <v>Baja</v>
      </c>
      <c r="L11" s="3" t="s">
        <v>415</v>
      </c>
      <c r="M11" s="3" t="str">
        <f t="shared" ca="1" si="1"/>
        <v>Baja</v>
      </c>
      <c r="N11" s="11" t="str">
        <f t="shared" si="2"/>
        <v>HZA9327 3VWS1E1B5WM504582</v>
      </c>
      <c r="O11" s="5" t="s">
        <v>688</v>
      </c>
    </row>
    <row r="12" spans="1:15" ht="15" customHeight="1" x14ac:dyDescent="0.25">
      <c r="A12" s="3">
        <v>29</v>
      </c>
      <c r="B12" s="3" t="s">
        <v>593</v>
      </c>
      <c r="C12" s="4">
        <f t="shared" si="0"/>
        <v>9</v>
      </c>
      <c r="D12" s="3" t="s">
        <v>447</v>
      </c>
      <c r="E12" s="3" t="s">
        <v>449</v>
      </c>
      <c r="F12" s="3" t="s">
        <v>681</v>
      </c>
      <c r="G12" s="3">
        <v>1998</v>
      </c>
      <c r="H12" s="5" t="s">
        <v>49</v>
      </c>
      <c r="I12" s="4" t="s">
        <v>50</v>
      </c>
      <c r="J12" s="3" t="s">
        <v>5</v>
      </c>
      <c r="K12" s="4" t="str">
        <f>VLOOKUP($B12,'Listado General'!$E$2:$V$167,11,FALSE)</f>
        <v>Baja</v>
      </c>
      <c r="L12" s="3" t="s">
        <v>415</v>
      </c>
      <c r="M12" s="3" t="str">
        <f t="shared" ca="1" si="1"/>
        <v>Baja</v>
      </c>
      <c r="N12" s="11" t="str">
        <f t="shared" si="2"/>
        <v>HZA9329 3VWS1E1B5WM504632</v>
      </c>
      <c r="O12" s="5" t="s">
        <v>688</v>
      </c>
    </row>
    <row r="13" spans="1:15" s="6" customFormat="1" ht="15.75" customHeight="1" x14ac:dyDescent="0.25">
      <c r="A13" s="3">
        <v>33</v>
      </c>
      <c r="B13" s="3" t="s">
        <v>579</v>
      </c>
      <c r="C13" s="4">
        <f t="shared" si="0"/>
        <v>9</v>
      </c>
      <c r="D13" s="5" t="s">
        <v>426</v>
      </c>
      <c r="E13" s="3" t="s">
        <v>178</v>
      </c>
      <c r="F13" s="3"/>
      <c r="G13" s="3">
        <v>2003</v>
      </c>
      <c r="H13" s="5" t="s">
        <v>60</v>
      </c>
      <c r="I13" s="3" t="s">
        <v>61</v>
      </c>
      <c r="J13" s="3" t="s">
        <v>5</v>
      </c>
      <c r="K13" s="4" t="str">
        <f>VLOOKUP($B13,'Listado General'!$E$2:$V$167,11,FALSE)</f>
        <v>Baja</v>
      </c>
      <c r="L13" s="3" t="s">
        <v>415</v>
      </c>
      <c r="M13" s="3" t="str">
        <f t="shared" ca="1" si="1"/>
        <v>Baja</v>
      </c>
      <c r="N13" s="11" t="str">
        <f t="shared" si="2"/>
        <v>JCP2509 3N1JH01S43L030738</v>
      </c>
      <c r="O13" s="5" t="s">
        <v>688</v>
      </c>
    </row>
    <row r="14" spans="1:15" ht="15.75" customHeight="1" x14ac:dyDescent="0.25">
      <c r="A14" s="3">
        <v>34</v>
      </c>
      <c r="B14" s="3" t="s">
        <v>580</v>
      </c>
      <c r="C14" s="4">
        <f t="shared" si="0"/>
        <v>0</v>
      </c>
      <c r="D14" s="5" t="s">
        <v>426</v>
      </c>
      <c r="E14" s="3" t="s">
        <v>178</v>
      </c>
      <c r="G14" s="3">
        <v>2003</v>
      </c>
      <c r="H14" s="5" t="s">
        <v>63</v>
      </c>
      <c r="I14" s="4" t="s">
        <v>64</v>
      </c>
      <c r="J14" s="3" t="s">
        <v>5</v>
      </c>
      <c r="K14" s="4" t="str">
        <f>VLOOKUP($B14,'Listado General'!$E$2:$V$167,11,FALSE)</f>
        <v>Baja</v>
      </c>
      <c r="L14" s="3" t="s">
        <v>415</v>
      </c>
      <c r="M14" s="3" t="str">
        <f t="shared" ca="1" si="1"/>
        <v>Baja</v>
      </c>
      <c r="N14" s="11" t="str">
        <f t="shared" si="2"/>
        <v>JCP2510 3N1JH01S43L030500</v>
      </c>
      <c r="O14" s="5" t="s">
        <v>688</v>
      </c>
    </row>
    <row r="15" spans="1:15" ht="15" customHeight="1" x14ac:dyDescent="0.25">
      <c r="A15" s="3">
        <v>36</v>
      </c>
      <c r="B15" s="3" t="s">
        <v>581</v>
      </c>
      <c r="C15" s="4">
        <f t="shared" si="0"/>
        <v>3</v>
      </c>
      <c r="D15" s="5" t="s">
        <v>426</v>
      </c>
      <c r="E15" s="3" t="s">
        <v>178</v>
      </c>
      <c r="G15" s="3">
        <v>2003</v>
      </c>
      <c r="H15" s="5" t="s">
        <v>69</v>
      </c>
      <c r="I15" s="4" t="s">
        <v>70</v>
      </c>
      <c r="J15" s="3" t="s">
        <v>5</v>
      </c>
      <c r="K15" s="4" t="str">
        <f>VLOOKUP($B15,'Listado General'!$E$2:$V$167,11,FALSE)</f>
        <v>Baja</v>
      </c>
      <c r="L15" s="3" t="s">
        <v>415</v>
      </c>
      <c r="M15" s="3" t="str">
        <f t="shared" ca="1" si="1"/>
        <v>Baja</v>
      </c>
      <c r="N15" s="11" t="str">
        <f t="shared" si="2"/>
        <v>JCP2513 3N1JH01S93L024756</v>
      </c>
      <c r="O15" s="5" t="s">
        <v>688</v>
      </c>
    </row>
    <row r="16" spans="1:15" ht="15.75" customHeight="1" x14ac:dyDescent="0.25">
      <c r="A16" s="3">
        <v>37</v>
      </c>
      <c r="B16" s="3" t="s">
        <v>578</v>
      </c>
      <c r="C16" s="4">
        <f t="shared" si="0"/>
        <v>7</v>
      </c>
      <c r="D16" s="5" t="s">
        <v>426</v>
      </c>
      <c r="E16" s="3" t="s">
        <v>178</v>
      </c>
      <c r="G16" s="3">
        <v>2003</v>
      </c>
      <c r="H16" s="5" t="s">
        <v>72</v>
      </c>
      <c r="I16" s="4" t="s">
        <v>73</v>
      </c>
      <c r="J16" s="3" t="s">
        <v>5</v>
      </c>
      <c r="K16" s="4" t="str">
        <f>VLOOKUP($B16,'Listado General'!$E$2:$V$167,11,FALSE)</f>
        <v>Baja</v>
      </c>
      <c r="L16" s="3" t="s">
        <v>415</v>
      </c>
      <c r="M16" s="3" t="str">
        <f t="shared" ca="1" si="1"/>
        <v>Baja</v>
      </c>
      <c r="N16" s="11" t="str">
        <f t="shared" si="2"/>
        <v>JCP2507 3N1JH01S23L034352</v>
      </c>
      <c r="O16" s="5" t="s">
        <v>688</v>
      </c>
    </row>
    <row r="17" spans="1:15" ht="15.75" customHeight="1" x14ac:dyDescent="0.25">
      <c r="A17" s="3">
        <v>38</v>
      </c>
      <c r="B17" s="3" t="s">
        <v>599</v>
      </c>
      <c r="C17" s="4">
        <f t="shared" si="0"/>
        <v>2</v>
      </c>
      <c r="D17" s="5" t="s">
        <v>426</v>
      </c>
      <c r="E17" s="3" t="s">
        <v>178</v>
      </c>
      <c r="G17" s="3">
        <v>2003</v>
      </c>
      <c r="H17" s="5" t="s">
        <v>75</v>
      </c>
      <c r="I17" s="4" t="s">
        <v>76</v>
      </c>
      <c r="J17" s="3" t="s">
        <v>5</v>
      </c>
      <c r="K17" s="4" t="str">
        <f>VLOOKUP($B17,'Listado General'!$E$2:$V$167,11,FALSE)</f>
        <v>Baja</v>
      </c>
      <c r="L17" s="3" t="s">
        <v>415</v>
      </c>
      <c r="M17" s="3" t="str">
        <f t="shared" ca="1" si="1"/>
        <v>Baja</v>
      </c>
      <c r="N17" s="11" t="str">
        <f t="shared" si="2"/>
        <v>JCP2512 3N1JH01S23L023254</v>
      </c>
      <c r="O17" s="5" t="s">
        <v>688</v>
      </c>
    </row>
    <row r="18" spans="1:15" ht="15.75" customHeight="1" x14ac:dyDescent="0.25">
      <c r="A18" s="3">
        <v>45</v>
      </c>
      <c r="B18" s="3" t="s">
        <v>585</v>
      </c>
      <c r="C18" s="4">
        <f t="shared" si="0"/>
        <v>5</v>
      </c>
      <c r="D18" s="3" t="s">
        <v>447</v>
      </c>
      <c r="E18" s="3" t="s">
        <v>449</v>
      </c>
      <c r="F18" s="3" t="s">
        <v>681</v>
      </c>
      <c r="G18" s="3">
        <v>2003</v>
      </c>
      <c r="H18" s="5" t="s">
        <v>96</v>
      </c>
      <c r="I18" s="4" t="s">
        <v>97</v>
      </c>
      <c r="J18" s="3" t="s">
        <v>5</v>
      </c>
      <c r="K18" s="4" t="str">
        <f>VLOOKUP($B18,'Listado General'!$E$2:$V$167,11,FALSE)</f>
        <v>Baja</v>
      </c>
      <c r="L18" s="3" t="s">
        <v>415</v>
      </c>
      <c r="M18" s="3" t="str">
        <f t="shared" ca="1" si="1"/>
        <v>Baja</v>
      </c>
      <c r="N18" s="11" t="str">
        <f t="shared" si="2"/>
        <v>JCL1185 3VWS1A1BX3M912323</v>
      </c>
      <c r="O18" s="5" t="s">
        <v>688</v>
      </c>
    </row>
    <row r="19" spans="1:15" ht="15" customHeight="1" x14ac:dyDescent="0.25">
      <c r="A19" s="3">
        <v>47</v>
      </c>
      <c r="B19" s="3" t="s">
        <v>586</v>
      </c>
      <c r="C19" s="4">
        <f t="shared" si="0"/>
        <v>8</v>
      </c>
      <c r="D19" s="3" t="s">
        <v>447</v>
      </c>
      <c r="E19" s="3" t="s">
        <v>449</v>
      </c>
      <c r="F19" s="3" t="s">
        <v>681</v>
      </c>
      <c r="G19" s="3">
        <v>2003</v>
      </c>
      <c r="H19" s="5" t="s">
        <v>102</v>
      </c>
      <c r="I19" s="4" t="s">
        <v>103</v>
      </c>
      <c r="J19" s="3" t="s">
        <v>5</v>
      </c>
      <c r="K19" s="4" t="str">
        <f>VLOOKUP($B19,'Listado General'!$E$2:$V$167,11,FALSE)</f>
        <v>Baja</v>
      </c>
      <c r="L19" s="3" t="s">
        <v>415</v>
      </c>
      <c r="M19" s="3" t="str">
        <f t="shared" ca="1" si="1"/>
        <v>Baja</v>
      </c>
      <c r="N19" s="11" t="str">
        <f t="shared" si="2"/>
        <v>JEY9158 3VWS1A1B53M912312</v>
      </c>
      <c r="O19" s="5" t="s">
        <v>688</v>
      </c>
    </row>
    <row r="20" spans="1:15" ht="15" customHeight="1" x14ac:dyDescent="0.25">
      <c r="A20" s="3">
        <v>48</v>
      </c>
      <c r="B20" s="3" t="s">
        <v>600</v>
      </c>
      <c r="C20" s="4">
        <f t="shared" si="0"/>
        <v>8</v>
      </c>
      <c r="D20" s="3" t="s">
        <v>447</v>
      </c>
      <c r="E20" s="3" t="s">
        <v>449</v>
      </c>
      <c r="F20" s="3" t="s">
        <v>681</v>
      </c>
      <c r="G20" s="3">
        <v>2003</v>
      </c>
      <c r="H20" s="5" t="s">
        <v>105</v>
      </c>
      <c r="I20" s="4" t="s">
        <v>106</v>
      </c>
      <c r="J20" s="3" t="s">
        <v>5</v>
      </c>
      <c r="K20" s="4" t="str">
        <f>VLOOKUP($B20,'Listado General'!$E$2:$V$167,11,FALSE)</f>
        <v>Baja</v>
      </c>
      <c r="L20" s="3" t="s">
        <v>415</v>
      </c>
      <c r="M20" s="3" t="str">
        <f t="shared" ca="1" si="1"/>
        <v>Baja</v>
      </c>
      <c r="N20" s="11" t="str">
        <f t="shared" si="2"/>
        <v>JCL1188 3VWS1A1B63M912304</v>
      </c>
      <c r="O20" s="5" t="s">
        <v>688</v>
      </c>
    </row>
    <row r="21" spans="1:15" ht="12.75" customHeight="1" x14ac:dyDescent="0.25">
      <c r="A21" s="3">
        <v>50</v>
      </c>
      <c r="B21" s="3" t="s">
        <v>587</v>
      </c>
      <c r="C21" s="4">
        <f t="shared" si="0"/>
        <v>7</v>
      </c>
      <c r="D21" s="3" t="s">
        <v>447</v>
      </c>
      <c r="E21" s="3" t="s">
        <v>449</v>
      </c>
      <c r="F21" s="3" t="s">
        <v>681</v>
      </c>
      <c r="G21" s="3">
        <v>2003</v>
      </c>
      <c r="H21" s="5" t="s">
        <v>111</v>
      </c>
      <c r="I21" s="4" t="s">
        <v>112</v>
      </c>
      <c r="J21" s="3" t="s">
        <v>5</v>
      </c>
      <c r="K21" s="4" t="str">
        <f>VLOOKUP($B21,'Listado General'!$E$2:$V$167,11,FALSE)</f>
        <v>Baja</v>
      </c>
      <c r="L21" s="3" t="s">
        <v>415</v>
      </c>
      <c r="M21" s="3" t="str">
        <f t="shared" ca="1" si="1"/>
        <v>Baja</v>
      </c>
      <c r="N21" s="11" t="str">
        <f t="shared" si="2"/>
        <v>JDV3867 3VWS1A1B43M912303</v>
      </c>
      <c r="O21" s="5" t="s">
        <v>688</v>
      </c>
    </row>
    <row r="22" spans="1:15" ht="15" customHeight="1" x14ac:dyDescent="0.25">
      <c r="A22" s="3">
        <v>57</v>
      </c>
      <c r="B22" s="3" t="s">
        <v>590</v>
      </c>
      <c r="C22" s="4">
        <f t="shared" si="0"/>
        <v>0</v>
      </c>
      <c r="D22" s="3" t="s">
        <v>447</v>
      </c>
      <c r="E22" s="3" t="s">
        <v>449</v>
      </c>
      <c r="F22" s="3" t="s">
        <v>681</v>
      </c>
      <c r="G22" s="3">
        <v>2003</v>
      </c>
      <c r="H22" s="5" t="s">
        <v>127</v>
      </c>
      <c r="I22" s="4" t="s">
        <v>128</v>
      </c>
      <c r="J22" s="3" t="s">
        <v>5</v>
      </c>
      <c r="K22" s="4" t="str">
        <f>VLOOKUP($B22,'Listado General'!$E$2:$V$167,11,FALSE)</f>
        <v>Baja</v>
      </c>
      <c r="L22" s="3" t="s">
        <v>415</v>
      </c>
      <c r="M22" s="3" t="str">
        <f t="shared" ca="1" si="1"/>
        <v>Baja</v>
      </c>
      <c r="N22" s="11" t="str">
        <f t="shared" si="2"/>
        <v>JCP2820 3VWS1A1B63M912674</v>
      </c>
      <c r="O22" s="5" t="s">
        <v>688</v>
      </c>
    </row>
    <row r="23" spans="1:15" s="5" customFormat="1" ht="12.75" customHeight="1" x14ac:dyDescent="0.25">
      <c r="A23" s="5">
        <v>61</v>
      </c>
      <c r="B23" s="15" t="s">
        <v>570</v>
      </c>
      <c r="C23" s="4">
        <f t="shared" si="0"/>
        <v>1</v>
      </c>
      <c r="D23" s="5" t="s">
        <v>434</v>
      </c>
      <c r="E23" s="3" t="s">
        <v>451</v>
      </c>
      <c r="F23" s="3" t="s">
        <v>681</v>
      </c>
      <c r="G23" s="5">
        <v>2003</v>
      </c>
      <c r="H23" s="5" t="s">
        <v>137</v>
      </c>
      <c r="I23" s="5" t="s">
        <v>17</v>
      </c>
      <c r="J23" s="5" t="s">
        <v>9</v>
      </c>
      <c r="K23" s="4" t="str">
        <f>VLOOKUP($B23,'Listado General'!$E$2:$V$167,11,FALSE)</f>
        <v>Baja</v>
      </c>
      <c r="L23" s="5" t="s">
        <v>695</v>
      </c>
      <c r="M23" s="16" t="s">
        <v>487</v>
      </c>
      <c r="N23" s="3" t="str">
        <f t="shared" si="2"/>
        <v>JH99211 3FTEF17W63MB09259</v>
      </c>
      <c r="O23" s="5" t="s">
        <v>688</v>
      </c>
    </row>
    <row r="24" spans="1:15" s="5" customFormat="1" ht="12.75" customHeight="1" x14ac:dyDescent="0.2">
      <c r="A24" s="5">
        <v>69</v>
      </c>
      <c r="B24" s="5" t="s">
        <v>582</v>
      </c>
      <c r="C24" s="4">
        <f t="shared" si="0"/>
        <v>4</v>
      </c>
      <c r="D24" s="3" t="s">
        <v>425</v>
      </c>
      <c r="E24" s="5" t="s">
        <v>152</v>
      </c>
      <c r="G24" s="5">
        <v>1998</v>
      </c>
      <c r="H24" s="5" t="s">
        <v>153</v>
      </c>
      <c r="I24" s="5" t="s">
        <v>4</v>
      </c>
      <c r="J24" s="5" t="s">
        <v>9</v>
      </c>
      <c r="K24" s="4" t="str">
        <f>VLOOKUP($B24,'Listado General'!$E$2:$V$167,11,FALSE)</f>
        <v>Baja</v>
      </c>
      <c r="L24" s="5" t="s">
        <v>414</v>
      </c>
      <c r="M24" s="3" t="str">
        <f ca="1">IF(CELL("contenido",K24)&lt;&gt;"Baja","Activo",K24)</f>
        <v>Baja</v>
      </c>
      <c r="N24" s="3" t="str">
        <f t="shared" si="2"/>
        <v>HZR7704 3GCEC26K8WG134891</v>
      </c>
      <c r="O24" s="5" t="s">
        <v>688</v>
      </c>
    </row>
    <row r="25" spans="1:15" s="5" customFormat="1" ht="12.75" customHeight="1" x14ac:dyDescent="0.25">
      <c r="A25" s="5">
        <v>70</v>
      </c>
      <c r="B25" s="15" t="s">
        <v>405</v>
      </c>
      <c r="C25" s="4">
        <f t="shared" si="0"/>
        <v>1</v>
      </c>
      <c r="D25" s="4" t="s">
        <v>425</v>
      </c>
      <c r="E25" s="5" t="s">
        <v>460</v>
      </c>
      <c r="F25" s="5" t="s">
        <v>681</v>
      </c>
      <c r="G25" s="5">
        <v>2004</v>
      </c>
      <c r="H25" s="5" t="s">
        <v>155</v>
      </c>
      <c r="I25" s="5" t="s">
        <v>17</v>
      </c>
      <c r="J25" s="5" t="s">
        <v>9</v>
      </c>
      <c r="K25" s="4" t="str">
        <f>VLOOKUP($B25,'Listado General'!$E$2:$V$167,11,FALSE)</f>
        <v>Baja</v>
      </c>
      <c r="L25" s="5" t="s">
        <v>695</v>
      </c>
      <c r="M25" s="16" t="s">
        <v>487</v>
      </c>
      <c r="N25" s="3" t="str">
        <f t="shared" si="2"/>
        <v>JDE4821 3G1SE51694S137181</v>
      </c>
      <c r="O25" s="5" t="s">
        <v>688</v>
      </c>
    </row>
    <row r="26" spans="1:15" s="5" customFormat="1" ht="12.75" customHeight="1" x14ac:dyDescent="0.25">
      <c r="A26" s="5">
        <v>71</v>
      </c>
      <c r="B26" s="15" t="s">
        <v>403</v>
      </c>
      <c r="C26" s="4">
        <f t="shared" si="0"/>
        <v>2</v>
      </c>
      <c r="D26" s="4" t="s">
        <v>425</v>
      </c>
      <c r="E26" s="5" t="s">
        <v>460</v>
      </c>
      <c r="F26" s="5" t="s">
        <v>681</v>
      </c>
      <c r="G26" s="5">
        <v>2004</v>
      </c>
      <c r="H26" s="5" t="s">
        <v>157</v>
      </c>
      <c r="I26" s="5" t="s">
        <v>17</v>
      </c>
      <c r="J26" s="5" t="s">
        <v>9</v>
      </c>
      <c r="K26" s="4" t="str">
        <f>VLOOKUP($B26,'Listado General'!$E$2:$V$167,11,FALSE)</f>
        <v>Baja</v>
      </c>
      <c r="L26" s="5" t="s">
        <v>695</v>
      </c>
      <c r="M26" s="16" t="s">
        <v>487</v>
      </c>
      <c r="N26" s="3" t="str">
        <f t="shared" si="2"/>
        <v>JDE4822 3G1SE51674S138216</v>
      </c>
      <c r="O26" s="5" t="s">
        <v>688</v>
      </c>
    </row>
    <row r="27" spans="1:15" s="5" customFormat="1" ht="12.75" customHeight="1" x14ac:dyDescent="0.25">
      <c r="A27" s="5">
        <v>72</v>
      </c>
      <c r="B27" s="15" t="s">
        <v>575</v>
      </c>
      <c r="C27" s="4">
        <f t="shared" si="0"/>
        <v>1</v>
      </c>
      <c r="D27" s="5" t="s">
        <v>689</v>
      </c>
      <c r="E27" s="3" t="s">
        <v>717</v>
      </c>
      <c r="F27" s="3" t="s">
        <v>681</v>
      </c>
      <c r="G27" s="5">
        <v>2003</v>
      </c>
      <c r="H27" s="5" t="s">
        <v>159</v>
      </c>
      <c r="I27" s="5" t="s">
        <v>160</v>
      </c>
      <c r="J27" s="5" t="s">
        <v>9</v>
      </c>
      <c r="K27" s="4" t="str">
        <f>VLOOKUP($B27,'Listado General'!$E$2:$V$167,11,FALSE)</f>
        <v>Baja</v>
      </c>
      <c r="L27" s="5" t="s">
        <v>695</v>
      </c>
      <c r="M27" s="16" t="s">
        <v>487</v>
      </c>
      <c r="N27" s="3" t="str">
        <f t="shared" si="2"/>
        <v>JN20661 3MBAA1CN33M005009</v>
      </c>
      <c r="O27" s="5" t="s">
        <v>688</v>
      </c>
    </row>
    <row r="28" spans="1:15" ht="12.75" customHeight="1" x14ac:dyDescent="0.2">
      <c r="A28" s="3">
        <v>73</v>
      </c>
      <c r="B28" s="3" t="s">
        <v>499</v>
      </c>
      <c r="C28" s="4">
        <f t="shared" si="0"/>
        <v>6</v>
      </c>
      <c r="D28" s="3" t="s">
        <v>425</v>
      </c>
      <c r="E28" s="3" t="s">
        <v>432</v>
      </c>
      <c r="G28" s="3">
        <v>2005</v>
      </c>
      <c r="H28" s="5" t="s">
        <v>161</v>
      </c>
      <c r="I28" s="4" t="s">
        <v>146</v>
      </c>
      <c r="J28" s="3" t="s">
        <v>5</v>
      </c>
      <c r="K28" s="4" t="str">
        <f>VLOOKUP($B28,'Listado General'!$E$2:$V$167,11,FALSE)</f>
        <v>Baja</v>
      </c>
      <c r="L28" s="3" t="s">
        <v>163</v>
      </c>
      <c r="M28" s="3" t="str">
        <f ca="1">IF(CELL("contenido",K28)&lt;&gt;"Baja","Activo",K28)</f>
        <v>Baja</v>
      </c>
      <c r="N28" s="3" t="str">
        <f t="shared" si="2"/>
        <v>JM52176 8GGTFRC125A148680</v>
      </c>
      <c r="O28" s="5" t="s">
        <v>688</v>
      </c>
    </row>
    <row r="29" spans="1:15" ht="15.75" customHeight="1" x14ac:dyDescent="0.25">
      <c r="A29" s="3">
        <v>77</v>
      </c>
      <c r="B29" s="3" t="s">
        <v>562</v>
      </c>
      <c r="C29" s="4">
        <f t="shared" si="0"/>
        <v>0</v>
      </c>
      <c r="D29" s="3" t="s">
        <v>425</v>
      </c>
      <c r="E29" s="3" t="s">
        <v>432</v>
      </c>
      <c r="G29" s="3">
        <v>2005</v>
      </c>
      <c r="H29" s="5" t="s">
        <v>170</v>
      </c>
      <c r="I29" s="4" t="s">
        <v>146</v>
      </c>
      <c r="J29" s="3" t="s">
        <v>5</v>
      </c>
      <c r="K29" s="4" t="str">
        <f>VLOOKUP($B29,'Listado General'!$E$2:$V$167,11,FALSE)</f>
        <v>Baja</v>
      </c>
      <c r="L29" s="3" t="s">
        <v>415</v>
      </c>
      <c r="M29" s="3" t="str">
        <f ca="1">IF(CELL("contenido",K29)&lt;&gt;"Baja","Activo",K29)</f>
        <v>Baja</v>
      </c>
      <c r="N29" s="11" t="str">
        <f t="shared" si="2"/>
        <v>JM52180 8GGTFRC165A148679</v>
      </c>
      <c r="O29" s="5" t="s">
        <v>688</v>
      </c>
    </row>
    <row r="30" spans="1:15" s="5" customFormat="1" ht="12.75" customHeight="1" x14ac:dyDescent="0.2">
      <c r="A30" s="5">
        <v>78</v>
      </c>
      <c r="B30" s="5" t="s">
        <v>525</v>
      </c>
      <c r="C30" s="4">
        <f t="shared" si="0"/>
        <v>7</v>
      </c>
      <c r="D30" s="5" t="s">
        <v>426</v>
      </c>
      <c r="E30" s="3" t="s">
        <v>427</v>
      </c>
      <c r="F30" s="3" t="s">
        <v>681</v>
      </c>
      <c r="G30" s="5">
        <v>2006</v>
      </c>
      <c r="H30" s="5" t="s">
        <v>172</v>
      </c>
      <c r="I30" s="5" t="s">
        <v>173</v>
      </c>
      <c r="J30" s="5" t="s">
        <v>9</v>
      </c>
      <c r="K30" s="4" t="str">
        <f>VLOOKUP($B30,'Listado General'!$E$2:$V$167,11,FALSE)</f>
        <v>Baja</v>
      </c>
      <c r="L30" s="5" t="s">
        <v>607</v>
      </c>
      <c r="M30" s="3" t="str">
        <f ca="1">IF(CELL("contenido",K30)&lt;&gt;"Baja","Activo",K30)</f>
        <v>Baja</v>
      </c>
      <c r="N30" s="3" t="str">
        <f t="shared" si="2"/>
        <v>JN13147 3N6DD13S96K015460</v>
      </c>
      <c r="O30" s="5" t="s">
        <v>688</v>
      </c>
    </row>
    <row r="31" spans="1:15" s="5" customFormat="1" ht="12.75" customHeight="1" x14ac:dyDescent="0.25">
      <c r="A31" s="5">
        <v>79</v>
      </c>
      <c r="B31" s="15" t="s">
        <v>505</v>
      </c>
      <c r="C31" s="4">
        <f t="shared" si="0"/>
        <v>0</v>
      </c>
      <c r="D31" s="5" t="s">
        <v>426</v>
      </c>
      <c r="E31" s="3" t="s">
        <v>427</v>
      </c>
      <c r="F31" s="3" t="s">
        <v>681</v>
      </c>
      <c r="G31" s="5">
        <v>2007</v>
      </c>
      <c r="H31" s="5" t="s">
        <v>175</v>
      </c>
      <c r="I31" s="5" t="s">
        <v>176</v>
      </c>
      <c r="J31" s="5" t="s">
        <v>9</v>
      </c>
      <c r="K31" s="4" t="str">
        <f>VLOOKUP($B31,'Listado General'!$E$2:$V$167,11,FALSE)</f>
        <v>Baja</v>
      </c>
      <c r="L31" s="5" t="s">
        <v>695</v>
      </c>
      <c r="M31" s="16" t="s">
        <v>487</v>
      </c>
      <c r="N31" s="3" t="str">
        <f t="shared" si="2"/>
        <v>JN13350 3N6DD13S57K006272</v>
      </c>
      <c r="O31" s="5" t="s">
        <v>688</v>
      </c>
    </row>
    <row r="32" spans="1:15" s="5" customFormat="1" ht="12.75" customHeight="1" x14ac:dyDescent="0.25">
      <c r="A32" s="5">
        <v>83</v>
      </c>
      <c r="B32" s="15" t="s">
        <v>519</v>
      </c>
      <c r="C32" s="4">
        <f>VALUE(RIGHT(B32))</f>
        <v>7</v>
      </c>
      <c r="D32" s="3" t="s">
        <v>444</v>
      </c>
      <c r="E32" s="5" t="s">
        <v>443</v>
      </c>
      <c r="F32" s="5" t="s">
        <v>682</v>
      </c>
      <c r="G32" s="5">
        <v>2007</v>
      </c>
      <c r="H32" s="5" t="s">
        <v>186</v>
      </c>
      <c r="I32" s="5" t="s">
        <v>187</v>
      </c>
      <c r="J32" s="5" t="s">
        <v>9</v>
      </c>
      <c r="K32" s="4" t="str">
        <f>VLOOKUP($B32,'Listado General'!$E$2:$V$167,11,FALSE)</f>
        <v>Baja</v>
      </c>
      <c r="L32" s="5" t="s">
        <v>695</v>
      </c>
      <c r="M32" s="16" t="s">
        <v>487</v>
      </c>
      <c r="N32" s="3" t="str">
        <f t="shared" si="2"/>
        <v>XYW97 LC6PCJK6370801203</v>
      </c>
      <c r="O32" s="5" t="s">
        <v>688</v>
      </c>
    </row>
    <row r="33" spans="1:15" s="5" customFormat="1" ht="12.75" customHeight="1" x14ac:dyDescent="0.25">
      <c r="A33" s="5">
        <v>84</v>
      </c>
      <c r="B33" s="15" t="s">
        <v>497</v>
      </c>
      <c r="C33" s="4">
        <f>VALUE(RIGHT(B33))</f>
        <v>8</v>
      </c>
      <c r="D33" s="3" t="s">
        <v>444</v>
      </c>
      <c r="E33" s="5" t="s">
        <v>443</v>
      </c>
      <c r="F33" s="5" t="s">
        <v>682</v>
      </c>
      <c r="G33" s="5">
        <v>2007</v>
      </c>
      <c r="H33" s="5" t="s">
        <v>622</v>
      </c>
      <c r="I33" s="5" t="s">
        <v>189</v>
      </c>
      <c r="J33" s="5" t="s">
        <v>9</v>
      </c>
      <c r="K33" s="4" t="str">
        <f>VLOOKUP($B33,'Listado General'!$E$2:$V$167,11,FALSE)</f>
        <v>Baja</v>
      </c>
      <c r="L33" s="5" t="s">
        <v>695</v>
      </c>
      <c r="M33" s="16" t="s">
        <v>487</v>
      </c>
      <c r="N33" s="3" t="str">
        <f t="shared" si="2"/>
        <v>XYW98 LC6PCJK6370801282</v>
      </c>
      <c r="O33" s="5" t="s">
        <v>688</v>
      </c>
    </row>
    <row r="34" spans="1:15" ht="12.75" customHeight="1" x14ac:dyDescent="0.2">
      <c r="A34" s="3">
        <v>89</v>
      </c>
      <c r="B34" s="3" t="s">
        <v>547</v>
      </c>
      <c r="C34" s="4">
        <f>VALUE(RIGHT(B34))</f>
        <v>3</v>
      </c>
      <c r="D34" s="3" t="s">
        <v>426</v>
      </c>
      <c r="E34" s="3" t="s">
        <v>427</v>
      </c>
      <c r="F34" s="3" t="s">
        <v>681</v>
      </c>
      <c r="G34" s="3">
        <v>2008</v>
      </c>
      <c r="H34" s="5" t="s">
        <v>201</v>
      </c>
      <c r="I34" s="4" t="s">
        <v>202</v>
      </c>
      <c r="J34" s="3" t="s">
        <v>5</v>
      </c>
      <c r="K34" s="4" t="str">
        <f>VLOOKUP($B34,'Listado General'!$E$2:$V$167,11,FALSE)</f>
        <v>Baja</v>
      </c>
      <c r="L34" s="3" t="s">
        <v>386</v>
      </c>
      <c r="M34" s="3" t="str">
        <f ca="1">IF(CELL("contenido",K34)&lt;&gt;"Baja","Activo",K34)</f>
        <v>Baja</v>
      </c>
      <c r="N34" s="3" t="str">
        <f t="shared" si="2"/>
        <v>JN93823 3N6DD13S48K003123</v>
      </c>
      <c r="O34" s="5" t="s">
        <v>688</v>
      </c>
    </row>
    <row r="35" spans="1:15" s="5" customFormat="1" ht="12.75" customHeight="1" x14ac:dyDescent="0.2">
      <c r="A35" s="5">
        <v>119</v>
      </c>
      <c r="B35" s="5" t="s">
        <v>531</v>
      </c>
      <c r="C35" s="4">
        <f>VALUE(RIGHT(B35))</f>
        <v>5</v>
      </c>
      <c r="D35" s="5" t="s">
        <v>434</v>
      </c>
      <c r="E35" s="3" t="s">
        <v>436</v>
      </c>
      <c r="F35" s="3" t="s">
        <v>681</v>
      </c>
      <c r="G35" s="5">
        <v>2011</v>
      </c>
      <c r="H35" s="5" t="s">
        <v>608</v>
      </c>
      <c r="I35" s="5" t="s">
        <v>4</v>
      </c>
      <c r="J35" s="5" t="s">
        <v>9</v>
      </c>
      <c r="K35" s="4" t="str">
        <f>VLOOKUP($B35,'Listado General'!$E$2:$V$167,11,FALSE)</f>
        <v>Baja</v>
      </c>
      <c r="L35" s="5" t="s">
        <v>270</v>
      </c>
      <c r="M35" s="3" t="str">
        <f t="shared" ref="M35:M41" ca="1" si="3">IF(CELL("contenido",K35)&lt;&gt;"Baja","Activo",K35)</f>
        <v>Baja</v>
      </c>
      <c r="N35" s="3" t="str">
        <f t="shared" si="2"/>
        <v>JS24355 8AFER5ADXB6376692</v>
      </c>
      <c r="O35" s="5" t="s">
        <v>688</v>
      </c>
    </row>
    <row r="36" spans="1:15" ht="12.75" customHeight="1" x14ac:dyDescent="0.2">
      <c r="A36" s="4" t="s">
        <v>357</v>
      </c>
      <c r="B36" s="4" t="s">
        <v>365</v>
      </c>
      <c r="C36" s="4" t="s">
        <v>604</v>
      </c>
      <c r="D36" s="4" t="s">
        <v>441</v>
      </c>
      <c r="E36" s="3" t="s">
        <v>442</v>
      </c>
      <c r="G36" s="4">
        <v>2015</v>
      </c>
      <c r="H36" s="5" t="s">
        <v>366</v>
      </c>
      <c r="I36" s="4" t="s">
        <v>367</v>
      </c>
      <c r="J36" s="4" t="s">
        <v>383</v>
      </c>
      <c r="K36" s="4" t="str">
        <f>VLOOKUP($B36,'Listado General'!$E$2:$V$167,11,FALSE)</f>
        <v>Baja</v>
      </c>
      <c r="L36" s="4" t="s">
        <v>715</v>
      </c>
      <c r="M36" s="3" t="str">
        <f t="shared" ca="1" si="3"/>
        <v>Baja</v>
      </c>
      <c r="N36" s="3" t="str">
        <f t="shared" ref="N36:N41" si="4">CONCATENATE(B36," ",H36)</f>
        <v>MSV4498 MMBMG46H9FD032474</v>
      </c>
      <c r="O36" s="3" t="s">
        <v>690</v>
      </c>
    </row>
    <row r="37" spans="1:15" ht="12.75" customHeight="1" x14ac:dyDescent="0.2">
      <c r="A37" s="4" t="s">
        <v>357</v>
      </c>
      <c r="B37" s="4" t="s">
        <v>375</v>
      </c>
      <c r="C37" s="4" t="s">
        <v>604</v>
      </c>
      <c r="D37" s="4" t="s">
        <v>441</v>
      </c>
      <c r="E37" s="3" t="s">
        <v>442</v>
      </c>
      <c r="G37" s="4">
        <v>2015</v>
      </c>
      <c r="H37" s="5" t="s">
        <v>376</v>
      </c>
      <c r="I37" s="4" t="s">
        <v>377</v>
      </c>
      <c r="J37" s="4" t="s">
        <v>383</v>
      </c>
      <c r="K37" s="4" t="str">
        <f>VLOOKUP($B37,'Listado General'!$E$2:$V$167,11,FALSE)</f>
        <v>Baja</v>
      </c>
      <c r="L37" s="4" t="s">
        <v>715</v>
      </c>
      <c r="M37" s="3" t="str">
        <f t="shared" ca="1" si="3"/>
        <v>Baja</v>
      </c>
      <c r="N37" s="3" t="str">
        <f t="shared" si="4"/>
        <v>518ZVV MMBMG46HXDO32175</v>
      </c>
      <c r="O37" s="3" t="s">
        <v>690</v>
      </c>
    </row>
    <row r="38" spans="1:15" ht="12.75" customHeight="1" x14ac:dyDescent="0.2">
      <c r="A38" s="3" t="s">
        <v>357</v>
      </c>
      <c r="B38" s="3" t="s">
        <v>618</v>
      </c>
      <c r="C38" s="4" t="s">
        <v>604</v>
      </c>
      <c r="D38" s="3" t="s">
        <v>425</v>
      </c>
      <c r="E38" s="3" t="s">
        <v>430</v>
      </c>
      <c r="G38" s="3">
        <v>2015</v>
      </c>
      <c r="H38" s="5" t="s">
        <v>417</v>
      </c>
      <c r="I38" s="3" t="s">
        <v>4</v>
      </c>
      <c r="J38" s="4" t="s">
        <v>383</v>
      </c>
      <c r="K38" s="4" t="str">
        <f>VLOOKUP($B38,'Listado General'!$E$2:$V$167,11,FALSE)</f>
        <v>Baja</v>
      </c>
      <c r="L38" s="4" t="s">
        <v>715</v>
      </c>
      <c r="M38" s="3" t="str">
        <f t="shared" ca="1" si="3"/>
        <v>Baja</v>
      </c>
      <c r="N38" s="3" t="str">
        <f t="shared" si="4"/>
        <v>889ZVU 3GNAL7EKXFS538101</v>
      </c>
      <c r="O38" s="3" t="s">
        <v>690</v>
      </c>
    </row>
    <row r="39" spans="1:15" ht="12.75" customHeight="1" x14ac:dyDescent="0.2">
      <c r="A39" s="4" t="s">
        <v>357</v>
      </c>
      <c r="B39" s="4" t="s">
        <v>369</v>
      </c>
      <c r="C39" s="4" t="s">
        <v>604</v>
      </c>
      <c r="D39" s="4" t="s">
        <v>441</v>
      </c>
      <c r="E39" s="3" t="s">
        <v>442</v>
      </c>
      <c r="G39" s="4">
        <v>2015</v>
      </c>
      <c r="H39" s="5" t="s">
        <v>370</v>
      </c>
      <c r="I39" s="4" t="s">
        <v>371</v>
      </c>
      <c r="J39" s="4" t="s">
        <v>383</v>
      </c>
      <c r="K39" s="4" t="str">
        <f>VLOOKUP($B39,'Listado General'!$E$2:$V$167,11,FALSE)</f>
        <v>Baja</v>
      </c>
      <c r="L39" s="4" t="s">
        <v>715</v>
      </c>
      <c r="M39" s="3" t="str">
        <f t="shared" ca="1" si="3"/>
        <v>Baja</v>
      </c>
      <c r="N39" s="3" t="str">
        <f t="shared" si="4"/>
        <v>MSV9907 MMBMG46H4FD032480</v>
      </c>
      <c r="O39" s="3" t="s">
        <v>690</v>
      </c>
    </row>
    <row r="40" spans="1:15" ht="12.75" customHeight="1" x14ac:dyDescent="0.2">
      <c r="A40" s="4" t="s">
        <v>357</v>
      </c>
      <c r="B40" s="4" t="s">
        <v>418</v>
      </c>
      <c r="C40" s="4" t="s">
        <v>604</v>
      </c>
      <c r="D40" s="4" t="s">
        <v>441</v>
      </c>
      <c r="E40" s="3" t="s">
        <v>442</v>
      </c>
      <c r="G40" s="4">
        <v>2016</v>
      </c>
      <c r="H40" s="5" t="s">
        <v>419</v>
      </c>
      <c r="I40" s="4" t="s">
        <v>381</v>
      </c>
      <c r="J40" s="4" t="s">
        <v>383</v>
      </c>
      <c r="K40" s="4" t="str">
        <f>VLOOKUP($B40,'Listado General'!$E$2:$V$167,11,FALSE)</f>
        <v>Baja</v>
      </c>
      <c r="L40" s="4" t="s">
        <v>694</v>
      </c>
      <c r="M40" s="3" t="str">
        <f t="shared" ca="1" si="3"/>
        <v>Baja</v>
      </c>
      <c r="N40" s="3" t="str">
        <f t="shared" si="4"/>
        <v>C14ASA MMBML45G6HH034425</v>
      </c>
      <c r="O40" s="3" t="s">
        <v>690</v>
      </c>
    </row>
    <row r="41" spans="1:15" ht="12.75" customHeight="1" x14ac:dyDescent="0.2">
      <c r="A41" s="4" t="s">
        <v>357</v>
      </c>
      <c r="B41" s="4" t="s">
        <v>362</v>
      </c>
      <c r="C41" s="4" t="s">
        <v>604</v>
      </c>
      <c r="D41" s="4" t="s">
        <v>441</v>
      </c>
      <c r="E41" s="3" t="s">
        <v>442</v>
      </c>
      <c r="G41" s="4">
        <v>2015</v>
      </c>
      <c r="H41" s="5" t="s">
        <v>363</v>
      </c>
      <c r="I41" s="4" t="s">
        <v>364</v>
      </c>
      <c r="J41" s="4" t="s">
        <v>383</v>
      </c>
      <c r="K41" s="4" t="str">
        <f>VLOOKUP($B41,'Listado General'!$E$2:$V$167,11,FALSE)</f>
        <v>Baja</v>
      </c>
      <c r="L41" s="4" t="s">
        <v>420</v>
      </c>
      <c r="M41" s="3" t="str">
        <f t="shared" ca="1" si="3"/>
        <v>Baja</v>
      </c>
      <c r="N41" s="3" t="str">
        <f t="shared" si="4"/>
        <v>891ZWZ MMBMG46H8FD032157</v>
      </c>
      <c r="O41" s="3" t="s">
        <v>690</v>
      </c>
    </row>
    <row r="42" spans="1:15" s="5" customFormat="1" ht="12.75" customHeight="1" x14ac:dyDescent="0.25">
      <c r="A42" s="5">
        <v>92</v>
      </c>
      <c r="B42" s="15" t="s">
        <v>560</v>
      </c>
      <c r="C42" s="4">
        <v>2</v>
      </c>
      <c r="D42" s="5" t="s">
        <v>425</v>
      </c>
      <c r="E42" s="3" t="s">
        <v>431</v>
      </c>
      <c r="F42" s="3" t="s">
        <v>681</v>
      </c>
      <c r="G42" s="5">
        <v>2008</v>
      </c>
      <c r="H42" s="5" t="s">
        <v>210</v>
      </c>
      <c r="I42" s="5" t="s">
        <v>17</v>
      </c>
      <c r="J42" s="5" t="s">
        <v>9</v>
      </c>
      <c r="K42" s="4" t="str">
        <f>VLOOKUP($B42,'Listado General'!$E$2:$V$167,11,FALSE)</f>
        <v>Baja</v>
      </c>
      <c r="L42" s="5" t="s">
        <v>695</v>
      </c>
      <c r="M42" s="16" t="s">
        <v>487</v>
      </c>
      <c r="N42" s="3" t="s">
        <v>727</v>
      </c>
      <c r="O42" s="5" t="s">
        <v>688</v>
      </c>
    </row>
    <row r="43" spans="1:15" ht="15" x14ac:dyDescent="0.25">
      <c r="A43" s="5">
        <v>106</v>
      </c>
      <c r="B43" s="15" t="s">
        <v>568</v>
      </c>
      <c r="C43" s="4">
        <v>6</v>
      </c>
      <c r="D43" s="4" t="s">
        <v>425</v>
      </c>
      <c r="E43" s="5" t="s">
        <v>240</v>
      </c>
      <c r="F43" s="5" t="s">
        <v>681</v>
      </c>
      <c r="G43" s="5">
        <v>2008</v>
      </c>
      <c r="H43" s="5" t="s">
        <v>241</v>
      </c>
      <c r="I43" s="5" t="s">
        <v>242</v>
      </c>
      <c r="J43" s="5" t="s">
        <v>9</v>
      </c>
      <c r="K43" s="4" t="str">
        <f>VLOOKUP($B43,'Listado General'!$E$2:$V$167,11,FALSE)</f>
        <v>Baja</v>
      </c>
      <c r="L43" s="5" t="s">
        <v>695</v>
      </c>
      <c r="M43" s="16" t="s">
        <v>487</v>
      </c>
      <c r="N43" s="3" t="s">
        <v>728</v>
      </c>
      <c r="O43" s="5" t="s">
        <v>688</v>
      </c>
    </row>
    <row r="44" spans="1:15" x14ac:dyDescent="0.2">
      <c r="A44" s="4">
        <v>132</v>
      </c>
      <c r="B44" s="4" t="s">
        <v>304</v>
      </c>
      <c r="C44" s="4">
        <v>8</v>
      </c>
      <c r="D44" s="4" t="s">
        <v>425</v>
      </c>
      <c r="E44" s="3" t="s">
        <v>433</v>
      </c>
      <c r="F44" s="3" t="s">
        <v>681</v>
      </c>
      <c r="G44" s="4">
        <v>2014</v>
      </c>
      <c r="H44" s="5" t="s">
        <v>305</v>
      </c>
      <c r="I44" s="4" t="s">
        <v>278</v>
      </c>
      <c r="J44" s="3" t="s">
        <v>5</v>
      </c>
      <c r="K44" s="4" t="s">
        <v>487</v>
      </c>
      <c r="L44" s="3" t="s">
        <v>946</v>
      </c>
      <c r="M44" s="3" t="s">
        <v>487</v>
      </c>
      <c r="N44" s="3" t="s">
        <v>761</v>
      </c>
      <c r="O44" s="5" t="s">
        <v>688</v>
      </c>
    </row>
  </sheetData>
  <autoFilter ref="A1:O44"/>
  <pageMargins left="0.70866141732283472" right="0.70866141732283472" top="1.3385826771653544" bottom="0.74803149606299213" header="0.31496062992125984" footer="0.31496062992125984"/>
  <pageSetup scale="75" orientation="landscape" horizontalDpi="4294967295" verticalDpi="4294967295" r:id="rId1"/>
  <headerFooter>
    <oddHeader>&amp;L&amp;G&amp;R&amp;"Arial Rounded MT Bold,Negrita"Listado de vehículos resguardados en Coordinaciones de ZonaOrigen: Comodato INEA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A27"/>
  <sheetViews>
    <sheetView topLeftCell="A4" workbookViewId="0">
      <selection activeCell="A8" sqref="A8"/>
    </sheetView>
  </sheetViews>
  <sheetFormatPr baseColWidth="10" defaultRowHeight="12.75" x14ac:dyDescent="0.2"/>
  <cols>
    <col min="1" max="1" width="7.28515625" style="3" customWidth="1"/>
    <col min="2" max="2" width="11" style="3" customWidth="1"/>
    <col min="3" max="3" width="17.140625" style="3" bestFit="1" customWidth="1"/>
    <col min="4" max="4" width="12.140625" style="3" customWidth="1"/>
    <col min="5" max="5" width="8.5703125" style="3" customWidth="1"/>
    <col min="6" max="6" width="9.28515625" style="3" customWidth="1"/>
    <col min="7" max="7" width="21.42578125" style="5" customWidth="1"/>
    <col min="8" max="8" width="14.140625" style="3" customWidth="1"/>
    <col min="9" max="9" width="14.85546875" style="3" customWidth="1"/>
    <col min="10" max="10" width="21.5703125" style="3" customWidth="1"/>
    <col min="11" max="11" width="34.140625" style="3" bestFit="1" customWidth="1"/>
    <col min="12" max="12" width="19.28515625" style="3" bestFit="1" customWidth="1"/>
    <col min="13" max="13" width="13.140625" style="3" bestFit="1" customWidth="1"/>
    <col min="14" max="14" width="17.140625" style="3" bestFit="1" customWidth="1"/>
    <col min="15" max="19" width="11.42578125" style="3"/>
    <col min="20" max="20" width="11.42578125" style="76"/>
    <col min="21" max="21" width="11.42578125" style="10"/>
    <col min="22" max="22" width="11.42578125" style="75"/>
    <col min="23" max="16384" width="11.42578125" style="3"/>
  </cols>
  <sheetData>
    <row r="1" spans="1:27" x14ac:dyDescent="0.2">
      <c r="A1" s="1" t="s">
        <v>423</v>
      </c>
      <c r="B1" s="1" t="s">
        <v>424</v>
      </c>
      <c r="C1" s="1" t="s">
        <v>457</v>
      </c>
      <c r="D1" s="1" t="s">
        <v>458</v>
      </c>
      <c r="E1" s="1" t="s">
        <v>686</v>
      </c>
      <c r="F1" s="1" t="s">
        <v>0</v>
      </c>
      <c r="G1" s="5" t="s">
        <v>461</v>
      </c>
      <c r="H1" s="2" t="s">
        <v>462</v>
      </c>
      <c r="I1" s="1" t="s">
        <v>1</v>
      </c>
      <c r="J1" s="1" t="s">
        <v>463</v>
      </c>
      <c r="K1" s="1" t="s">
        <v>2</v>
      </c>
      <c r="L1" s="1" t="s">
        <v>464</v>
      </c>
      <c r="M1" s="3" t="s">
        <v>465</v>
      </c>
      <c r="N1" s="3" t="s">
        <v>605</v>
      </c>
      <c r="O1" s="3" t="s">
        <v>722</v>
      </c>
      <c r="P1" s="3" t="s">
        <v>723</v>
      </c>
      <c r="Q1" s="3" t="s">
        <v>725</v>
      </c>
      <c r="R1" s="3" t="s">
        <v>724</v>
      </c>
      <c r="S1" s="3" t="s">
        <v>726</v>
      </c>
      <c r="T1" s="76" t="s">
        <v>961</v>
      </c>
      <c r="U1" s="10" t="s">
        <v>962</v>
      </c>
      <c r="V1" s="75" t="s">
        <v>963</v>
      </c>
      <c r="W1" s="3" t="s">
        <v>999</v>
      </c>
      <c r="X1" s="3" t="s">
        <v>1000</v>
      </c>
      <c r="Y1" s="3" t="s">
        <v>1001</v>
      </c>
      <c r="Z1" s="3" t="s">
        <v>1020</v>
      </c>
    </row>
    <row r="2" spans="1:27" ht="12.75" customHeight="1" x14ac:dyDescent="0.2">
      <c r="A2" s="3">
        <v>17</v>
      </c>
      <c r="B2" s="82" t="s">
        <v>402</v>
      </c>
      <c r="C2" s="3" t="s">
        <v>426</v>
      </c>
      <c r="D2" s="3" t="s">
        <v>427</v>
      </c>
      <c r="E2" s="3" t="s">
        <v>681</v>
      </c>
      <c r="F2" s="3">
        <v>1997</v>
      </c>
      <c r="G2" s="83" t="s">
        <v>28</v>
      </c>
      <c r="H2" s="4" t="s">
        <v>29</v>
      </c>
      <c r="I2" s="3" t="s">
        <v>5</v>
      </c>
      <c r="J2" s="5" t="s">
        <v>614</v>
      </c>
      <c r="K2" s="4" t="str">
        <f>VLOOKUP($B2,'Listado General'!$E$2:$V$167,11,FALSE)</f>
        <v>José Osorio Lomelí</v>
      </c>
      <c r="L2" s="3" t="s">
        <v>30</v>
      </c>
      <c r="M2" s="3" t="s">
        <v>791</v>
      </c>
      <c r="N2" s="4" t="str">
        <f>VLOOKUP($B2,'Listado General'!$E$2:$V$167,18,FALSE)</f>
        <v>En proceso de baja</v>
      </c>
      <c r="O2" s="10">
        <v>590</v>
      </c>
      <c r="P2" s="17">
        <v>0.1</v>
      </c>
      <c r="Q2" s="10">
        <f>O2*P2</f>
        <v>59</v>
      </c>
      <c r="R2" s="10">
        <f>O2-Q2</f>
        <v>531</v>
      </c>
      <c r="S2" s="10">
        <v>51</v>
      </c>
      <c r="T2" s="76">
        <v>240343</v>
      </c>
      <c r="U2" s="10">
        <v>19600</v>
      </c>
      <c r="V2" s="75">
        <v>56956</v>
      </c>
      <c r="W2" s="3">
        <v>3452</v>
      </c>
      <c r="X2" s="3" t="s">
        <v>1003</v>
      </c>
      <c r="Y2" s="81">
        <v>35427</v>
      </c>
      <c r="Z2" s="75">
        <v>2470</v>
      </c>
      <c r="AA2" s="3" t="s">
        <v>1021</v>
      </c>
    </row>
    <row r="3" spans="1:27" ht="12.75" customHeight="1" x14ac:dyDescent="0.2">
      <c r="A3" s="3">
        <v>19</v>
      </c>
      <c r="B3" s="82" t="s">
        <v>534</v>
      </c>
      <c r="C3" s="3" t="s">
        <v>426</v>
      </c>
      <c r="D3" s="3" t="s">
        <v>427</v>
      </c>
      <c r="E3" s="3" t="s">
        <v>712</v>
      </c>
      <c r="F3" s="3">
        <v>1998</v>
      </c>
      <c r="G3" s="83" t="s">
        <v>31</v>
      </c>
      <c r="H3" s="4" t="s">
        <v>32</v>
      </c>
      <c r="I3" s="3" t="s">
        <v>5</v>
      </c>
      <c r="J3" s="4" t="s">
        <v>471</v>
      </c>
      <c r="K3" s="4" t="str">
        <f>VLOOKUP($B3,'Listado General'!$E$2:$V$167,11,FALSE)</f>
        <v>María de los Remedios Serrano Gómez</v>
      </c>
      <c r="L3" s="3" t="s">
        <v>33</v>
      </c>
      <c r="M3" s="3" t="s">
        <v>791</v>
      </c>
      <c r="N3" s="4" t="str">
        <f>VLOOKUP($B3,'Listado General'!$E$2:$V$167,18,FALSE)</f>
        <v>En proceso de baja</v>
      </c>
      <c r="O3" s="10">
        <v>590</v>
      </c>
      <c r="P3" s="17">
        <v>0.1</v>
      </c>
      <c r="Q3" s="10">
        <f>O3*P3</f>
        <v>59</v>
      </c>
      <c r="R3" s="10">
        <f>O3-Q3</f>
        <v>531</v>
      </c>
      <c r="S3" s="10">
        <v>51</v>
      </c>
      <c r="T3" s="76">
        <v>425332</v>
      </c>
      <c r="U3" s="10">
        <v>10500</v>
      </c>
      <c r="V3" s="75">
        <v>56956</v>
      </c>
      <c r="W3" s="3">
        <v>4910</v>
      </c>
      <c r="X3" s="3" t="s">
        <v>1002</v>
      </c>
      <c r="Y3" s="81">
        <v>35677</v>
      </c>
      <c r="Z3" s="75">
        <v>1161</v>
      </c>
      <c r="AA3" s="3" t="s">
        <v>1023</v>
      </c>
    </row>
    <row r="4" spans="1:27" ht="12.75" customHeight="1" x14ac:dyDescent="0.2">
      <c r="A4" s="3">
        <v>20</v>
      </c>
      <c r="B4" s="82" t="s">
        <v>533</v>
      </c>
      <c r="C4" s="3" t="s">
        <v>426</v>
      </c>
      <c r="D4" s="3" t="s">
        <v>427</v>
      </c>
      <c r="E4" s="3" t="s">
        <v>713</v>
      </c>
      <c r="F4" s="3">
        <v>1998</v>
      </c>
      <c r="G4" s="83" t="s">
        <v>34</v>
      </c>
      <c r="H4" s="4" t="s">
        <v>35</v>
      </c>
      <c r="I4" s="3" t="s">
        <v>5</v>
      </c>
      <c r="J4" s="4" t="s">
        <v>471</v>
      </c>
      <c r="K4" s="4" t="str">
        <f>VLOOKUP($B4,'Listado General'!$E$2:$V$167,11,FALSE)</f>
        <v>María de los Remedios Serrano Gómez</v>
      </c>
      <c r="L4" s="3" t="s">
        <v>36</v>
      </c>
      <c r="M4" s="3" t="s">
        <v>791</v>
      </c>
      <c r="N4" s="4" t="str">
        <f>VLOOKUP($B4,'Listado General'!$E$2:$V$167,18,FALSE)</f>
        <v>En proceso de baja</v>
      </c>
      <c r="O4" s="10">
        <v>590</v>
      </c>
      <c r="P4" s="17">
        <v>0.1</v>
      </c>
      <c r="Q4" s="10">
        <f>O4*P4</f>
        <v>59</v>
      </c>
      <c r="R4" s="10">
        <f>O4-Q4</f>
        <v>531</v>
      </c>
      <c r="S4" s="10">
        <v>51</v>
      </c>
      <c r="T4" s="76">
        <v>394078</v>
      </c>
      <c r="U4" s="10">
        <v>10500</v>
      </c>
      <c r="V4" s="75">
        <v>56956</v>
      </c>
      <c r="W4" s="3">
        <v>4869</v>
      </c>
      <c r="X4" s="3" t="s">
        <v>1002</v>
      </c>
      <c r="Y4" s="81">
        <v>35677</v>
      </c>
      <c r="Z4" s="75">
        <v>670</v>
      </c>
      <c r="AA4" s="3" t="s">
        <v>1022</v>
      </c>
    </row>
    <row r="5" spans="1:27" ht="12.75" customHeight="1" x14ac:dyDescent="0.2">
      <c r="A5" s="3">
        <v>27</v>
      </c>
      <c r="B5" s="82" t="s">
        <v>549</v>
      </c>
      <c r="C5" s="3" t="s">
        <v>447</v>
      </c>
      <c r="D5" s="3" t="s">
        <v>449</v>
      </c>
      <c r="E5" s="3" t="s">
        <v>681</v>
      </c>
      <c r="F5" s="3">
        <v>1998</v>
      </c>
      <c r="G5" s="83" t="s">
        <v>43</v>
      </c>
      <c r="H5" s="4" t="s">
        <v>44</v>
      </c>
      <c r="I5" s="3" t="s">
        <v>5</v>
      </c>
      <c r="J5" s="4" t="s">
        <v>485</v>
      </c>
      <c r="K5" s="4" t="str">
        <f>VLOOKUP($B5,'Listado General'!$E$2:$V$167,11,FALSE)</f>
        <v>David Torres Tello</v>
      </c>
      <c r="L5" s="3" t="s">
        <v>45</v>
      </c>
      <c r="M5" s="3" t="s">
        <v>791</v>
      </c>
      <c r="N5" s="4" t="str">
        <f>VLOOKUP($B5,'Listado General'!$E$2:$V$167,18,FALSE)</f>
        <v>En proceso de baja</v>
      </c>
      <c r="O5" s="10">
        <v>590</v>
      </c>
      <c r="P5" s="17">
        <v>0.1</v>
      </c>
      <c r="Q5" s="10">
        <f>O5*P5</f>
        <v>59</v>
      </c>
      <c r="R5" s="10">
        <f>O5-Q5</f>
        <v>531</v>
      </c>
      <c r="S5" s="10">
        <v>51</v>
      </c>
      <c r="T5" s="76">
        <v>232536</v>
      </c>
      <c r="U5" s="10">
        <v>10000</v>
      </c>
      <c r="V5" s="75">
        <v>20648</v>
      </c>
      <c r="W5" s="18" t="s">
        <v>1004</v>
      </c>
      <c r="X5" s="3" t="s">
        <v>1005</v>
      </c>
      <c r="Y5" s="81">
        <v>35691</v>
      </c>
      <c r="Z5" s="75">
        <v>0</v>
      </c>
      <c r="AA5" s="3" t="s">
        <v>1024</v>
      </c>
    </row>
    <row r="6" spans="1:27" ht="12.75" customHeight="1" x14ac:dyDescent="0.2">
      <c r="A6" s="3">
        <v>32</v>
      </c>
      <c r="B6" s="82" t="s">
        <v>498</v>
      </c>
      <c r="C6" s="3" t="s">
        <v>426</v>
      </c>
      <c r="D6" s="3" t="s">
        <v>427</v>
      </c>
      <c r="E6" s="3" t="s">
        <v>681</v>
      </c>
      <c r="F6" s="3">
        <v>2003</v>
      </c>
      <c r="G6" s="83" t="s">
        <v>57</v>
      </c>
      <c r="H6" s="4" t="s">
        <v>58</v>
      </c>
      <c r="I6" s="3" t="s">
        <v>5</v>
      </c>
      <c r="J6" s="5" t="s">
        <v>485</v>
      </c>
      <c r="K6" s="4" t="str">
        <f>VLOOKUP($B6,'Listado General'!$E$2:$V$167,11,FALSE)</f>
        <v>David Torres Tello</v>
      </c>
      <c r="L6" s="3" t="s">
        <v>59</v>
      </c>
      <c r="M6" s="3" t="s">
        <v>791</v>
      </c>
      <c r="N6" s="4" t="str">
        <f>VLOOKUP($B6,'Listado General'!$E$2:$V$167,18,FALSE)</f>
        <v>En proceso de baja</v>
      </c>
      <c r="O6" s="10">
        <v>590</v>
      </c>
      <c r="P6" s="17">
        <v>0.1</v>
      </c>
      <c r="Q6" s="10">
        <v>59</v>
      </c>
      <c r="R6" s="10">
        <v>531</v>
      </c>
      <c r="S6" s="10">
        <v>51</v>
      </c>
      <c r="T6" s="76">
        <v>240343</v>
      </c>
      <c r="U6" s="10">
        <v>23500</v>
      </c>
      <c r="V6" s="75">
        <v>26150.98</v>
      </c>
      <c r="W6" s="18" t="s">
        <v>1006</v>
      </c>
      <c r="X6" s="3" t="s">
        <v>1007</v>
      </c>
      <c r="Y6" s="81">
        <v>37612</v>
      </c>
      <c r="Z6" s="75">
        <v>0</v>
      </c>
      <c r="AA6" s="3" t="s">
        <v>1024</v>
      </c>
    </row>
    <row r="7" spans="1:27" ht="12.75" customHeight="1" x14ac:dyDescent="0.2">
      <c r="A7" s="3">
        <v>35</v>
      </c>
      <c r="B7" s="82" t="s">
        <v>594</v>
      </c>
      <c r="C7" s="5" t="s">
        <v>426</v>
      </c>
      <c r="D7" s="3" t="s">
        <v>178</v>
      </c>
      <c r="E7" s="3" t="s">
        <v>681</v>
      </c>
      <c r="F7" s="3">
        <v>2003</v>
      </c>
      <c r="G7" s="83" t="s">
        <v>66</v>
      </c>
      <c r="H7" s="4" t="s">
        <v>67</v>
      </c>
      <c r="I7" s="3" t="s">
        <v>5</v>
      </c>
      <c r="J7" s="4" t="s">
        <v>485</v>
      </c>
      <c r="K7" s="4" t="str">
        <f>VLOOKUP($B7,'Listado General'!$E$2:$V$167,11,FALSE)</f>
        <v>David Torres Tello</v>
      </c>
      <c r="L7" s="3" t="s">
        <v>68</v>
      </c>
      <c r="M7" s="3" t="s">
        <v>791</v>
      </c>
      <c r="N7" s="4" t="str">
        <f>VLOOKUP($B7,'Listado General'!$E$2:$V$167,18,FALSE)</f>
        <v>En proceso de baja</v>
      </c>
      <c r="O7" s="10">
        <v>590</v>
      </c>
      <c r="P7" s="17">
        <v>0.1</v>
      </c>
      <c r="Q7" s="10">
        <f t="shared" ref="Q7:Q13" si="0">O7*P7</f>
        <v>59</v>
      </c>
      <c r="R7" s="10">
        <f t="shared" ref="R7:R13" si="1">O7-Q7</f>
        <v>531</v>
      </c>
      <c r="S7" s="10">
        <v>51</v>
      </c>
      <c r="T7" s="76">
        <v>133557</v>
      </c>
      <c r="U7" s="10">
        <v>15300</v>
      </c>
      <c r="V7" s="75">
        <v>35728</v>
      </c>
      <c r="W7" s="18" t="s">
        <v>1008</v>
      </c>
      <c r="X7" s="3" t="s">
        <v>1007</v>
      </c>
      <c r="Y7" s="81">
        <v>37613</v>
      </c>
      <c r="Z7" s="75">
        <v>0</v>
      </c>
      <c r="AA7" s="3" t="s">
        <v>1024</v>
      </c>
    </row>
    <row r="8" spans="1:27" ht="12.75" customHeight="1" x14ac:dyDescent="0.2">
      <c r="A8" s="3">
        <v>39</v>
      </c>
      <c r="B8" s="82" t="s">
        <v>546</v>
      </c>
      <c r="C8" s="3" t="s">
        <v>426</v>
      </c>
      <c r="D8" s="3" t="s">
        <v>427</v>
      </c>
      <c r="E8" s="3" t="s">
        <v>681</v>
      </c>
      <c r="F8" s="3">
        <v>2003</v>
      </c>
      <c r="G8" s="83" t="s">
        <v>78</v>
      </c>
      <c r="H8" s="4" t="s">
        <v>79</v>
      </c>
      <c r="I8" s="3" t="s">
        <v>5</v>
      </c>
      <c r="J8" s="4" t="s">
        <v>473</v>
      </c>
      <c r="K8" s="4" t="str">
        <f>VLOOKUP($B8,'Listado General'!$E$2:$V$167,11,FALSE)</f>
        <v>Alfonso Pineda Meraz</v>
      </c>
      <c r="L8" s="3" t="s">
        <v>80</v>
      </c>
      <c r="M8" s="3" t="s">
        <v>791</v>
      </c>
      <c r="N8" s="4" t="str">
        <f>VLOOKUP($B8,'Listado General'!$E$2:$V$167,18,FALSE)</f>
        <v>En proceso de baja</v>
      </c>
      <c r="O8" s="10">
        <v>590</v>
      </c>
      <c r="P8" s="17">
        <v>0.1</v>
      </c>
      <c r="Q8" s="10">
        <f t="shared" si="0"/>
        <v>59</v>
      </c>
      <c r="R8" s="10">
        <f t="shared" si="1"/>
        <v>531</v>
      </c>
      <c r="S8" s="10">
        <v>51</v>
      </c>
      <c r="T8" s="76">
        <v>298494</v>
      </c>
      <c r="U8" s="10">
        <v>20700</v>
      </c>
      <c r="V8" s="75">
        <v>56956</v>
      </c>
      <c r="W8" s="3">
        <v>25981</v>
      </c>
      <c r="X8" s="3" t="s">
        <v>1009</v>
      </c>
      <c r="Y8" s="81">
        <v>37600</v>
      </c>
      <c r="Z8" s="75">
        <v>1548</v>
      </c>
      <c r="AA8" s="3" t="s">
        <v>1025</v>
      </c>
    </row>
    <row r="9" spans="1:27" ht="12.75" customHeight="1" x14ac:dyDescent="0.2">
      <c r="A9" s="3">
        <v>42</v>
      </c>
      <c r="B9" s="82" t="s">
        <v>584</v>
      </c>
      <c r="C9" s="3" t="s">
        <v>447</v>
      </c>
      <c r="D9" s="3" t="s">
        <v>449</v>
      </c>
      <c r="E9" s="3" t="s">
        <v>681</v>
      </c>
      <c r="F9" s="3">
        <v>2003</v>
      </c>
      <c r="G9" s="83" t="s">
        <v>87</v>
      </c>
      <c r="H9" s="4" t="s">
        <v>88</v>
      </c>
      <c r="I9" s="3" t="s">
        <v>5</v>
      </c>
      <c r="J9" s="4" t="s">
        <v>485</v>
      </c>
      <c r="K9" s="4" t="str">
        <f>VLOOKUP($B9,'Listado General'!$E$2:$V$167,11,FALSE)</f>
        <v>David Torres Tello</v>
      </c>
      <c r="L9" s="3" t="s">
        <v>89</v>
      </c>
      <c r="M9" s="3" t="s">
        <v>791</v>
      </c>
      <c r="N9" s="4" t="str">
        <f>VLOOKUP($B9,'Listado General'!$E$2:$V$167,18,FALSE)</f>
        <v>En proceso de baja</v>
      </c>
      <c r="O9" s="10">
        <v>590</v>
      </c>
      <c r="P9" s="17">
        <v>0.1</v>
      </c>
      <c r="Q9" s="10">
        <f t="shared" si="0"/>
        <v>59</v>
      </c>
      <c r="R9" s="10">
        <f t="shared" si="1"/>
        <v>531</v>
      </c>
      <c r="S9" s="10">
        <v>51</v>
      </c>
      <c r="T9" s="76" t="s">
        <v>960</v>
      </c>
      <c r="U9" s="10">
        <v>13250</v>
      </c>
      <c r="V9" s="75">
        <v>35728</v>
      </c>
      <c r="W9" s="3">
        <v>2380</v>
      </c>
      <c r="X9" s="3" t="s">
        <v>1010</v>
      </c>
      <c r="Y9" s="81">
        <v>37606</v>
      </c>
      <c r="Z9" s="75">
        <v>0</v>
      </c>
      <c r="AA9" s="3" t="s">
        <v>1024</v>
      </c>
    </row>
    <row r="10" spans="1:27" ht="12.75" customHeight="1" x14ac:dyDescent="0.2">
      <c r="A10" s="3">
        <v>43</v>
      </c>
      <c r="B10" s="82" t="s">
        <v>548</v>
      </c>
      <c r="C10" s="3" t="s">
        <v>447</v>
      </c>
      <c r="D10" s="3" t="s">
        <v>449</v>
      </c>
      <c r="E10" s="3" t="s">
        <v>681</v>
      </c>
      <c r="F10" s="3">
        <v>2003</v>
      </c>
      <c r="G10" s="83" t="s">
        <v>90</v>
      </c>
      <c r="H10" s="4" t="s">
        <v>91</v>
      </c>
      <c r="I10" s="3" t="s">
        <v>5</v>
      </c>
      <c r="J10" s="4" t="s">
        <v>485</v>
      </c>
      <c r="K10" s="4" t="str">
        <f>VLOOKUP($B10,'Listado General'!$E$2:$V$167,11,FALSE)</f>
        <v>David Torres Tello</v>
      </c>
      <c r="L10" s="3" t="s">
        <v>92</v>
      </c>
      <c r="M10" s="3" t="s">
        <v>791</v>
      </c>
      <c r="N10" s="4" t="str">
        <f>VLOOKUP($B10,'Listado General'!$E$2:$V$167,18,FALSE)</f>
        <v>En proceso de baja</v>
      </c>
      <c r="O10" s="10">
        <v>590</v>
      </c>
      <c r="P10" s="17">
        <v>0.1</v>
      </c>
      <c r="Q10" s="10">
        <f t="shared" si="0"/>
        <v>59</v>
      </c>
      <c r="R10" s="10">
        <f t="shared" si="1"/>
        <v>531</v>
      </c>
      <c r="S10" s="10">
        <v>51</v>
      </c>
      <c r="T10" s="76" t="s">
        <v>960</v>
      </c>
      <c r="U10" s="10">
        <v>13250</v>
      </c>
      <c r="V10" s="75">
        <v>35728</v>
      </c>
      <c r="W10" s="3">
        <v>2381</v>
      </c>
      <c r="X10" s="3" t="s">
        <v>1010</v>
      </c>
      <c r="Y10" s="81">
        <v>37606</v>
      </c>
      <c r="Z10" s="75">
        <v>0</v>
      </c>
      <c r="AA10" s="3" t="s">
        <v>1024</v>
      </c>
    </row>
    <row r="11" spans="1:27" ht="12.75" customHeight="1" x14ac:dyDescent="0.2">
      <c r="A11" s="3">
        <v>44</v>
      </c>
      <c r="B11" s="82" t="s">
        <v>539</v>
      </c>
      <c r="C11" s="3" t="s">
        <v>447</v>
      </c>
      <c r="D11" s="3" t="s">
        <v>449</v>
      </c>
      <c r="E11" s="3" t="s">
        <v>681</v>
      </c>
      <c r="F11" s="3">
        <v>2003</v>
      </c>
      <c r="G11" s="83" t="s">
        <v>93</v>
      </c>
      <c r="H11" s="4" t="s">
        <v>94</v>
      </c>
      <c r="I11" s="3" t="s">
        <v>5</v>
      </c>
      <c r="J11" s="4" t="s">
        <v>485</v>
      </c>
      <c r="K11" s="4" t="str">
        <f>VLOOKUP($B11,'Listado General'!$E$2:$V$167,11,FALSE)</f>
        <v>David Torres Tello</v>
      </c>
      <c r="L11" s="3" t="s">
        <v>95</v>
      </c>
      <c r="M11" s="3" t="s">
        <v>791</v>
      </c>
      <c r="N11" s="4" t="str">
        <f>VLOOKUP($B11,'Listado General'!$E$2:$V$167,18,FALSE)</f>
        <v>En proceso de baja</v>
      </c>
      <c r="O11" s="10">
        <v>590</v>
      </c>
      <c r="P11" s="17">
        <v>0.1</v>
      </c>
      <c r="Q11" s="10">
        <f t="shared" si="0"/>
        <v>59</v>
      </c>
      <c r="R11" s="10">
        <f t="shared" si="1"/>
        <v>531</v>
      </c>
      <c r="S11" s="10">
        <v>51</v>
      </c>
      <c r="T11" s="76">
        <v>483441</v>
      </c>
      <c r="U11" s="10">
        <v>11500</v>
      </c>
      <c r="V11" s="75">
        <v>35728</v>
      </c>
      <c r="W11" s="3">
        <v>2383</v>
      </c>
      <c r="X11" s="3" t="s">
        <v>1010</v>
      </c>
      <c r="Y11" s="81">
        <v>37606</v>
      </c>
      <c r="Z11" s="75">
        <v>0</v>
      </c>
      <c r="AA11" s="3" t="s">
        <v>1024</v>
      </c>
    </row>
    <row r="12" spans="1:27" ht="12.75" customHeight="1" x14ac:dyDescent="0.2">
      <c r="A12" s="3">
        <v>46</v>
      </c>
      <c r="B12" s="82" t="s">
        <v>407</v>
      </c>
      <c r="C12" s="3" t="s">
        <v>447</v>
      </c>
      <c r="D12" s="3" t="s">
        <v>449</v>
      </c>
      <c r="E12" s="3" t="s">
        <v>681</v>
      </c>
      <c r="F12" s="3">
        <v>2003</v>
      </c>
      <c r="G12" s="83" t="s">
        <v>99</v>
      </c>
      <c r="H12" s="4" t="s">
        <v>100</v>
      </c>
      <c r="I12" s="3" t="s">
        <v>5</v>
      </c>
      <c r="J12" s="5" t="s">
        <v>485</v>
      </c>
      <c r="K12" s="4" t="str">
        <f>VLOOKUP($B12,'Listado General'!$E$2:$V$167,11,FALSE)</f>
        <v>David Torres Tello</v>
      </c>
      <c r="L12" s="3" t="s">
        <v>101</v>
      </c>
      <c r="M12" s="3" t="s">
        <v>791</v>
      </c>
      <c r="N12" s="4" t="str">
        <f>VLOOKUP($B12,'Listado General'!$E$2:$V$167,18,FALSE)</f>
        <v>En proceso de baja</v>
      </c>
      <c r="O12" s="10">
        <v>590</v>
      </c>
      <c r="P12" s="17">
        <v>0.1</v>
      </c>
      <c r="Q12" s="10">
        <f t="shared" si="0"/>
        <v>59</v>
      </c>
      <c r="R12" s="10">
        <f t="shared" si="1"/>
        <v>531</v>
      </c>
      <c r="S12" s="10">
        <v>51</v>
      </c>
      <c r="T12" s="76">
        <v>240343</v>
      </c>
      <c r="U12" s="10">
        <v>19600</v>
      </c>
      <c r="V12" s="75">
        <v>35728</v>
      </c>
      <c r="W12" s="3">
        <v>2385</v>
      </c>
      <c r="X12" s="3" t="s">
        <v>1010</v>
      </c>
      <c r="Y12" s="81">
        <v>37606</v>
      </c>
      <c r="Z12" s="75">
        <v>0</v>
      </c>
      <c r="AA12" s="3" t="s">
        <v>1024</v>
      </c>
    </row>
    <row r="13" spans="1:27" ht="12.75" customHeight="1" x14ac:dyDescent="0.2">
      <c r="A13" s="3">
        <v>51</v>
      </c>
      <c r="B13" s="82" t="s">
        <v>588</v>
      </c>
      <c r="C13" s="3" t="s">
        <v>447</v>
      </c>
      <c r="D13" s="3" t="s">
        <v>449</v>
      </c>
      <c r="E13" s="3" t="s">
        <v>681</v>
      </c>
      <c r="F13" s="3">
        <v>2003</v>
      </c>
      <c r="G13" s="83" t="s">
        <v>114</v>
      </c>
      <c r="H13" s="4" t="s">
        <v>115</v>
      </c>
      <c r="I13" s="3" t="s">
        <v>5</v>
      </c>
      <c r="J13" s="4" t="s">
        <v>485</v>
      </c>
      <c r="K13" s="4" t="str">
        <f>VLOOKUP($B13,'Listado General'!$E$2:$V$167,11,FALSE)</f>
        <v>David Torres Tello</v>
      </c>
      <c r="L13" s="3" t="s">
        <v>116</v>
      </c>
      <c r="M13" s="3" t="s">
        <v>791</v>
      </c>
      <c r="N13" s="4" t="str">
        <f>VLOOKUP($B13,'Listado General'!$E$2:$V$167,18,FALSE)</f>
        <v>En proceso de baja</v>
      </c>
      <c r="O13" s="10">
        <v>590</v>
      </c>
      <c r="P13" s="17">
        <v>0.1</v>
      </c>
      <c r="Q13" s="10">
        <f t="shared" si="0"/>
        <v>59</v>
      </c>
      <c r="R13" s="10">
        <f t="shared" si="1"/>
        <v>531</v>
      </c>
      <c r="S13" s="10">
        <v>51</v>
      </c>
      <c r="T13" s="76">
        <v>105227</v>
      </c>
      <c r="U13" s="10">
        <v>13250</v>
      </c>
      <c r="V13" s="75">
        <v>35728</v>
      </c>
      <c r="W13" s="3">
        <v>2390</v>
      </c>
      <c r="X13" s="3" t="s">
        <v>1010</v>
      </c>
      <c r="Y13" s="81">
        <v>37606</v>
      </c>
      <c r="Z13" s="75">
        <v>0</v>
      </c>
      <c r="AA13" s="3" t="s">
        <v>1024</v>
      </c>
    </row>
    <row r="14" spans="1:27" ht="12.75" customHeight="1" x14ac:dyDescent="0.2">
      <c r="A14" s="3">
        <v>53</v>
      </c>
      <c r="B14" s="82" t="s">
        <v>522</v>
      </c>
      <c r="C14" s="3" t="s">
        <v>447</v>
      </c>
      <c r="D14" s="3" t="s">
        <v>449</v>
      </c>
      <c r="E14" s="3" t="s">
        <v>681</v>
      </c>
      <c r="F14" s="3">
        <v>2003</v>
      </c>
      <c r="G14" s="83" t="s">
        <v>117</v>
      </c>
      <c r="H14" s="4" t="s">
        <v>118</v>
      </c>
      <c r="I14" s="3" t="s">
        <v>5</v>
      </c>
      <c r="J14" s="4" t="s">
        <v>479</v>
      </c>
      <c r="K14" s="4" t="str">
        <f>VLOOKUP($B14,'Listado General'!$E$2:$V$167,11,FALSE)</f>
        <v>Claudia Gómez Becerra</v>
      </c>
      <c r="L14" s="3" t="s">
        <v>119</v>
      </c>
      <c r="M14" s="3" t="s">
        <v>791</v>
      </c>
      <c r="N14" s="4" t="str">
        <f>VLOOKUP($B14,'Listado General'!$E$2:$V$167,18,FALSE)</f>
        <v>En proceso de baja</v>
      </c>
      <c r="O14" s="10">
        <v>590</v>
      </c>
      <c r="P14" s="17">
        <v>0.1</v>
      </c>
      <c r="Q14" s="10">
        <v>59</v>
      </c>
      <c r="R14" s="10">
        <v>531</v>
      </c>
      <c r="S14" s="10">
        <v>51</v>
      </c>
      <c r="T14" s="76">
        <v>75402</v>
      </c>
      <c r="U14" s="10">
        <v>10900</v>
      </c>
      <c r="V14" s="75">
        <v>30550</v>
      </c>
      <c r="W14" s="3">
        <v>2396</v>
      </c>
      <c r="X14" s="3" t="s">
        <v>1010</v>
      </c>
      <c r="Y14" s="81">
        <v>37606</v>
      </c>
      <c r="Z14" s="75">
        <v>0</v>
      </c>
      <c r="AA14" s="3" t="s">
        <v>1024</v>
      </c>
    </row>
    <row r="15" spans="1:27" s="7" customFormat="1" ht="12.75" customHeight="1" x14ac:dyDescent="0.2">
      <c r="A15" s="3">
        <v>54</v>
      </c>
      <c r="B15" s="82" t="s">
        <v>589</v>
      </c>
      <c r="C15" s="3" t="s">
        <v>447</v>
      </c>
      <c r="D15" s="3" t="s">
        <v>449</v>
      </c>
      <c r="E15" s="3" t="s">
        <v>681</v>
      </c>
      <c r="F15" s="3">
        <v>2003</v>
      </c>
      <c r="G15" s="83" t="s">
        <v>120</v>
      </c>
      <c r="H15" s="4" t="s">
        <v>121</v>
      </c>
      <c r="I15" s="3" t="s">
        <v>5</v>
      </c>
      <c r="J15" s="4" t="s">
        <v>485</v>
      </c>
      <c r="K15" s="4" t="str">
        <f>VLOOKUP($B15,'Listado General'!$E$2:$V$167,11,FALSE)</f>
        <v>David Torres Tello</v>
      </c>
      <c r="L15" s="3" t="s">
        <v>122</v>
      </c>
      <c r="M15" s="3" t="s">
        <v>791</v>
      </c>
      <c r="N15" s="4" t="str">
        <f>VLOOKUP($B15,'Listado General'!$E$2:$V$167,18,FALSE)</f>
        <v>En proceso de baja</v>
      </c>
      <c r="O15" s="10">
        <v>590</v>
      </c>
      <c r="P15" s="17">
        <v>0.1</v>
      </c>
      <c r="Q15" s="10">
        <f t="shared" ref="Q15:Q21" si="2">O15*P15</f>
        <v>59</v>
      </c>
      <c r="R15" s="10">
        <f t="shared" ref="R15:R21" si="3">O15-Q15</f>
        <v>531</v>
      </c>
      <c r="S15" s="10">
        <v>51</v>
      </c>
      <c r="T15" s="76">
        <v>161235</v>
      </c>
      <c r="U15" s="75">
        <v>13250</v>
      </c>
      <c r="V15" s="75">
        <v>35728</v>
      </c>
      <c r="W15" s="3">
        <v>2397</v>
      </c>
      <c r="X15" s="3" t="s">
        <v>1010</v>
      </c>
      <c r="Y15" s="81">
        <v>37606</v>
      </c>
      <c r="Z15" s="75">
        <v>0</v>
      </c>
      <c r="AA15" s="3" t="s">
        <v>1024</v>
      </c>
    </row>
    <row r="16" spans="1:27" ht="12.75" customHeight="1" x14ac:dyDescent="0.2">
      <c r="A16" s="3">
        <v>55</v>
      </c>
      <c r="B16" s="82" t="s">
        <v>123</v>
      </c>
      <c r="C16" s="3" t="s">
        <v>447</v>
      </c>
      <c r="D16" s="3" t="s">
        <v>449</v>
      </c>
      <c r="E16" s="3" t="s">
        <v>681</v>
      </c>
      <c r="F16" s="3">
        <v>2003</v>
      </c>
      <c r="G16" s="83" t="s">
        <v>124</v>
      </c>
      <c r="H16" s="4" t="s">
        <v>125</v>
      </c>
      <c r="I16" s="3" t="s">
        <v>5</v>
      </c>
      <c r="J16" s="4" t="s">
        <v>485</v>
      </c>
      <c r="K16" s="4" t="str">
        <f>VLOOKUP($B16,'Listado General'!$E$2:$V$167,11,FALSE)</f>
        <v>David Torres Tello</v>
      </c>
      <c r="L16" s="3" t="s">
        <v>126</v>
      </c>
      <c r="M16" s="3" t="s">
        <v>791</v>
      </c>
      <c r="N16" s="4" t="str">
        <f>VLOOKUP($B16,'Listado General'!$E$2:$V$167,18,FALSE)</f>
        <v>En proceso de baja</v>
      </c>
      <c r="O16" s="10">
        <v>590</v>
      </c>
      <c r="P16" s="17">
        <v>0.1</v>
      </c>
      <c r="Q16" s="10">
        <f t="shared" si="2"/>
        <v>59</v>
      </c>
      <c r="R16" s="10">
        <f t="shared" si="3"/>
        <v>531</v>
      </c>
      <c r="S16" s="10">
        <v>51</v>
      </c>
      <c r="T16" s="76">
        <v>382369</v>
      </c>
      <c r="U16" s="75">
        <v>13250</v>
      </c>
      <c r="V16" s="75">
        <v>35728</v>
      </c>
      <c r="W16" s="3">
        <v>2398</v>
      </c>
      <c r="X16" s="3" t="s">
        <v>1010</v>
      </c>
      <c r="Y16" s="81">
        <v>37606</v>
      </c>
      <c r="Z16" s="75">
        <v>0</v>
      </c>
      <c r="AA16" s="3" t="s">
        <v>1024</v>
      </c>
    </row>
    <row r="17" spans="1:27" ht="12.75" customHeight="1" x14ac:dyDescent="0.2">
      <c r="A17" s="3">
        <v>58</v>
      </c>
      <c r="B17" s="82" t="s">
        <v>130</v>
      </c>
      <c r="C17" s="3" t="s">
        <v>447</v>
      </c>
      <c r="D17" s="3" t="s">
        <v>449</v>
      </c>
      <c r="E17" s="3" t="s">
        <v>681</v>
      </c>
      <c r="F17" s="3">
        <v>2003</v>
      </c>
      <c r="G17" s="83" t="s">
        <v>131</v>
      </c>
      <c r="H17" s="4" t="s">
        <v>132</v>
      </c>
      <c r="I17" s="3" t="s">
        <v>5</v>
      </c>
      <c r="J17" s="4" t="s">
        <v>485</v>
      </c>
      <c r="K17" s="4" t="str">
        <f>VLOOKUP($B17,'Listado General'!$E$2:$V$167,11,FALSE)</f>
        <v>David Torres Tello</v>
      </c>
      <c r="L17" s="3" t="s">
        <v>133</v>
      </c>
      <c r="M17" s="3" t="s">
        <v>791</v>
      </c>
      <c r="N17" s="4" t="str">
        <f>VLOOKUP($B17,'Listado General'!$E$2:$V$167,18,FALSE)</f>
        <v>En proceso de baja</v>
      </c>
      <c r="O17" s="10">
        <v>590</v>
      </c>
      <c r="P17" s="17">
        <v>0.1</v>
      </c>
      <c r="Q17" s="10">
        <f t="shared" si="2"/>
        <v>59</v>
      </c>
      <c r="R17" s="10">
        <f t="shared" si="3"/>
        <v>531</v>
      </c>
      <c r="S17" s="10">
        <v>51</v>
      </c>
      <c r="T17" s="76" t="s">
        <v>960</v>
      </c>
      <c r="U17" s="10">
        <v>13250</v>
      </c>
      <c r="V17" s="75">
        <v>35728</v>
      </c>
      <c r="W17" s="3">
        <v>2401</v>
      </c>
      <c r="X17" s="3" t="s">
        <v>1010</v>
      </c>
      <c r="Y17" s="81">
        <v>37606</v>
      </c>
      <c r="Z17" s="75">
        <v>0</v>
      </c>
      <c r="AA17" s="3" t="s">
        <v>1024</v>
      </c>
    </row>
    <row r="18" spans="1:27" ht="12.75" customHeight="1" x14ac:dyDescent="0.2">
      <c r="A18" s="3">
        <v>59</v>
      </c>
      <c r="B18" s="82" t="s">
        <v>545</v>
      </c>
      <c r="C18" s="3" t="s">
        <v>447</v>
      </c>
      <c r="D18" s="3" t="s">
        <v>449</v>
      </c>
      <c r="E18" s="3" t="s">
        <v>681</v>
      </c>
      <c r="F18" s="3">
        <v>2003</v>
      </c>
      <c r="G18" s="83" t="s">
        <v>134</v>
      </c>
      <c r="H18" s="4" t="s">
        <v>135</v>
      </c>
      <c r="I18" s="3" t="s">
        <v>5</v>
      </c>
      <c r="J18" s="4" t="s">
        <v>485</v>
      </c>
      <c r="K18" s="4" t="str">
        <f>VLOOKUP($B18,'Listado General'!$E$2:$V$167,11,FALSE)</f>
        <v>David Torres Tello</v>
      </c>
      <c r="L18" s="3" t="s">
        <v>136</v>
      </c>
      <c r="M18" s="3" t="s">
        <v>791</v>
      </c>
      <c r="N18" s="4" t="str">
        <f>VLOOKUP($B18,'Listado General'!$E$2:$V$167,18,FALSE)</f>
        <v>En proceso de baja</v>
      </c>
      <c r="O18" s="10">
        <v>590</v>
      </c>
      <c r="P18" s="17">
        <v>0.1</v>
      </c>
      <c r="Q18" s="10">
        <f t="shared" si="2"/>
        <v>59</v>
      </c>
      <c r="R18" s="10">
        <f t="shared" si="3"/>
        <v>531</v>
      </c>
      <c r="S18" s="10">
        <v>51</v>
      </c>
      <c r="T18" s="76">
        <v>560736</v>
      </c>
      <c r="U18" s="10">
        <v>9400</v>
      </c>
      <c r="V18" s="75">
        <v>31760</v>
      </c>
      <c r="W18" s="3">
        <v>2402</v>
      </c>
      <c r="X18" s="3" t="s">
        <v>1010</v>
      </c>
      <c r="Y18" s="81">
        <v>37606</v>
      </c>
      <c r="Z18" s="75">
        <v>0</v>
      </c>
      <c r="AA18" s="3" t="s">
        <v>1024</v>
      </c>
    </row>
    <row r="19" spans="1:27" ht="12.75" customHeight="1" x14ac:dyDescent="0.2">
      <c r="A19" s="3">
        <v>63</v>
      </c>
      <c r="B19" s="82" t="s">
        <v>564</v>
      </c>
      <c r="C19" s="4" t="s">
        <v>425</v>
      </c>
      <c r="D19" s="3" t="s">
        <v>460</v>
      </c>
      <c r="E19" s="3" t="s">
        <v>681</v>
      </c>
      <c r="F19" s="3">
        <v>2004</v>
      </c>
      <c r="G19" s="83" t="s">
        <v>139</v>
      </c>
      <c r="H19" s="4" t="s">
        <v>4</v>
      </c>
      <c r="I19" s="3" t="s">
        <v>5</v>
      </c>
      <c r="J19" s="4" t="s">
        <v>485</v>
      </c>
      <c r="K19" s="4" t="str">
        <f>VLOOKUP($B19,'Listado General'!$E$2:$V$167,11,FALSE)</f>
        <v>David Torres Tello</v>
      </c>
      <c r="L19" s="3" t="s">
        <v>140</v>
      </c>
      <c r="M19" s="3" t="s">
        <v>791</v>
      </c>
      <c r="N19" s="4" t="str">
        <f>VLOOKUP($B19,'Listado General'!$E$2:$V$167,18,FALSE)</f>
        <v>En proceso de baja</v>
      </c>
      <c r="O19" s="10">
        <v>590</v>
      </c>
      <c r="P19" s="17">
        <v>0.1</v>
      </c>
      <c r="Q19" s="10">
        <f t="shared" si="2"/>
        <v>59</v>
      </c>
      <c r="R19" s="10">
        <f t="shared" si="3"/>
        <v>531</v>
      </c>
      <c r="S19" s="10">
        <v>51</v>
      </c>
      <c r="T19" s="76">
        <v>140780</v>
      </c>
      <c r="U19" s="10">
        <v>15700</v>
      </c>
      <c r="V19" s="75">
        <v>31760</v>
      </c>
      <c r="W19" s="18" t="s">
        <v>1011</v>
      </c>
      <c r="X19" s="3" t="s">
        <v>1012</v>
      </c>
      <c r="Y19" s="81">
        <v>37982</v>
      </c>
      <c r="Z19" s="75">
        <v>0</v>
      </c>
      <c r="AA19" s="3" t="s">
        <v>1024</v>
      </c>
    </row>
    <row r="20" spans="1:27" ht="12.75" customHeight="1" x14ac:dyDescent="0.2">
      <c r="A20" s="3">
        <v>64</v>
      </c>
      <c r="B20" s="82" t="s">
        <v>598</v>
      </c>
      <c r="C20" s="4" t="s">
        <v>425</v>
      </c>
      <c r="D20" s="3" t="s">
        <v>460</v>
      </c>
      <c r="E20" s="3" t="s">
        <v>681</v>
      </c>
      <c r="F20" s="3">
        <v>2004</v>
      </c>
      <c r="G20" s="83" t="s">
        <v>141</v>
      </c>
      <c r="H20" s="4" t="s">
        <v>4</v>
      </c>
      <c r="I20" s="3" t="s">
        <v>5</v>
      </c>
      <c r="J20" s="4" t="s">
        <v>485</v>
      </c>
      <c r="K20" s="4" t="str">
        <f>VLOOKUP($B20,'Listado General'!$E$2:$V$167,11,FALSE)</f>
        <v>David Torres Tello</v>
      </c>
      <c r="L20" s="3" t="s">
        <v>142</v>
      </c>
      <c r="M20" s="3" t="s">
        <v>791</v>
      </c>
      <c r="N20" s="4" t="str">
        <f>VLOOKUP($B20,'Listado General'!$E$2:$V$167,18,FALSE)</f>
        <v>En proceso de baja</v>
      </c>
      <c r="O20" s="10">
        <v>590</v>
      </c>
      <c r="P20" s="17">
        <v>0.1</v>
      </c>
      <c r="Q20" s="10">
        <f t="shared" si="2"/>
        <v>59</v>
      </c>
      <c r="R20" s="10">
        <f t="shared" si="3"/>
        <v>531</v>
      </c>
      <c r="S20" s="10">
        <v>51</v>
      </c>
      <c r="T20" s="76">
        <v>232365</v>
      </c>
      <c r="U20" s="10">
        <v>15200</v>
      </c>
      <c r="V20" s="75">
        <v>43361</v>
      </c>
      <c r="W20" s="18" t="s">
        <v>1013</v>
      </c>
      <c r="X20" s="3" t="s">
        <v>1012</v>
      </c>
      <c r="Y20" s="81">
        <v>37982</v>
      </c>
      <c r="Z20" s="75">
        <v>0</v>
      </c>
      <c r="AA20" s="3" t="s">
        <v>1024</v>
      </c>
    </row>
    <row r="21" spans="1:27" ht="12.75" customHeight="1" x14ac:dyDescent="0.2">
      <c r="A21" s="3">
        <v>65</v>
      </c>
      <c r="B21" s="82" t="s">
        <v>561</v>
      </c>
      <c r="C21" s="3" t="s">
        <v>425</v>
      </c>
      <c r="D21" s="3" t="s">
        <v>432</v>
      </c>
      <c r="E21" s="3" t="s">
        <v>681</v>
      </c>
      <c r="F21" s="3">
        <v>2004</v>
      </c>
      <c r="G21" s="83" t="s">
        <v>143</v>
      </c>
      <c r="H21" s="4" t="s">
        <v>4</v>
      </c>
      <c r="I21" s="3" t="s">
        <v>5</v>
      </c>
      <c r="J21" s="4" t="s">
        <v>485</v>
      </c>
      <c r="K21" s="4" t="str">
        <f>VLOOKUP($B21,'Listado General'!$E$2:$V$167,11,FALSE)</f>
        <v>David Torres Tello</v>
      </c>
      <c r="L21" s="3" t="s">
        <v>144</v>
      </c>
      <c r="M21" s="3" t="s">
        <v>791</v>
      </c>
      <c r="N21" s="4" t="str">
        <f>VLOOKUP($B21,'Listado General'!$E$2:$V$167,18,FALSE)</f>
        <v>En proceso de baja</v>
      </c>
      <c r="O21" s="10">
        <v>590</v>
      </c>
      <c r="P21" s="17">
        <v>0.1</v>
      </c>
      <c r="Q21" s="10">
        <f t="shared" si="2"/>
        <v>59</v>
      </c>
      <c r="R21" s="10">
        <f t="shared" si="3"/>
        <v>531</v>
      </c>
      <c r="S21" s="10">
        <v>51</v>
      </c>
      <c r="T21" s="76">
        <v>311722</v>
      </c>
      <c r="U21" s="10">
        <v>17650</v>
      </c>
      <c r="V21" s="75">
        <v>41644</v>
      </c>
      <c r="W21" s="3">
        <v>9032</v>
      </c>
      <c r="X21" s="3" t="s">
        <v>1014</v>
      </c>
      <c r="Y21" s="81">
        <v>37984</v>
      </c>
      <c r="Z21" s="75">
        <v>0</v>
      </c>
      <c r="AA21" s="3" t="s">
        <v>1024</v>
      </c>
    </row>
    <row r="22" spans="1:27" ht="12.75" customHeight="1" x14ac:dyDescent="0.2">
      <c r="A22" s="3">
        <v>66</v>
      </c>
      <c r="B22" s="82" t="s">
        <v>513</v>
      </c>
      <c r="C22" s="3" t="s">
        <v>425</v>
      </c>
      <c r="D22" s="3" t="s">
        <v>432</v>
      </c>
      <c r="E22" s="3" t="s">
        <v>681</v>
      </c>
      <c r="F22" s="3">
        <v>2004</v>
      </c>
      <c r="G22" s="83" t="s">
        <v>145</v>
      </c>
      <c r="H22" s="4" t="s">
        <v>146</v>
      </c>
      <c r="I22" s="3" t="s">
        <v>5</v>
      </c>
      <c r="J22" s="4" t="s">
        <v>485</v>
      </c>
      <c r="K22" s="4" t="str">
        <f>VLOOKUP($B22,'Listado General'!$E$2:$V$167,11,FALSE)</f>
        <v>David Torres Tello</v>
      </c>
      <c r="L22" s="3" t="s">
        <v>147</v>
      </c>
      <c r="M22" s="3" t="s">
        <v>791</v>
      </c>
      <c r="N22" s="4" t="str">
        <f>VLOOKUP($B22,'Listado General'!$E$2:$V$167,18,FALSE)</f>
        <v>En proceso de baja</v>
      </c>
      <c r="O22" s="10">
        <v>590</v>
      </c>
      <c r="P22" s="17">
        <v>0.1</v>
      </c>
      <c r="Q22" s="10">
        <v>59</v>
      </c>
      <c r="R22" s="10">
        <v>531</v>
      </c>
      <c r="S22" s="10">
        <v>51</v>
      </c>
      <c r="T22" s="76">
        <v>242364</v>
      </c>
      <c r="U22" s="10">
        <v>21900</v>
      </c>
      <c r="V22" s="75">
        <v>27424.19</v>
      </c>
      <c r="W22" s="3">
        <v>9033</v>
      </c>
      <c r="X22" s="3" t="s">
        <v>1014</v>
      </c>
      <c r="Y22" s="81">
        <v>37984</v>
      </c>
      <c r="Z22" s="75">
        <v>0</v>
      </c>
      <c r="AA22" s="3" t="s">
        <v>1024</v>
      </c>
    </row>
    <row r="23" spans="1:27" ht="12.75" customHeight="1" x14ac:dyDescent="0.2">
      <c r="A23" s="5">
        <v>67</v>
      </c>
      <c r="B23" s="82" t="s">
        <v>523</v>
      </c>
      <c r="C23" s="3" t="s">
        <v>425</v>
      </c>
      <c r="D23" s="3" t="s">
        <v>432</v>
      </c>
      <c r="E23" s="3" t="s">
        <v>681</v>
      </c>
      <c r="F23" s="3">
        <v>2004</v>
      </c>
      <c r="G23" s="83" t="s">
        <v>148</v>
      </c>
      <c r="H23" s="4" t="s">
        <v>4</v>
      </c>
      <c r="I23" s="3" t="s">
        <v>5</v>
      </c>
      <c r="J23" s="4" t="s">
        <v>485</v>
      </c>
      <c r="K23" s="4" t="str">
        <f>VLOOKUP($B23,'Listado General'!$E$2:$V$167,11,FALSE)</f>
        <v>David Torres Tello</v>
      </c>
      <c r="L23" s="3" t="s">
        <v>149</v>
      </c>
      <c r="M23" s="3" t="s">
        <v>791</v>
      </c>
      <c r="N23" s="4" t="str">
        <f>VLOOKUP($B23,'Listado General'!$E$2:$V$167,18,FALSE)</f>
        <v>En proceso de baja</v>
      </c>
      <c r="O23" s="10">
        <v>590</v>
      </c>
      <c r="P23" s="17">
        <v>0.1</v>
      </c>
      <c r="Q23" s="10">
        <f>O23*P23</f>
        <v>59</v>
      </c>
      <c r="R23" s="10">
        <f>O23-Q23</f>
        <v>531</v>
      </c>
      <c r="S23" s="10">
        <v>51</v>
      </c>
      <c r="T23" s="76">
        <v>232365</v>
      </c>
      <c r="U23" s="10">
        <v>19600</v>
      </c>
      <c r="V23" s="75">
        <v>43964</v>
      </c>
      <c r="W23" s="3">
        <v>9034</v>
      </c>
      <c r="X23" s="3" t="s">
        <v>1014</v>
      </c>
      <c r="Y23" s="81">
        <v>37984</v>
      </c>
      <c r="Z23" s="75">
        <v>0</v>
      </c>
      <c r="AA23" s="3" t="s">
        <v>1024</v>
      </c>
    </row>
    <row r="24" spans="1:27" x14ac:dyDescent="0.2">
      <c r="A24" s="5">
        <v>75</v>
      </c>
      <c r="B24" s="82" t="s">
        <v>529</v>
      </c>
      <c r="C24" s="3" t="s">
        <v>425</v>
      </c>
      <c r="D24" s="3" t="s">
        <v>432</v>
      </c>
      <c r="F24" s="3">
        <v>2005</v>
      </c>
      <c r="G24" s="83" t="s">
        <v>166</v>
      </c>
      <c r="H24" s="4" t="s">
        <v>146</v>
      </c>
      <c r="I24" s="3" t="s">
        <v>5</v>
      </c>
      <c r="J24" s="4" t="s">
        <v>471</v>
      </c>
      <c r="K24" s="4" t="str">
        <f>VLOOKUP($B24,'Listado General'!$E$2:$V$167,11,FALSE)</f>
        <v>María de los Remedios Serrano Gómez</v>
      </c>
      <c r="L24" s="3" t="s">
        <v>167</v>
      </c>
      <c r="M24" s="3" t="s">
        <v>791</v>
      </c>
      <c r="N24" s="4" t="str">
        <f>VLOOKUP($B24,'Listado General'!$E$2:$V$167,18,FALSE)</f>
        <v>En proceso de baja</v>
      </c>
      <c r="O24" s="10">
        <v>590</v>
      </c>
      <c r="P24" s="17">
        <v>0.1</v>
      </c>
      <c r="Q24" s="10">
        <f>O24*P24</f>
        <v>59</v>
      </c>
      <c r="R24" s="10">
        <f>O24-Q24</f>
        <v>531</v>
      </c>
      <c r="S24" s="10">
        <v>51</v>
      </c>
      <c r="T24" s="76">
        <v>85365</v>
      </c>
      <c r="U24" s="10">
        <v>18800</v>
      </c>
      <c r="V24" s="75">
        <v>41644</v>
      </c>
      <c r="W24" s="3">
        <v>3611</v>
      </c>
      <c r="X24" s="3" t="s">
        <v>1015</v>
      </c>
      <c r="Y24" s="81">
        <v>38617</v>
      </c>
      <c r="Z24" s="75">
        <v>0</v>
      </c>
      <c r="AA24" s="3" t="s">
        <v>1024</v>
      </c>
    </row>
    <row r="25" spans="1:27" x14ac:dyDescent="0.2">
      <c r="A25" s="3">
        <v>82</v>
      </c>
      <c r="B25" s="82" t="s">
        <v>554</v>
      </c>
      <c r="C25" s="4" t="s">
        <v>425</v>
      </c>
      <c r="D25" s="3" t="s">
        <v>183</v>
      </c>
      <c r="E25" s="3" t="s">
        <v>681</v>
      </c>
      <c r="F25" s="3">
        <v>2008</v>
      </c>
      <c r="G25" s="83" t="s">
        <v>184</v>
      </c>
      <c r="H25" s="4" t="s">
        <v>17</v>
      </c>
      <c r="I25" s="3" t="s">
        <v>5</v>
      </c>
      <c r="J25" s="5" t="s">
        <v>485</v>
      </c>
      <c r="K25" s="4" t="str">
        <f>VLOOKUP($B25,'Listado General'!$E$2:$V$167,11,FALSE)</f>
        <v>David Josafat López Polanco</v>
      </c>
      <c r="L25" s="3" t="s">
        <v>185</v>
      </c>
      <c r="M25" s="3" t="s">
        <v>791</v>
      </c>
      <c r="N25" s="4" t="str">
        <f>VLOOKUP($B25,'Listado General'!$E$2:$V$167,18,FALSE)</f>
        <v>En proceso de baja</v>
      </c>
      <c r="O25" s="10">
        <v>590</v>
      </c>
      <c r="P25" s="17">
        <v>0.1</v>
      </c>
      <c r="Q25" s="10">
        <f>O25*P25</f>
        <v>59</v>
      </c>
      <c r="R25" s="10">
        <f>O25-Q25</f>
        <v>531</v>
      </c>
      <c r="S25" s="10">
        <v>51</v>
      </c>
      <c r="T25" s="76" t="s">
        <v>960</v>
      </c>
      <c r="U25" s="10">
        <v>19400</v>
      </c>
      <c r="V25" s="75">
        <v>31760</v>
      </c>
      <c r="W25" s="18" t="s">
        <v>1016</v>
      </c>
      <c r="X25" s="3" t="s">
        <v>1017</v>
      </c>
      <c r="Y25" s="81">
        <v>39284</v>
      </c>
      <c r="Z25" s="75">
        <v>0</v>
      </c>
      <c r="AA25" s="3" t="s">
        <v>1024</v>
      </c>
    </row>
    <row r="26" spans="1:27" x14ac:dyDescent="0.2">
      <c r="A26" s="3">
        <v>91</v>
      </c>
      <c r="B26" s="82" t="s">
        <v>532</v>
      </c>
      <c r="C26" s="3" t="s">
        <v>426</v>
      </c>
      <c r="D26" s="3" t="s">
        <v>427</v>
      </c>
      <c r="F26" s="3">
        <v>2008</v>
      </c>
      <c r="G26" s="83" t="s">
        <v>207</v>
      </c>
      <c r="H26" s="4" t="s">
        <v>208</v>
      </c>
      <c r="I26" s="3" t="s">
        <v>5</v>
      </c>
      <c r="J26" s="4" t="s">
        <v>471</v>
      </c>
      <c r="K26" s="4" t="str">
        <f>VLOOKUP($B26,'Listado General'!$E$2:$V$167,11,FALSE)</f>
        <v>María de los Remedios Serrano Gómez</v>
      </c>
      <c r="L26" s="3" t="s">
        <v>209</v>
      </c>
      <c r="M26" s="3" t="s">
        <v>791</v>
      </c>
      <c r="N26" s="4" t="str">
        <f>VLOOKUP($B26,'Listado General'!$E$2:$V$167,18,FALSE)</f>
        <v>En proceso de baja</v>
      </c>
      <c r="O26" s="10">
        <v>590</v>
      </c>
      <c r="P26" s="17">
        <v>0.1</v>
      </c>
      <c r="Q26" s="10">
        <f>O26*P26</f>
        <v>59</v>
      </c>
      <c r="R26" s="10">
        <f>O26-Q26</f>
        <v>531</v>
      </c>
      <c r="S26" s="10">
        <v>51</v>
      </c>
      <c r="T26" s="76">
        <v>129749</v>
      </c>
      <c r="U26" s="10">
        <v>23200</v>
      </c>
      <c r="V26" s="75">
        <v>56956</v>
      </c>
      <c r="W26" s="18" t="s">
        <v>1018</v>
      </c>
      <c r="X26" s="3" t="s">
        <v>1019</v>
      </c>
      <c r="Y26" s="81">
        <v>39438</v>
      </c>
      <c r="Z26" s="75">
        <v>1380</v>
      </c>
      <c r="AA26" s="3" t="s">
        <v>1021</v>
      </c>
    </row>
    <row r="27" spans="1:27" s="5" customFormat="1" ht="12.75" customHeight="1" x14ac:dyDescent="0.2">
      <c r="A27" s="3">
        <v>118</v>
      </c>
      <c r="B27" s="5" t="s">
        <v>542</v>
      </c>
      <c r="C27" s="5" t="s">
        <v>434</v>
      </c>
      <c r="D27" s="3" t="s">
        <v>436</v>
      </c>
      <c r="E27" s="3" t="s">
        <v>681</v>
      </c>
      <c r="F27" s="5">
        <v>2011</v>
      </c>
      <c r="G27" s="5" t="s">
        <v>612</v>
      </c>
      <c r="H27" s="5" t="s">
        <v>4</v>
      </c>
      <c r="I27" s="5" t="s">
        <v>9</v>
      </c>
      <c r="J27" s="4" t="s">
        <v>482</v>
      </c>
      <c r="K27" s="4" t="s">
        <v>735</v>
      </c>
      <c r="L27" s="5" t="s">
        <v>268</v>
      </c>
      <c r="M27" s="5" t="s">
        <v>792</v>
      </c>
      <c r="N27" s="4" t="str">
        <f>VLOOKUP($B27,'Listado General'!$E$2:$V$167,18,FALSE)</f>
        <v>En proceso de baja</v>
      </c>
      <c r="O27" s="10">
        <v>590</v>
      </c>
      <c r="P27" s="17">
        <v>0.1</v>
      </c>
      <c r="Q27" s="10">
        <v>59</v>
      </c>
      <c r="R27" s="10">
        <v>531</v>
      </c>
      <c r="S27" s="10">
        <v>51</v>
      </c>
      <c r="T27" s="76" t="s">
        <v>960</v>
      </c>
      <c r="U27" s="76" t="s">
        <v>960</v>
      </c>
      <c r="V27" s="76" t="s">
        <v>960</v>
      </c>
    </row>
  </sheetData>
  <autoFilter ref="A1:AA27"/>
  <sortState ref="A2:S26">
    <sortCondition ref="A2:A26"/>
  </sortState>
  <pageMargins left="0.70866141732283472" right="0.70866141732283472" top="1.3385826771653544" bottom="0.74803149606299213" header="0.31496062992125984" footer="0.31496062992125984"/>
  <pageSetup scale="75" orientation="landscape" horizontalDpi="4294967295" verticalDpi="4294967295" r:id="rId1"/>
  <headerFooter>
    <oddHeader>&amp;L&amp;G&amp;R&amp;"Arial Rounded MT Bold,Negrita"Listado de vehículos resguardados en Coordinaciones de ZonaOrigen: Comodato INEA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workbookViewId="0">
      <selection sqref="A1:G2"/>
    </sheetView>
  </sheetViews>
  <sheetFormatPr baseColWidth="10" defaultRowHeight="15" x14ac:dyDescent="0.25"/>
  <cols>
    <col min="1" max="1" width="10.7109375" bestFit="1" customWidth="1"/>
    <col min="2" max="2" width="11.5703125" bestFit="1" customWidth="1"/>
    <col min="3" max="3" width="19.28515625" bestFit="1" customWidth="1"/>
    <col min="4" max="4" width="7.7109375" bestFit="1" customWidth="1"/>
    <col min="5" max="5" width="17.42578125" bestFit="1" customWidth="1"/>
    <col min="6" max="6" width="15.5703125" bestFit="1" customWidth="1"/>
    <col min="7" max="7" width="44.28515625" bestFit="1" customWidth="1"/>
  </cols>
  <sheetData>
    <row r="1" spans="1:7" ht="30" customHeight="1" x14ac:dyDescent="0.25">
      <c r="A1" s="85" t="s">
        <v>769</v>
      </c>
      <c r="B1" s="85"/>
      <c r="C1" s="85"/>
      <c r="D1" s="85"/>
      <c r="E1" s="85"/>
      <c r="F1" s="85"/>
      <c r="G1" s="85"/>
    </row>
    <row r="2" spans="1:7" ht="30" customHeight="1" thickBot="1" x14ac:dyDescent="0.3">
      <c r="A2" s="86"/>
      <c r="B2" s="86"/>
      <c r="C2" s="86"/>
      <c r="D2" s="86"/>
      <c r="E2" s="86"/>
      <c r="F2" s="86"/>
      <c r="G2" s="86"/>
    </row>
    <row r="3" spans="1:7" ht="33" customHeight="1" thickTop="1" thickBot="1" x14ac:dyDescent="0.3">
      <c r="A3" s="20" t="s">
        <v>774</v>
      </c>
      <c r="B3" s="21" t="s">
        <v>764</v>
      </c>
      <c r="C3" s="21" t="s">
        <v>765</v>
      </c>
      <c r="D3" s="22" t="s">
        <v>766</v>
      </c>
      <c r="E3" s="21" t="s">
        <v>768</v>
      </c>
      <c r="F3" s="22" t="s">
        <v>767</v>
      </c>
      <c r="G3" s="21" t="s">
        <v>773</v>
      </c>
    </row>
    <row r="4" spans="1:7" ht="15.75" thickTop="1" x14ac:dyDescent="0.25">
      <c r="A4" s="23" t="e">
        <f>#REF!</f>
        <v>#REF!</v>
      </c>
      <c r="B4" s="24" t="e">
        <f>#REF!</f>
        <v>#REF!</v>
      </c>
      <c r="C4" s="24" t="e">
        <f>#REF!</f>
        <v>#REF!</v>
      </c>
      <c r="D4" s="24" t="e">
        <f>#REF!</f>
        <v>#REF!</v>
      </c>
      <c r="E4" s="24" t="e">
        <f>#REF!</f>
        <v>#REF!</v>
      </c>
      <c r="F4" s="24" t="e">
        <f>#REF!</f>
        <v>#REF!</v>
      </c>
      <c r="G4" s="25" t="e">
        <f>CONCATENATE("La unidad esta ubicada en: ",VLOOKUP(A4,#REF!,24,FALSE))</f>
        <v>#REF!</v>
      </c>
    </row>
    <row r="5" spans="1:7" x14ac:dyDescent="0.25">
      <c r="A5" s="26" t="e">
        <f>#REF!</f>
        <v>#REF!</v>
      </c>
      <c r="B5" s="27" t="e">
        <f>#REF!</f>
        <v>#REF!</v>
      </c>
      <c r="C5" s="27" t="e">
        <f>#REF!</f>
        <v>#REF!</v>
      </c>
      <c r="D5" s="27" t="e">
        <f>#REF!</f>
        <v>#REF!</v>
      </c>
      <c r="E5" s="27" t="e">
        <f>#REF!</f>
        <v>#REF!</v>
      </c>
      <c r="F5" s="27" t="e">
        <f>#REF!</f>
        <v>#REF!</v>
      </c>
      <c r="G5" s="28" t="e">
        <f>CONCATENATE("La unidad esta ubicada en: ",VLOOKUP(A5,#REF!,24,FALSE))</f>
        <v>#REF!</v>
      </c>
    </row>
    <row r="6" spans="1:7" x14ac:dyDescent="0.25">
      <c r="A6" s="26" t="e">
        <f>#REF!</f>
        <v>#REF!</v>
      </c>
      <c r="B6" s="27" t="e">
        <f>#REF!</f>
        <v>#REF!</v>
      </c>
      <c r="C6" s="27" t="e">
        <f>#REF!</f>
        <v>#REF!</v>
      </c>
      <c r="D6" s="27" t="e">
        <f>#REF!</f>
        <v>#REF!</v>
      </c>
      <c r="E6" s="27" t="e">
        <f>#REF!</f>
        <v>#REF!</v>
      </c>
      <c r="F6" s="27" t="e">
        <f>#REF!</f>
        <v>#REF!</v>
      </c>
      <c r="G6" s="28" t="e">
        <f>CONCATENATE("La unidad esta ubicada en: ",VLOOKUP(A6,#REF!,24,FALSE))</f>
        <v>#REF!</v>
      </c>
    </row>
    <row r="7" spans="1:7" x14ac:dyDescent="0.25">
      <c r="A7" s="26" t="e">
        <f>#REF!</f>
        <v>#REF!</v>
      </c>
      <c r="B7" s="27" t="e">
        <f>#REF!</f>
        <v>#REF!</v>
      </c>
      <c r="C7" s="27" t="e">
        <f>#REF!</f>
        <v>#REF!</v>
      </c>
      <c r="D7" s="27" t="e">
        <f>#REF!</f>
        <v>#REF!</v>
      </c>
      <c r="E7" s="27" t="e">
        <f>#REF!</f>
        <v>#REF!</v>
      </c>
      <c r="F7" s="27" t="e">
        <f>#REF!</f>
        <v>#REF!</v>
      </c>
      <c r="G7" s="28" t="e">
        <f>CONCATENATE("La unidad esta ubicada en: ",VLOOKUP(A7,#REF!,24,FALSE))</f>
        <v>#REF!</v>
      </c>
    </row>
    <row r="8" spans="1:7" x14ac:dyDescent="0.25">
      <c r="A8" s="26" t="e">
        <f>#REF!</f>
        <v>#REF!</v>
      </c>
      <c r="B8" s="27" t="e">
        <f>#REF!</f>
        <v>#REF!</v>
      </c>
      <c r="C8" s="27" t="e">
        <f>#REF!</f>
        <v>#REF!</v>
      </c>
      <c r="D8" s="27" t="e">
        <f>#REF!</f>
        <v>#REF!</v>
      </c>
      <c r="E8" s="27" t="e">
        <f>#REF!</f>
        <v>#REF!</v>
      </c>
      <c r="F8" s="27" t="e">
        <f>#REF!</f>
        <v>#REF!</v>
      </c>
      <c r="G8" s="28" t="e">
        <f>CONCATENATE("La unidad esta ubicada en: ",VLOOKUP(A8,#REF!,24,FALSE))</f>
        <v>#REF!</v>
      </c>
    </row>
    <row r="9" spans="1:7" x14ac:dyDescent="0.25">
      <c r="A9" s="26" t="e">
        <f>#REF!</f>
        <v>#REF!</v>
      </c>
      <c r="B9" s="27" t="e">
        <f>#REF!</f>
        <v>#REF!</v>
      </c>
      <c r="C9" s="27" t="e">
        <f>#REF!</f>
        <v>#REF!</v>
      </c>
      <c r="D9" s="27" t="e">
        <f>#REF!</f>
        <v>#REF!</v>
      </c>
      <c r="E9" s="27" t="e">
        <f>#REF!</f>
        <v>#REF!</v>
      </c>
      <c r="F9" s="27" t="e">
        <f>#REF!</f>
        <v>#REF!</v>
      </c>
      <c r="G9" s="28" t="e">
        <f>CONCATENATE("La unidad esta ubicada en: ",VLOOKUP(A9,#REF!,24,FALSE))</f>
        <v>#REF!</v>
      </c>
    </row>
    <row r="10" spans="1:7" x14ac:dyDescent="0.25">
      <c r="A10" s="26" t="e">
        <f>#REF!</f>
        <v>#REF!</v>
      </c>
      <c r="B10" s="27" t="e">
        <f>#REF!</f>
        <v>#REF!</v>
      </c>
      <c r="C10" s="27" t="e">
        <f>#REF!</f>
        <v>#REF!</v>
      </c>
      <c r="D10" s="27" t="e">
        <f>#REF!</f>
        <v>#REF!</v>
      </c>
      <c r="E10" s="27" t="e">
        <f>#REF!</f>
        <v>#REF!</v>
      </c>
      <c r="F10" s="27" t="e">
        <f>#REF!</f>
        <v>#REF!</v>
      </c>
      <c r="G10" s="28" t="e">
        <f>CONCATENATE("La unidad esta ubicada en: ",VLOOKUP(A10,#REF!,24,FALSE))</f>
        <v>#REF!</v>
      </c>
    </row>
    <row r="11" spans="1:7" x14ac:dyDescent="0.25">
      <c r="A11" s="26" t="e">
        <f>#REF!</f>
        <v>#REF!</v>
      </c>
      <c r="B11" s="27" t="e">
        <f>#REF!</f>
        <v>#REF!</v>
      </c>
      <c r="C11" s="27" t="e">
        <f>#REF!</f>
        <v>#REF!</v>
      </c>
      <c r="D11" s="27" t="e">
        <f>#REF!</f>
        <v>#REF!</v>
      </c>
      <c r="E11" s="27" t="e">
        <f>#REF!</f>
        <v>#REF!</v>
      </c>
      <c r="F11" s="27" t="e">
        <f>#REF!</f>
        <v>#REF!</v>
      </c>
      <c r="G11" s="28" t="e">
        <f>CONCATENATE("La unidad esta ubicada en: ",VLOOKUP(A11,#REF!,24,FALSE))</f>
        <v>#REF!</v>
      </c>
    </row>
    <row r="12" spans="1:7" x14ac:dyDescent="0.25">
      <c r="A12" s="26" t="e">
        <f>#REF!</f>
        <v>#REF!</v>
      </c>
      <c r="B12" s="27" t="e">
        <f>#REF!</f>
        <v>#REF!</v>
      </c>
      <c r="C12" s="27" t="e">
        <f>#REF!</f>
        <v>#REF!</v>
      </c>
      <c r="D12" s="27" t="e">
        <f>#REF!</f>
        <v>#REF!</v>
      </c>
      <c r="E12" s="27" t="e">
        <f>#REF!</f>
        <v>#REF!</v>
      </c>
      <c r="F12" s="27" t="e">
        <f>#REF!</f>
        <v>#REF!</v>
      </c>
      <c r="G12" s="28" t="e">
        <f>CONCATENATE("La unidad esta ubicada en: ",VLOOKUP(A12,#REF!,24,FALSE))</f>
        <v>#REF!</v>
      </c>
    </row>
    <row r="13" spans="1:7" x14ac:dyDescent="0.25">
      <c r="A13" s="26" t="e">
        <f>#REF!</f>
        <v>#REF!</v>
      </c>
      <c r="B13" s="27" t="e">
        <f>#REF!</f>
        <v>#REF!</v>
      </c>
      <c r="C13" s="27" t="e">
        <f>#REF!</f>
        <v>#REF!</v>
      </c>
      <c r="D13" s="27" t="e">
        <f>#REF!</f>
        <v>#REF!</v>
      </c>
      <c r="E13" s="27" t="e">
        <f>#REF!</f>
        <v>#REF!</v>
      </c>
      <c r="F13" s="27" t="e">
        <f>#REF!</f>
        <v>#REF!</v>
      </c>
      <c r="G13" s="28" t="e">
        <f>CONCATENATE("La unidad esta ubicada en: ",VLOOKUP(A13,#REF!,24,FALSE))</f>
        <v>#REF!</v>
      </c>
    </row>
    <row r="14" spans="1:7" x14ac:dyDescent="0.25">
      <c r="A14" s="26" t="e">
        <f>#REF!</f>
        <v>#REF!</v>
      </c>
      <c r="B14" s="27" t="e">
        <f>#REF!</f>
        <v>#REF!</v>
      </c>
      <c r="C14" s="27" t="e">
        <f>#REF!</f>
        <v>#REF!</v>
      </c>
      <c r="D14" s="27" t="e">
        <f>#REF!</f>
        <v>#REF!</v>
      </c>
      <c r="E14" s="27" t="e">
        <f>#REF!</f>
        <v>#REF!</v>
      </c>
      <c r="F14" s="27" t="e">
        <f>#REF!</f>
        <v>#REF!</v>
      </c>
      <c r="G14" s="28" t="e">
        <f>CONCATENATE("La unidad esta ubicada en: ",VLOOKUP(A14,#REF!,24,FALSE))</f>
        <v>#REF!</v>
      </c>
    </row>
    <row r="15" spans="1:7" x14ac:dyDescent="0.25">
      <c r="A15" s="26" t="e">
        <f>#REF!</f>
        <v>#REF!</v>
      </c>
      <c r="B15" s="27" t="e">
        <f>#REF!</f>
        <v>#REF!</v>
      </c>
      <c r="C15" s="27" t="e">
        <f>#REF!</f>
        <v>#REF!</v>
      </c>
      <c r="D15" s="27" t="e">
        <f>#REF!</f>
        <v>#REF!</v>
      </c>
      <c r="E15" s="27" t="e">
        <f>#REF!</f>
        <v>#REF!</v>
      </c>
      <c r="F15" s="27" t="e">
        <f>#REF!</f>
        <v>#REF!</v>
      </c>
      <c r="G15" s="28" t="e">
        <f>CONCATENATE("La unidad esta ubicada en: ",VLOOKUP(A15,#REF!,24,FALSE))</f>
        <v>#REF!</v>
      </c>
    </row>
    <row r="16" spans="1:7" x14ac:dyDescent="0.25">
      <c r="A16" s="26" t="e">
        <f>#REF!</f>
        <v>#REF!</v>
      </c>
      <c r="B16" s="27" t="e">
        <f>#REF!</f>
        <v>#REF!</v>
      </c>
      <c r="C16" s="27" t="e">
        <f>#REF!</f>
        <v>#REF!</v>
      </c>
      <c r="D16" s="27" t="e">
        <f>#REF!</f>
        <v>#REF!</v>
      </c>
      <c r="E16" s="27" t="e">
        <f>#REF!</f>
        <v>#REF!</v>
      </c>
      <c r="F16" s="27" t="e">
        <f>#REF!</f>
        <v>#REF!</v>
      </c>
      <c r="G16" s="28" t="e">
        <f>CONCATENATE("La unidad esta ubicada en: ",VLOOKUP(A16,#REF!,24,FALSE))</f>
        <v>#REF!</v>
      </c>
    </row>
    <row r="17" spans="1:7" x14ac:dyDescent="0.25">
      <c r="A17" s="26" t="e">
        <f>#REF!</f>
        <v>#REF!</v>
      </c>
      <c r="B17" s="27" t="e">
        <f>#REF!</f>
        <v>#REF!</v>
      </c>
      <c r="C17" s="27" t="e">
        <f>#REF!</f>
        <v>#REF!</v>
      </c>
      <c r="D17" s="27" t="e">
        <f>#REF!</f>
        <v>#REF!</v>
      </c>
      <c r="E17" s="27" t="e">
        <f>#REF!</f>
        <v>#REF!</v>
      </c>
      <c r="F17" s="27" t="e">
        <f>#REF!</f>
        <v>#REF!</v>
      </c>
      <c r="G17" s="28" t="e">
        <f>CONCATENATE("La unidad esta ubicada en: ",VLOOKUP(A17,#REF!,24,FALSE))</f>
        <v>#REF!</v>
      </c>
    </row>
    <row r="18" spans="1:7" x14ac:dyDescent="0.25">
      <c r="A18" s="26" t="e">
        <f>#REF!</f>
        <v>#REF!</v>
      </c>
      <c r="B18" s="27" t="e">
        <f>#REF!</f>
        <v>#REF!</v>
      </c>
      <c r="C18" s="27" t="e">
        <f>#REF!</f>
        <v>#REF!</v>
      </c>
      <c r="D18" s="27" t="e">
        <f>#REF!</f>
        <v>#REF!</v>
      </c>
      <c r="E18" s="27" t="e">
        <f>#REF!</f>
        <v>#REF!</v>
      </c>
      <c r="F18" s="27" t="e">
        <f>#REF!</f>
        <v>#REF!</v>
      </c>
      <c r="G18" s="28" t="e">
        <f>CONCATENATE("La unidad esta ubicada en: ",VLOOKUP(A18,#REF!,24,FALSE))</f>
        <v>#REF!</v>
      </c>
    </row>
    <row r="19" spans="1:7" x14ac:dyDescent="0.25">
      <c r="A19" s="26" t="e">
        <f>#REF!</f>
        <v>#REF!</v>
      </c>
      <c r="B19" s="27" t="e">
        <f>#REF!</f>
        <v>#REF!</v>
      </c>
      <c r="C19" s="27" t="e">
        <f>#REF!</f>
        <v>#REF!</v>
      </c>
      <c r="D19" s="27" t="e">
        <f>#REF!</f>
        <v>#REF!</v>
      </c>
      <c r="E19" s="27" t="e">
        <f>#REF!</f>
        <v>#REF!</v>
      </c>
      <c r="F19" s="27" t="e">
        <f>#REF!</f>
        <v>#REF!</v>
      </c>
      <c r="G19" s="28" t="e">
        <f>CONCATENATE("La unidad esta ubicada en: ",VLOOKUP(A19,#REF!,24,FALSE))</f>
        <v>#REF!</v>
      </c>
    </row>
    <row r="20" spans="1:7" x14ac:dyDescent="0.25">
      <c r="A20" s="26" t="e">
        <f>#REF!</f>
        <v>#REF!</v>
      </c>
      <c r="B20" s="27" t="e">
        <f>#REF!</f>
        <v>#REF!</v>
      </c>
      <c r="C20" s="27" t="e">
        <f>#REF!</f>
        <v>#REF!</v>
      </c>
      <c r="D20" s="27" t="e">
        <f>#REF!</f>
        <v>#REF!</v>
      </c>
      <c r="E20" s="27" t="e">
        <f>#REF!</f>
        <v>#REF!</v>
      </c>
      <c r="F20" s="27" t="e">
        <f>#REF!</f>
        <v>#REF!</v>
      </c>
      <c r="G20" s="28" t="e">
        <f>CONCATENATE("La unidad esta ubicada en: ",VLOOKUP(A20,#REF!,24,FALSE))</f>
        <v>#REF!</v>
      </c>
    </row>
    <row r="21" spans="1:7" x14ac:dyDescent="0.25">
      <c r="A21" s="26" t="e">
        <f>#REF!</f>
        <v>#REF!</v>
      </c>
      <c r="B21" s="27" t="e">
        <f>#REF!</f>
        <v>#REF!</v>
      </c>
      <c r="C21" s="27" t="e">
        <f>#REF!</f>
        <v>#REF!</v>
      </c>
      <c r="D21" s="27" t="e">
        <f>#REF!</f>
        <v>#REF!</v>
      </c>
      <c r="E21" s="27" t="e">
        <f>#REF!</f>
        <v>#REF!</v>
      </c>
      <c r="F21" s="27" t="e">
        <f>#REF!</f>
        <v>#REF!</v>
      </c>
      <c r="G21" s="28" t="e">
        <f>CONCATENATE("La unidad esta ubicada en: ",VLOOKUP(A21,#REF!,24,FALSE))</f>
        <v>#REF!</v>
      </c>
    </row>
    <row r="22" spans="1:7" x14ac:dyDescent="0.25">
      <c r="A22" s="26" t="e">
        <f>#REF!</f>
        <v>#REF!</v>
      </c>
      <c r="B22" s="27" t="e">
        <f>#REF!</f>
        <v>#REF!</v>
      </c>
      <c r="C22" s="27" t="e">
        <f>#REF!</f>
        <v>#REF!</v>
      </c>
      <c r="D22" s="27" t="e">
        <f>#REF!</f>
        <v>#REF!</v>
      </c>
      <c r="E22" s="27" t="e">
        <f>#REF!</f>
        <v>#REF!</v>
      </c>
      <c r="F22" s="27" t="e">
        <f>#REF!</f>
        <v>#REF!</v>
      </c>
      <c r="G22" s="28" t="e">
        <f>CONCATENATE("La unidad esta ubicada en: ",VLOOKUP(A22,#REF!,24,FALSE))</f>
        <v>#REF!</v>
      </c>
    </row>
    <row r="23" spans="1:7" x14ac:dyDescent="0.25">
      <c r="A23" s="26" t="e">
        <f>#REF!</f>
        <v>#REF!</v>
      </c>
      <c r="B23" s="27" t="e">
        <f>#REF!</f>
        <v>#REF!</v>
      </c>
      <c r="C23" s="27" t="e">
        <f>#REF!</f>
        <v>#REF!</v>
      </c>
      <c r="D23" s="27" t="e">
        <f>#REF!</f>
        <v>#REF!</v>
      </c>
      <c r="E23" s="27" t="e">
        <f>#REF!</f>
        <v>#REF!</v>
      </c>
      <c r="F23" s="27" t="e">
        <f>#REF!</f>
        <v>#REF!</v>
      </c>
      <c r="G23" s="28" t="e">
        <f>CONCATENATE("La unidad esta ubicada en: ",VLOOKUP(A23,#REF!,24,FALSE))</f>
        <v>#REF!</v>
      </c>
    </row>
    <row r="24" spans="1:7" x14ac:dyDescent="0.25">
      <c r="A24" s="26" t="e">
        <f>#REF!</f>
        <v>#REF!</v>
      </c>
      <c r="B24" s="27" t="e">
        <f>#REF!</f>
        <v>#REF!</v>
      </c>
      <c r="C24" s="27" t="e">
        <f>#REF!</f>
        <v>#REF!</v>
      </c>
      <c r="D24" s="27" t="e">
        <f>#REF!</f>
        <v>#REF!</v>
      </c>
      <c r="E24" s="27" t="e">
        <f>#REF!</f>
        <v>#REF!</v>
      </c>
      <c r="F24" s="27" t="e">
        <f>#REF!</f>
        <v>#REF!</v>
      </c>
      <c r="G24" s="28" t="e">
        <f>CONCATENATE("La unidad esta ubicada en: ",VLOOKUP(A24,#REF!,24,FALSE))</f>
        <v>#REF!</v>
      </c>
    </row>
    <row r="25" spans="1:7" x14ac:dyDescent="0.25">
      <c r="A25" s="26" t="e">
        <f>#REF!</f>
        <v>#REF!</v>
      </c>
      <c r="B25" s="27" t="e">
        <f>#REF!</f>
        <v>#REF!</v>
      </c>
      <c r="C25" s="27" t="e">
        <f>#REF!</f>
        <v>#REF!</v>
      </c>
      <c r="D25" s="27" t="e">
        <f>#REF!</f>
        <v>#REF!</v>
      </c>
      <c r="E25" s="27" t="e">
        <f>#REF!</f>
        <v>#REF!</v>
      </c>
      <c r="F25" s="27" t="e">
        <f>#REF!</f>
        <v>#REF!</v>
      </c>
      <c r="G25" s="28" t="e">
        <f>CONCATENATE("La unidad esta ubicada en: ",VLOOKUP(A25,#REF!,24,FALSE))</f>
        <v>#REF!</v>
      </c>
    </row>
    <row r="26" spans="1:7" x14ac:dyDescent="0.25">
      <c r="A26" s="26" t="e">
        <f>#REF!</f>
        <v>#REF!</v>
      </c>
      <c r="B26" s="27" t="e">
        <f>#REF!</f>
        <v>#REF!</v>
      </c>
      <c r="C26" s="27" t="e">
        <f>#REF!</f>
        <v>#REF!</v>
      </c>
      <c r="D26" s="27" t="e">
        <f>#REF!</f>
        <v>#REF!</v>
      </c>
      <c r="E26" s="27" t="e">
        <f>#REF!</f>
        <v>#REF!</v>
      </c>
      <c r="F26" s="27" t="e">
        <f>#REF!</f>
        <v>#REF!</v>
      </c>
      <c r="G26" s="28" t="e">
        <f>CONCATENATE("La unidad esta ubicada en: ",VLOOKUP(A26,#REF!,24,FALSE))</f>
        <v>#REF!</v>
      </c>
    </row>
    <row r="27" spans="1:7" x14ac:dyDescent="0.25">
      <c r="A27" s="26" t="e">
        <f>#REF!</f>
        <v>#REF!</v>
      </c>
      <c r="B27" s="27" t="e">
        <f>#REF!</f>
        <v>#REF!</v>
      </c>
      <c r="C27" s="27" t="e">
        <f>#REF!</f>
        <v>#REF!</v>
      </c>
      <c r="D27" s="27" t="e">
        <f>#REF!</f>
        <v>#REF!</v>
      </c>
      <c r="E27" s="27" t="e">
        <f>#REF!</f>
        <v>#REF!</v>
      </c>
      <c r="F27" s="27" t="e">
        <f>#REF!</f>
        <v>#REF!</v>
      </c>
      <c r="G27" s="28" t="e">
        <f>CONCATENATE("La unidad esta ubicada en: ",VLOOKUP(A27,#REF!,24,FALSE))</f>
        <v>#REF!</v>
      </c>
    </row>
    <row r="28" spans="1:7" x14ac:dyDescent="0.25">
      <c r="A28" s="26" t="e">
        <f>#REF!</f>
        <v>#REF!</v>
      </c>
      <c r="B28" s="27" t="e">
        <f>#REF!</f>
        <v>#REF!</v>
      </c>
      <c r="C28" s="27" t="e">
        <f>#REF!</f>
        <v>#REF!</v>
      </c>
      <c r="D28" s="27" t="e">
        <f>#REF!</f>
        <v>#REF!</v>
      </c>
      <c r="E28" s="27" t="e">
        <f>#REF!</f>
        <v>#REF!</v>
      </c>
      <c r="F28" s="27" t="e">
        <f>#REF!</f>
        <v>#REF!</v>
      </c>
      <c r="G28" s="28" t="e">
        <f>CONCATENATE("La unidad esta ubicada en: ",VLOOKUP(A28,#REF!,24,FALSE))</f>
        <v>#REF!</v>
      </c>
    </row>
    <row r="29" spans="1:7" x14ac:dyDescent="0.25">
      <c r="A29" s="26" t="e">
        <f>#REF!</f>
        <v>#REF!</v>
      </c>
      <c r="B29" s="27" t="e">
        <f>#REF!</f>
        <v>#REF!</v>
      </c>
      <c r="C29" s="27" t="e">
        <f>#REF!</f>
        <v>#REF!</v>
      </c>
      <c r="D29" s="27" t="e">
        <f>#REF!</f>
        <v>#REF!</v>
      </c>
      <c r="E29" s="27" t="e">
        <f>#REF!</f>
        <v>#REF!</v>
      </c>
      <c r="F29" s="27" t="e">
        <f>#REF!</f>
        <v>#REF!</v>
      </c>
      <c r="G29" s="28" t="e">
        <f>CONCATENATE("La unidad esta ubicada en: ",VLOOKUP(A29,#REF!,24,FALSE))</f>
        <v>#REF!</v>
      </c>
    </row>
    <row r="30" spans="1:7" x14ac:dyDescent="0.25">
      <c r="A30" s="26" t="e">
        <f>#REF!</f>
        <v>#REF!</v>
      </c>
      <c r="B30" s="27" t="e">
        <f>#REF!</f>
        <v>#REF!</v>
      </c>
      <c r="C30" s="27" t="e">
        <f>#REF!</f>
        <v>#REF!</v>
      </c>
      <c r="D30" s="27" t="e">
        <f>#REF!</f>
        <v>#REF!</v>
      </c>
      <c r="E30" s="27" t="e">
        <f>#REF!</f>
        <v>#REF!</v>
      </c>
      <c r="F30" s="27" t="e">
        <f>#REF!</f>
        <v>#REF!</v>
      </c>
      <c r="G30" s="28" t="e">
        <f>CONCATENATE("La unidad esta ubicada en: ",VLOOKUP(A30,#REF!,24,FALSE))</f>
        <v>#REF!</v>
      </c>
    </row>
    <row r="31" spans="1:7" x14ac:dyDescent="0.25">
      <c r="A31" s="26" t="e">
        <f>#REF!</f>
        <v>#REF!</v>
      </c>
      <c r="B31" s="27" t="e">
        <f>#REF!</f>
        <v>#REF!</v>
      </c>
      <c r="C31" s="27" t="e">
        <f>#REF!</f>
        <v>#REF!</v>
      </c>
      <c r="D31" s="27" t="e">
        <f>#REF!</f>
        <v>#REF!</v>
      </c>
      <c r="E31" s="27" t="e">
        <f>#REF!</f>
        <v>#REF!</v>
      </c>
      <c r="F31" s="27" t="e">
        <f>#REF!</f>
        <v>#REF!</v>
      </c>
      <c r="G31" s="28" t="e">
        <f>CONCATENATE("La unidad esta ubicada en: ",VLOOKUP(A31,#REF!,24,FALSE))</f>
        <v>#REF!</v>
      </c>
    </row>
    <row r="32" spans="1:7" x14ac:dyDescent="0.25">
      <c r="A32" s="26" t="e">
        <f>#REF!</f>
        <v>#REF!</v>
      </c>
      <c r="B32" s="27" t="e">
        <f>#REF!</f>
        <v>#REF!</v>
      </c>
      <c r="C32" s="27" t="e">
        <f>#REF!</f>
        <v>#REF!</v>
      </c>
      <c r="D32" s="27" t="e">
        <f>#REF!</f>
        <v>#REF!</v>
      </c>
      <c r="E32" s="27" t="e">
        <f>#REF!</f>
        <v>#REF!</v>
      </c>
      <c r="F32" s="27" t="e">
        <f>#REF!</f>
        <v>#REF!</v>
      </c>
      <c r="G32" s="28" t="e">
        <f>CONCATENATE("La unidad esta ubicada en: ",VLOOKUP(A32,#REF!,24,FALSE))</f>
        <v>#REF!</v>
      </c>
    </row>
    <row r="33" spans="1:7" x14ac:dyDescent="0.25">
      <c r="A33" s="26" t="e">
        <f>#REF!</f>
        <v>#REF!</v>
      </c>
      <c r="B33" s="27" t="e">
        <f>#REF!</f>
        <v>#REF!</v>
      </c>
      <c r="C33" s="27" t="e">
        <f>#REF!</f>
        <v>#REF!</v>
      </c>
      <c r="D33" s="27" t="e">
        <f>#REF!</f>
        <v>#REF!</v>
      </c>
      <c r="E33" s="27" t="e">
        <f>#REF!</f>
        <v>#REF!</v>
      </c>
      <c r="F33" s="27" t="e">
        <f>#REF!</f>
        <v>#REF!</v>
      </c>
      <c r="G33" s="28" t="e">
        <f>CONCATENATE("La unidad esta ubicada en: ",VLOOKUP(A33,#REF!,24,FALSE))</f>
        <v>#REF!</v>
      </c>
    </row>
    <row r="34" spans="1:7" x14ac:dyDescent="0.25">
      <c r="A34" s="26" t="e">
        <f>#REF!</f>
        <v>#REF!</v>
      </c>
      <c r="B34" s="27" t="e">
        <f>#REF!</f>
        <v>#REF!</v>
      </c>
      <c r="C34" s="27" t="e">
        <f>#REF!</f>
        <v>#REF!</v>
      </c>
      <c r="D34" s="27" t="e">
        <f>#REF!</f>
        <v>#REF!</v>
      </c>
      <c r="E34" s="27" t="e">
        <f>#REF!</f>
        <v>#REF!</v>
      </c>
      <c r="F34" s="27" t="e">
        <f>#REF!</f>
        <v>#REF!</v>
      </c>
      <c r="G34" s="28" t="e">
        <f>CONCATENATE("La unidad esta ubicada en: ",VLOOKUP(A34,#REF!,24,FALSE))</f>
        <v>#REF!</v>
      </c>
    </row>
    <row r="35" spans="1:7" x14ac:dyDescent="0.25">
      <c r="A35" s="26" t="e">
        <f>#REF!</f>
        <v>#REF!</v>
      </c>
      <c r="B35" s="27" t="e">
        <f>#REF!</f>
        <v>#REF!</v>
      </c>
      <c r="C35" s="27" t="e">
        <f>#REF!</f>
        <v>#REF!</v>
      </c>
      <c r="D35" s="27" t="e">
        <f>#REF!</f>
        <v>#REF!</v>
      </c>
      <c r="E35" s="27" t="e">
        <f>#REF!</f>
        <v>#REF!</v>
      </c>
      <c r="F35" s="27" t="e">
        <f>#REF!</f>
        <v>#REF!</v>
      </c>
      <c r="G35" s="28" t="e">
        <f>CONCATENATE("La unidad esta ubicada en: ",VLOOKUP(A35,#REF!,24,FALSE))</f>
        <v>#REF!</v>
      </c>
    </row>
    <row r="36" spans="1:7" x14ac:dyDescent="0.25">
      <c r="A36" s="26" t="e">
        <f>#REF!</f>
        <v>#REF!</v>
      </c>
      <c r="B36" s="27" t="e">
        <f>#REF!</f>
        <v>#REF!</v>
      </c>
      <c r="C36" s="27" t="e">
        <f>#REF!</f>
        <v>#REF!</v>
      </c>
      <c r="D36" s="27" t="e">
        <f>#REF!</f>
        <v>#REF!</v>
      </c>
      <c r="E36" s="27" t="e">
        <f>#REF!</f>
        <v>#REF!</v>
      </c>
      <c r="F36" s="27" t="e">
        <f>#REF!</f>
        <v>#REF!</v>
      </c>
      <c r="G36" s="28" t="e">
        <f>CONCATENATE("La unidad esta ubicada en: ",VLOOKUP(A36,#REF!,24,FALSE))</f>
        <v>#REF!</v>
      </c>
    </row>
    <row r="37" spans="1:7" x14ac:dyDescent="0.25">
      <c r="A37" s="26" t="e">
        <f>#REF!</f>
        <v>#REF!</v>
      </c>
      <c r="B37" s="27" t="e">
        <f>#REF!</f>
        <v>#REF!</v>
      </c>
      <c r="C37" s="27" t="e">
        <f>#REF!</f>
        <v>#REF!</v>
      </c>
      <c r="D37" s="27" t="e">
        <f>#REF!</f>
        <v>#REF!</v>
      </c>
      <c r="E37" s="27" t="e">
        <f>#REF!</f>
        <v>#REF!</v>
      </c>
      <c r="F37" s="27" t="e">
        <f>#REF!</f>
        <v>#REF!</v>
      </c>
      <c r="G37" s="28" t="e">
        <f>CONCATENATE("La unidad esta ubicada en: ",VLOOKUP(A37,#REF!,24,FALSE))</f>
        <v>#REF!</v>
      </c>
    </row>
    <row r="38" spans="1:7" x14ac:dyDescent="0.25">
      <c r="A38" s="26" t="e">
        <f>#REF!</f>
        <v>#REF!</v>
      </c>
      <c r="B38" s="27" t="e">
        <f>#REF!</f>
        <v>#REF!</v>
      </c>
      <c r="C38" s="27" t="e">
        <f>#REF!</f>
        <v>#REF!</v>
      </c>
      <c r="D38" s="27" t="e">
        <f>#REF!</f>
        <v>#REF!</v>
      </c>
      <c r="E38" s="27" t="e">
        <f>#REF!</f>
        <v>#REF!</v>
      </c>
      <c r="F38" s="27" t="e">
        <f>#REF!</f>
        <v>#REF!</v>
      </c>
      <c r="G38" s="28" t="e">
        <f>CONCATENATE("La unidad esta ubicada en: ",VLOOKUP(A38,#REF!,24,FALSE))</f>
        <v>#REF!</v>
      </c>
    </row>
    <row r="39" spans="1:7" x14ac:dyDescent="0.25">
      <c r="A39" s="26" t="e">
        <f>#REF!</f>
        <v>#REF!</v>
      </c>
      <c r="B39" s="27" t="e">
        <f>#REF!</f>
        <v>#REF!</v>
      </c>
      <c r="C39" s="27" t="e">
        <f>#REF!</f>
        <v>#REF!</v>
      </c>
      <c r="D39" s="27" t="e">
        <f>#REF!</f>
        <v>#REF!</v>
      </c>
      <c r="E39" s="27" t="e">
        <f>#REF!</f>
        <v>#REF!</v>
      </c>
      <c r="F39" s="27" t="e">
        <f>#REF!</f>
        <v>#REF!</v>
      </c>
      <c r="G39" s="28" t="e">
        <f>CONCATENATE("La unidad esta ubicada en: ",VLOOKUP(A39,#REF!,24,FALSE))</f>
        <v>#REF!</v>
      </c>
    </row>
    <row r="40" spans="1:7" x14ac:dyDescent="0.25">
      <c r="A40" s="26" t="e">
        <f>#REF!</f>
        <v>#REF!</v>
      </c>
      <c r="B40" s="27" t="e">
        <f>#REF!</f>
        <v>#REF!</v>
      </c>
      <c r="C40" s="27" t="e">
        <f>#REF!</f>
        <v>#REF!</v>
      </c>
      <c r="D40" s="27" t="e">
        <f>#REF!</f>
        <v>#REF!</v>
      </c>
      <c r="E40" s="27" t="e">
        <f>#REF!</f>
        <v>#REF!</v>
      </c>
      <c r="F40" s="27" t="e">
        <f>#REF!</f>
        <v>#REF!</v>
      </c>
      <c r="G40" s="28" t="e">
        <f>CONCATENATE("La unidad esta ubicada en: ",VLOOKUP(A40,#REF!,24,FALSE))</f>
        <v>#REF!</v>
      </c>
    </row>
    <row r="41" spans="1:7" x14ac:dyDescent="0.25">
      <c r="A41" s="26" t="e">
        <f>#REF!</f>
        <v>#REF!</v>
      </c>
      <c r="B41" s="27" t="e">
        <f>#REF!</f>
        <v>#REF!</v>
      </c>
      <c r="C41" s="27" t="e">
        <f>#REF!</f>
        <v>#REF!</v>
      </c>
      <c r="D41" s="27" t="e">
        <f>#REF!</f>
        <v>#REF!</v>
      </c>
      <c r="E41" s="27" t="e">
        <f>#REF!</f>
        <v>#REF!</v>
      </c>
      <c r="F41" s="27" t="e">
        <f>#REF!</f>
        <v>#REF!</v>
      </c>
      <c r="G41" s="28" t="e">
        <f>CONCATENATE("La unidad esta ubicada en: ",VLOOKUP(A41,#REF!,24,FALSE))</f>
        <v>#REF!</v>
      </c>
    </row>
    <row r="42" spans="1:7" x14ac:dyDescent="0.25">
      <c r="A42" s="26" t="e">
        <f>#REF!</f>
        <v>#REF!</v>
      </c>
      <c r="B42" s="27" t="e">
        <f>#REF!</f>
        <v>#REF!</v>
      </c>
      <c r="C42" s="27" t="e">
        <f>#REF!</f>
        <v>#REF!</v>
      </c>
      <c r="D42" s="27" t="e">
        <f>#REF!</f>
        <v>#REF!</v>
      </c>
      <c r="E42" s="27" t="e">
        <f>#REF!</f>
        <v>#REF!</v>
      </c>
      <c r="F42" s="27" t="e">
        <f>#REF!</f>
        <v>#REF!</v>
      </c>
      <c r="G42" s="28" t="e">
        <f>CONCATENATE("La unidad esta ubicada en: ",VLOOKUP(A42,#REF!,24,FALSE))</f>
        <v>#REF!</v>
      </c>
    </row>
    <row r="43" spans="1:7" x14ac:dyDescent="0.25">
      <c r="A43" s="26" t="e">
        <f>#REF!</f>
        <v>#REF!</v>
      </c>
      <c r="B43" s="27" t="e">
        <f>#REF!</f>
        <v>#REF!</v>
      </c>
      <c r="C43" s="27" t="e">
        <f>#REF!</f>
        <v>#REF!</v>
      </c>
      <c r="D43" s="27" t="e">
        <f>#REF!</f>
        <v>#REF!</v>
      </c>
      <c r="E43" s="27" t="e">
        <f>#REF!</f>
        <v>#REF!</v>
      </c>
      <c r="F43" s="27" t="e">
        <f>#REF!</f>
        <v>#REF!</v>
      </c>
      <c r="G43" s="28" t="e">
        <f>CONCATENATE("La unidad esta ubicada en: ",VLOOKUP(A43,#REF!,24,FALSE))</f>
        <v>#REF!</v>
      </c>
    </row>
    <row r="44" spans="1:7" x14ac:dyDescent="0.25">
      <c r="A44" s="26" t="e">
        <f>#REF!</f>
        <v>#REF!</v>
      </c>
      <c r="B44" s="27" t="e">
        <f>#REF!</f>
        <v>#REF!</v>
      </c>
      <c r="C44" s="27" t="e">
        <f>#REF!</f>
        <v>#REF!</v>
      </c>
      <c r="D44" s="27" t="e">
        <f>#REF!</f>
        <v>#REF!</v>
      </c>
      <c r="E44" s="27" t="e">
        <f>#REF!</f>
        <v>#REF!</v>
      </c>
      <c r="F44" s="27" t="e">
        <f>#REF!</f>
        <v>#REF!</v>
      </c>
      <c r="G44" s="28" t="e">
        <f>CONCATENATE("La unidad esta ubicada en: ",VLOOKUP(A44,#REF!,24,FALSE))</f>
        <v>#REF!</v>
      </c>
    </row>
    <row r="45" spans="1:7" x14ac:dyDescent="0.25">
      <c r="A45" s="26" t="e">
        <f>#REF!</f>
        <v>#REF!</v>
      </c>
      <c r="B45" s="27" t="e">
        <f>#REF!</f>
        <v>#REF!</v>
      </c>
      <c r="C45" s="27" t="e">
        <f>#REF!</f>
        <v>#REF!</v>
      </c>
      <c r="D45" s="27" t="e">
        <f>#REF!</f>
        <v>#REF!</v>
      </c>
      <c r="E45" s="27" t="e">
        <f>#REF!</f>
        <v>#REF!</v>
      </c>
      <c r="F45" s="27" t="e">
        <f>#REF!</f>
        <v>#REF!</v>
      </c>
      <c r="G45" s="28" t="e">
        <f>CONCATENATE("La unidad esta ubicada en: ",VLOOKUP(A45,#REF!,24,FALSE))</f>
        <v>#REF!</v>
      </c>
    </row>
    <row r="46" spans="1:7" x14ac:dyDescent="0.25">
      <c r="A46" s="26" t="e">
        <f>#REF!</f>
        <v>#REF!</v>
      </c>
      <c r="B46" s="27" t="e">
        <f>#REF!</f>
        <v>#REF!</v>
      </c>
      <c r="C46" s="27" t="e">
        <f>#REF!</f>
        <v>#REF!</v>
      </c>
      <c r="D46" s="27" t="e">
        <f>#REF!</f>
        <v>#REF!</v>
      </c>
      <c r="E46" s="27" t="e">
        <f>#REF!</f>
        <v>#REF!</v>
      </c>
      <c r="F46" s="27" t="e">
        <f>#REF!</f>
        <v>#REF!</v>
      </c>
      <c r="G46" s="28" t="e">
        <f>CONCATENATE("La unidad esta ubicada en: ",VLOOKUP(A46,#REF!,24,FALSE))</f>
        <v>#REF!</v>
      </c>
    </row>
    <row r="47" spans="1:7" x14ac:dyDescent="0.25">
      <c r="A47" s="26" t="e">
        <f>#REF!</f>
        <v>#REF!</v>
      </c>
      <c r="B47" s="27" t="e">
        <f>#REF!</f>
        <v>#REF!</v>
      </c>
      <c r="C47" s="27" t="e">
        <f>#REF!</f>
        <v>#REF!</v>
      </c>
      <c r="D47" s="27" t="e">
        <f>#REF!</f>
        <v>#REF!</v>
      </c>
      <c r="E47" s="27" t="e">
        <f>#REF!</f>
        <v>#REF!</v>
      </c>
      <c r="F47" s="27" t="e">
        <f>#REF!</f>
        <v>#REF!</v>
      </c>
      <c r="G47" s="28" t="e">
        <f>CONCATENATE("La unidad esta ubicada en: ",VLOOKUP(A47,#REF!,24,FALSE))</f>
        <v>#REF!</v>
      </c>
    </row>
    <row r="48" spans="1:7" x14ac:dyDescent="0.25">
      <c r="A48" s="26" t="e">
        <f>#REF!</f>
        <v>#REF!</v>
      </c>
      <c r="B48" s="27" t="e">
        <f>#REF!</f>
        <v>#REF!</v>
      </c>
      <c r="C48" s="27" t="e">
        <f>#REF!</f>
        <v>#REF!</v>
      </c>
      <c r="D48" s="27" t="e">
        <f>#REF!</f>
        <v>#REF!</v>
      </c>
      <c r="E48" s="27" t="e">
        <f>#REF!</f>
        <v>#REF!</v>
      </c>
      <c r="F48" s="27" t="e">
        <f>#REF!</f>
        <v>#REF!</v>
      </c>
      <c r="G48" s="28" t="e">
        <f>CONCATENATE("La unidad esta ubicada en: ",VLOOKUP(A48,#REF!,24,FALSE))</f>
        <v>#REF!</v>
      </c>
    </row>
    <row r="49" spans="1:7" x14ac:dyDescent="0.25">
      <c r="A49" s="26" t="e">
        <f>#REF!</f>
        <v>#REF!</v>
      </c>
      <c r="B49" s="27" t="e">
        <f>#REF!</f>
        <v>#REF!</v>
      </c>
      <c r="C49" s="27" t="e">
        <f>#REF!</f>
        <v>#REF!</v>
      </c>
      <c r="D49" s="27" t="e">
        <f>#REF!</f>
        <v>#REF!</v>
      </c>
      <c r="E49" s="27" t="e">
        <f>#REF!</f>
        <v>#REF!</v>
      </c>
      <c r="F49" s="27" t="e">
        <f>#REF!</f>
        <v>#REF!</v>
      </c>
      <c r="G49" s="28" t="e">
        <f>CONCATENATE("La unidad esta ubicada en: ",VLOOKUP(A49,#REF!,24,FALSE))</f>
        <v>#REF!</v>
      </c>
    </row>
    <row r="50" spans="1:7" x14ac:dyDescent="0.25">
      <c r="A50" s="26" t="e">
        <f>#REF!</f>
        <v>#REF!</v>
      </c>
      <c r="B50" s="27" t="e">
        <f>#REF!</f>
        <v>#REF!</v>
      </c>
      <c r="C50" s="27" t="e">
        <f>#REF!</f>
        <v>#REF!</v>
      </c>
      <c r="D50" s="27" t="e">
        <f>#REF!</f>
        <v>#REF!</v>
      </c>
      <c r="E50" s="27" t="e">
        <f>#REF!</f>
        <v>#REF!</v>
      </c>
      <c r="F50" s="27" t="e">
        <f>#REF!</f>
        <v>#REF!</v>
      </c>
      <c r="G50" s="28" t="e">
        <f>CONCATENATE("La unidad esta ubicada en: ",VLOOKUP(A50,#REF!,24,FALSE))</f>
        <v>#REF!</v>
      </c>
    </row>
    <row r="51" spans="1:7" x14ac:dyDescent="0.25">
      <c r="A51" s="26" t="e">
        <f>#REF!</f>
        <v>#REF!</v>
      </c>
      <c r="B51" s="27" t="e">
        <f>#REF!</f>
        <v>#REF!</v>
      </c>
      <c r="C51" s="27" t="e">
        <f>#REF!</f>
        <v>#REF!</v>
      </c>
      <c r="D51" s="27" t="e">
        <f>#REF!</f>
        <v>#REF!</v>
      </c>
      <c r="E51" s="27" t="e">
        <f>#REF!</f>
        <v>#REF!</v>
      </c>
      <c r="F51" s="27" t="e">
        <f>#REF!</f>
        <v>#REF!</v>
      </c>
      <c r="G51" s="28" t="e">
        <f>CONCATENATE("La unidad esta ubicada en: ",VLOOKUP(A51,#REF!,24,FALSE))</f>
        <v>#REF!</v>
      </c>
    </row>
    <row r="52" spans="1:7" x14ac:dyDescent="0.25">
      <c r="A52" s="26" t="e">
        <f>#REF!</f>
        <v>#REF!</v>
      </c>
      <c r="B52" s="27" t="e">
        <f>#REF!</f>
        <v>#REF!</v>
      </c>
      <c r="C52" s="27" t="e">
        <f>#REF!</f>
        <v>#REF!</v>
      </c>
      <c r="D52" s="27" t="e">
        <f>#REF!</f>
        <v>#REF!</v>
      </c>
      <c r="E52" s="27" t="e">
        <f>#REF!</f>
        <v>#REF!</v>
      </c>
      <c r="F52" s="27" t="e">
        <f>#REF!</f>
        <v>#REF!</v>
      </c>
      <c r="G52" s="28" t="e">
        <f>CONCATENATE("La unidad esta ubicada en: ",VLOOKUP(A52,#REF!,24,FALSE))</f>
        <v>#REF!</v>
      </c>
    </row>
    <row r="53" spans="1:7" x14ac:dyDescent="0.25">
      <c r="A53" s="26" t="e">
        <f>#REF!</f>
        <v>#REF!</v>
      </c>
      <c r="B53" s="27" t="e">
        <f>#REF!</f>
        <v>#REF!</v>
      </c>
      <c r="C53" s="27" t="e">
        <f>#REF!</f>
        <v>#REF!</v>
      </c>
      <c r="D53" s="27" t="e">
        <f>#REF!</f>
        <v>#REF!</v>
      </c>
      <c r="E53" s="27" t="e">
        <f>#REF!</f>
        <v>#REF!</v>
      </c>
      <c r="F53" s="27" t="e">
        <f>#REF!</f>
        <v>#REF!</v>
      </c>
      <c r="G53" s="28" t="e">
        <f>CONCATENATE("La unidad esta ubicada en: ",VLOOKUP(A53,#REF!,24,FALSE))</f>
        <v>#REF!</v>
      </c>
    </row>
    <row r="54" spans="1:7" x14ac:dyDescent="0.25">
      <c r="A54" s="26" t="e">
        <f>#REF!</f>
        <v>#REF!</v>
      </c>
      <c r="B54" s="27" t="e">
        <f>#REF!</f>
        <v>#REF!</v>
      </c>
      <c r="C54" s="27" t="e">
        <f>#REF!</f>
        <v>#REF!</v>
      </c>
      <c r="D54" s="27" t="e">
        <f>#REF!</f>
        <v>#REF!</v>
      </c>
      <c r="E54" s="27" t="e">
        <f>#REF!</f>
        <v>#REF!</v>
      </c>
      <c r="F54" s="27" t="e">
        <f>#REF!</f>
        <v>#REF!</v>
      </c>
      <c r="G54" s="28" t="e">
        <f>CONCATENATE("La unidad esta ubicada en: ",VLOOKUP(A54,#REF!,24,FALSE))</f>
        <v>#REF!</v>
      </c>
    </row>
    <row r="55" spans="1:7" x14ac:dyDescent="0.25">
      <c r="A55" s="26" t="e">
        <f>#REF!</f>
        <v>#REF!</v>
      </c>
      <c r="B55" s="27" t="e">
        <f>#REF!</f>
        <v>#REF!</v>
      </c>
      <c r="C55" s="27" t="e">
        <f>#REF!</f>
        <v>#REF!</v>
      </c>
      <c r="D55" s="27" t="e">
        <f>#REF!</f>
        <v>#REF!</v>
      </c>
      <c r="E55" s="27" t="e">
        <f>#REF!</f>
        <v>#REF!</v>
      </c>
      <c r="F55" s="27" t="e">
        <f>#REF!</f>
        <v>#REF!</v>
      </c>
      <c r="G55" s="28" t="e">
        <f>CONCATENATE("La unidad esta ubicada en: ",VLOOKUP(A55,#REF!,24,FALSE))</f>
        <v>#REF!</v>
      </c>
    </row>
    <row r="56" spans="1:7" x14ac:dyDescent="0.25">
      <c r="A56" s="26" t="e">
        <f>#REF!</f>
        <v>#REF!</v>
      </c>
      <c r="B56" s="27" t="e">
        <f>#REF!</f>
        <v>#REF!</v>
      </c>
      <c r="C56" s="27" t="e">
        <f>#REF!</f>
        <v>#REF!</v>
      </c>
      <c r="D56" s="27" t="e">
        <f>#REF!</f>
        <v>#REF!</v>
      </c>
      <c r="E56" s="27" t="e">
        <f>#REF!</f>
        <v>#REF!</v>
      </c>
      <c r="F56" s="27" t="e">
        <f>#REF!</f>
        <v>#REF!</v>
      </c>
      <c r="G56" s="28" t="e">
        <f>CONCATENATE("La unidad esta ubicada en: ",VLOOKUP(A56,#REF!,24,FALSE))</f>
        <v>#REF!</v>
      </c>
    </row>
    <row r="57" spans="1:7" x14ac:dyDescent="0.25">
      <c r="A57" s="26" t="e">
        <f>#REF!</f>
        <v>#REF!</v>
      </c>
      <c r="B57" s="27" t="e">
        <f>#REF!</f>
        <v>#REF!</v>
      </c>
      <c r="C57" s="27" t="e">
        <f>#REF!</f>
        <v>#REF!</v>
      </c>
      <c r="D57" s="27" t="e">
        <f>#REF!</f>
        <v>#REF!</v>
      </c>
      <c r="E57" s="27" t="e">
        <f>#REF!</f>
        <v>#REF!</v>
      </c>
      <c r="F57" s="27" t="e">
        <f>#REF!</f>
        <v>#REF!</v>
      </c>
      <c r="G57" s="28" t="e">
        <f>CONCATENATE("La unidad esta ubicada en: ",VLOOKUP(A57,#REF!,24,FALSE))</f>
        <v>#REF!</v>
      </c>
    </row>
    <row r="58" spans="1:7" x14ac:dyDescent="0.25">
      <c r="A58" s="26" t="e">
        <f>#REF!</f>
        <v>#REF!</v>
      </c>
      <c r="B58" s="27" t="e">
        <f>#REF!</f>
        <v>#REF!</v>
      </c>
      <c r="C58" s="27" t="e">
        <f>#REF!</f>
        <v>#REF!</v>
      </c>
      <c r="D58" s="27" t="e">
        <f>#REF!</f>
        <v>#REF!</v>
      </c>
      <c r="E58" s="27" t="e">
        <f>#REF!</f>
        <v>#REF!</v>
      </c>
      <c r="F58" s="27" t="e">
        <f>#REF!</f>
        <v>#REF!</v>
      </c>
      <c r="G58" s="28" t="e">
        <f>CONCATENATE("La unidad esta ubicada en: ",VLOOKUP(A58,#REF!,24,FALSE))</f>
        <v>#REF!</v>
      </c>
    </row>
    <row r="59" spans="1:7" x14ac:dyDescent="0.25">
      <c r="A59" s="26" t="e">
        <f>#REF!</f>
        <v>#REF!</v>
      </c>
      <c r="B59" s="27" t="e">
        <f>#REF!</f>
        <v>#REF!</v>
      </c>
      <c r="C59" s="27" t="e">
        <f>#REF!</f>
        <v>#REF!</v>
      </c>
      <c r="D59" s="27" t="e">
        <f>#REF!</f>
        <v>#REF!</v>
      </c>
      <c r="E59" s="27" t="e">
        <f>#REF!</f>
        <v>#REF!</v>
      </c>
      <c r="F59" s="27" t="e">
        <f>#REF!</f>
        <v>#REF!</v>
      </c>
      <c r="G59" s="28" t="e">
        <f>CONCATENATE("La unidad esta ubicada en: ",VLOOKUP(A59,#REF!,24,FALSE))</f>
        <v>#REF!</v>
      </c>
    </row>
    <row r="60" spans="1:7" x14ac:dyDescent="0.25">
      <c r="A60" s="26" t="e">
        <f>#REF!</f>
        <v>#REF!</v>
      </c>
      <c r="B60" s="27" t="e">
        <f>#REF!</f>
        <v>#REF!</v>
      </c>
      <c r="C60" s="27" t="e">
        <f>#REF!</f>
        <v>#REF!</v>
      </c>
      <c r="D60" s="27" t="e">
        <f>#REF!</f>
        <v>#REF!</v>
      </c>
      <c r="E60" s="27" t="e">
        <f>#REF!</f>
        <v>#REF!</v>
      </c>
      <c r="F60" s="27" t="e">
        <f>#REF!</f>
        <v>#REF!</v>
      </c>
      <c r="G60" s="28" t="e">
        <f>CONCATENATE("La unidad esta ubicada en: ",VLOOKUP(A60,#REF!,24,FALSE))</f>
        <v>#REF!</v>
      </c>
    </row>
    <row r="61" spans="1:7" x14ac:dyDescent="0.25">
      <c r="A61" s="26" t="e">
        <f>#REF!</f>
        <v>#REF!</v>
      </c>
      <c r="B61" s="27" t="e">
        <f>#REF!</f>
        <v>#REF!</v>
      </c>
      <c r="C61" s="27" t="e">
        <f>#REF!</f>
        <v>#REF!</v>
      </c>
      <c r="D61" s="27" t="e">
        <f>#REF!</f>
        <v>#REF!</v>
      </c>
      <c r="E61" s="27" t="e">
        <f>#REF!</f>
        <v>#REF!</v>
      </c>
      <c r="F61" s="27" t="e">
        <f>#REF!</f>
        <v>#REF!</v>
      </c>
      <c r="G61" s="28" t="e">
        <f>CONCATENATE("La unidad esta ubicada en: ",VLOOKUP(A61,#REF!,24,FALSE))</f>
        <v>#REF!</v>
      </c>
    </row>
    <row r="62" spans="1:7" x14ac:dyDescent="0.25">
      <c r="A62" s="26" t="e">
        <f>#REF!</f>
        <v>#REF!</v>
      </c>
      <c r="B62" s="27" t="e">
        <f>#REF!</f>
        <v>#REF!</v>
      </c>
      <c r="C62" s="27" t="e">
        <f>#REF!</f>
        <v>#REF!</v>
      </c>
      <c r="D62" s="27" t="e">
        <f>#REF!</f>
        <v>#REF!</v>
      </c>
      <c r="E62" s="27" t="e">
        <f>#REF!</f>
        <v>#REF!</v>
      </c>
      <c r="F62" s="27" t="e">
        <f>#REF!</f>
        <v>#REF!</v>
      </c>
      <c r="G62" s="28" t="e">
        <f>CONCATENATE("La unidad esta ubicada en: ",VLOOKUP(A62,#REF!,24,FALSE))</f>
        <v>#REF!</v>
      </c>
    </row>
    <row r="63" spans="1:7" x14ac:dyDescent="0.25">
      <c r="A63" s="26" t="e">
        <f>#REF!</f>
        <v>#REF!</v>
      </c>
      <c r="B63" s="27" t="e">
        <f>#REF!</f>
        <v>#REF!</v>
      </c>
      <c r="C63" s="27" t="e">
        <f>#REF!</f>
        <v>#REF!</v>
      </c>
      <c r="D63" s="27" t="e">
        <f>#REF!</f>
        <v>#REF!</v>
      </c>
      <c r="E63" s="27" t="e">
        <f>#REF!</f>
        <v>#REF!</v>
      </c>
      <c r="F63" s="27" t="e">
        <f>#REF!</f>
        <v>#REF!</v>
      </c>
      <c r="G63" s="28" t="e">
        <f>CONCATENATE("La unidad esta ubicada en: ",VLOOKUP(A63,#REF!,24,FALSE))</f>
        <v>#REF!</v>
      </c>
    </row>
    <row r="64" spans="1:7" x14ac:dyDescent="0.25">
      <c r="A64" s="26" t="e">
        <f>#REF!</f>
        <v>#REF!</v>
      </c>
      <c r="B64" s="27" t="e">
        <f>#REF!</f>
        <v>#REF!</v>
      </c>
      <c r="C64" s="27" t="e">
        <f>#REF!</f>
        <v>#REF!</v>
      </c>
      <c r="D64" s="27" t="e">
        <f>#REF!</f>
        <v>#REF!</v>
      </c>
      <c r="E64" s="27" t="e">
        <f>#REF!</f>
        <v>#REF!</v>
      </c>
      <c r="F64" s="27" t="e">
        <f>#REF!</f>
        <v>#REF!</v>
      </c>
      <c r="G64" s="28" t="e">
        <f>CONCATENATE("La unidad esta ubicada en: ",VLOOKUP(A64,#REF!,24,FALSE))</f>
        <v>#REF!</v>
      </c>
    </row>
    <row r="65" spans="1:7" x14ac:dyDescent="0.25">
      <c r="A65" s="26" t="e">
        <f>#REF!</f>
        <v>#REF!</v>
      </c>
      <c r="B65" s="27" t="e">
        <f>#REF!</f>
        <v>#REF!</v>
      </c>
      <c r="C65" s="27" t="e">
        <f>#REF!</f>
        <v>#REF!</v>
      </c>
      <c r="D65" s="27" t="e">
        <f>#REF!</f>
        <v>#REF!</v>
      </c>
      <c r="E65" s="27" t="e">
        <f>#REF!</f>
        <v>#REF!</v>
      </c>
      <c r="F65" s="27" t="e">
        <f>#REF!</f>
        <v>#REF!</v>
      </c>
      <c r="G65" s="28" t="e">
        <f>CONCATENATE("La unidad esta ubicada en: ",VLOOKUP(A65,#REF!,24,FALSE))</f>
        <v>#REF!</v>
      </c>
    </row>
    <row r="66" spans="1:7" x14ac:dyDescent="0.25">
      <c r="A66" s="26" t="e">
        <f>#REF!</f>
        <v>#REF!</v>
      </c>
      <c r="B66" s="27" t="e">
        <f>#REF!</f>
        <v>#REF!</v>
      </c>
      <c r="C66" s="27" t="e">
        <f>#REF!</f>
        <v>#REF!</v>
      </c>
      <c r="D66" s="27" t="e">
        <f>#REF!</f>
        <v>#REF!</v>
      </c>
      <c r="E66" s="27" t="e">
        <f>#REF!</f>
        <v>#REF!</v>
      </c>
      <c r="F66" s="27" t="e">
        <f>#REF!</f>
        <v>#REF!</v>
      </c>
      <c r="G66" s="28" t="e">
        <f>CONCATENATE("La unidad esta ubicada en: ",VLOOKUP(A66,#REF!,24,FALSE))</f>
        <v>#REF!</v>
      </c>
    </row>
    <row r="67" spans="1:7" x14ac:dyDescent="0.25">
      <c r="A67" s="26" t="e">
        <f>#REF!</f>
        <v>#REF!</v>
      </c>
      <c r="B67" s="27" t="e">
        <f>#REF!</f>
        <v>#REF!</v>
      </c>
      <c r="C67" s="27" t="e">
        <f>#REF!</f>
        <v>#REF!</v>
      </c>
      <c r="D67" s="27" t="e">
        <f>#REF!</f>
        <v>#REF!</v>
      </c>
      <c r="E67" s="27" t="e">
        <f>#REF!</f>
        <v>#REF!</v>
      </c>
      <c r="F67" s="27" t="e">
        <f>#REF!</f>
        <v>#REF!</v>
      </c>
      <c r="G67" s="28" t="e">
        <f>CONCATENATE("La unidad esta ubicada en: ",VLOOKUP(A67,#REF!,24,FALSE))</f>
        <v>#REF!</v>
      </c>
    </row>
    <row r="68" spans="1:7" x14ac:dyDescent="0.25">
      <c r="A68" s="26" t="e">
        <f>#REF!</f>
        <v>#REF!</v>
      </c>
      <c r="B68" s="27" t="e">
        <f>#REF!</f>
        <v>#REF!</v>
      </c>
      <c r="C68" s="27" t="e">
        <f>#REF!</f>
        <v>#REF!</v>
      </c>
      <c r="D68" s="27" t="e">
        <f>#REF!</f>
        <v>#REF!</v>
      </c>
      <c r="E68" s="27" t="e">
        <f>#REF!</f>
        <v>#REF!</v>
      </c>
      <c r="F68" s="27" t="e">
        <f>#REF!</f>
        <v>#REF!</v>
      </c>
      <c r="G68" s="28" t="e">
        <f>CONCATENATE("La unidad esta ubicada en: ",VLOOKUP(A68,#REF!,24,FALSE))</f>
        <v>#REF!</v>
      </c>
    </row>
    <row r="69" spans="1:7" x14ac:dyDescent="0.25">
      <c r="A69" s="26" t="e">
        <f>#REF!</f>
        <v>#REF!</v>
      </c>
      <c r="B69" s="27" t="e">
        <f>#REF!</f>
        <v>#REF!</v>
      </c>
      <c r="C69" s="27" t="e">
        <f>#REF!</f>
        <v>#REF!</v>
      </c>
      <c r="D69" s="27" t="e">
        <f>#REF!</f>
        <v>#REF!</v>
      </c>
      <c r="E69" s="27" t="e">
        <f>#REF!</f>
        <v>#REF!</v>
      </c>
      <c r="F69" s="27" t="e">
        <f>#REF!</f>
        <v>#REF!</v>
      </c>
      <c r="G69" s="28" t="e">
        <f>CONCATENATE("La unidad esta ubicada en: ",VLOOKUP(A69,#REF!,24,FALSE))</f>
        <v>#REF!</v>
      </c>
    </row>
    <row r="70" spans="1:7" x14ac:dyDescent="0.25">
      <c r="A70" s="26" t="e">
        <f>#REF!</f>
        <v>#REF!</v>
      </c>
      <c r="B70" s="27" t="e">
        <f>#REF!</f>
        <v>#REF!</v>
      </c>
      <c r="C70" s="27" t="e">
        <f>#REF!</f>
        <v>#REF!</v>
      </c>
      <c r="D70" s="27" t="e">
        <f>#REF!</f>
        <v>#REF!</v>
      </c>
      <c r="E70" s="27" t="e">
        <f>#REF!</f>
        <v>#REF!</v>
      </c>
      <c r="F70" s="27" t="e">
        <f>#REF!</f>
        <v>#REF!</v>
      </c>
      <c r="G70" s="28" t="e">
        <f>CONCATENATE("La unidad esta ubicada en: ",VLOOKUP(A70,#REF!,24,FALSE))</f>
        <v>#REF!</v>
      </c>
    </row>
    <row r="71" spans="1:7" x14ac:dyDescent="0.25">
      <c r="A71" s="26" t="e">
        <f>#REF!</f>
        <v>#REF!</v>
      </c>
      <c r="B71" s="27" t="e">
        <f>#REF!</f>
        <v>#REF!</v>
      </c>
      <c r="C71" s="27" t="e">
        <f>#REF!</f>
        <v>#REF!</v>
      </c>
      <c r="D71" s="27" t="e">
        <f>#REF!</f>
        <v>#REF!</v>
      </c>
      <c r="E71" s="27" t="e">
        <f>#REF!</f>
        <v>#REF!</v>
      </c>
      <c r="F71" s="27" t="e">
        <f>#REF!</f>
        <v>#REF!</v>
      </c>
      <c r="G71" s="28" t="e">
        <f>CONCATENATE("La unidad esta ubicada en: ",VLOOKUP(A71,#REF!,24,FALSE))</f>
        <v>#REF!</v>
      </c>
    </row>
    <row r="72" spans="1:7" x14ac:dyDescent="0.25">
      <c r="A72" s="26" t="e">
        <f>#REF!</f>
        <v>#REF!</v>
      </c>
      <c r="B72" s="27" t="e">
        <f>#REF!</f>
        <v>#REF!</v>
      </c>
      <c r="C72" s="27" t="e">
        <f>#REF!</f>
        <v>#REF!</v>
      </c>
      <c r="D72" s="27" t="e">
        <f>#REF!</f>
        <v>#REF!</v>
      </c>
      <c r="E72" s="27" t="e">
        <f>#REF!</f>
        <v>#REF!</v>
      </c>
      <c r="F72" s="27" t="e">
        <f>#REF!</f>
        <v>#REF!</v>
      </c>
      <c r="G72" s="28" t="e">
        <f>CONCATENATE("La unidad esta ubicada en: ",VLOOKUP(A72,#REF!,24,FALSE))</f>
        <v>#REF!</v>
      </c>
    </row>
    <row r="73" spans="1:7" x14ac:dyDescent="0.25">
      <c r="A73" s="26" t="e">
        <f>#REF!</f>
        <v>#REF!</v>
      </c>
      <c r="B73" s="27" t="e">
        <f>#REF!</f>
        <v>#REF!</v>
      </c>
      <c r="C73" s="27" t="e">
        <f>#REF!</f>
        <v>#REF!</v>
      </c>
      <c r="D73" s="27" t="e">
        <f>#REF!</f>
        <v>#REF!</v>
      </c>
      <c r="E73" s="27" t="e">
        <f>#REF!</f>
        <v>#REF!</v>
      </c>
      <c r="F73" s="27" t="e">
        <f>#REF!</f>
        <v>#REF!</v>
      </c>
      <c r="G73" s="28" t="e">
        <f>CONCATENATE("La unidad esta ubicada en: ",VLOOKUP(A73,#REF!,24,FALSE))</f>
        <v>#REF!</v>
      </c>
    </row>
    <row r="74" spans="1:7" x14ac:dyDescent="0.25">
      <c r="A74" s="26" t="e">
        <f>#REF!</f>
        <v>#REF!</v>
      </c>
      <c r="B74" s="27" t="e">
        <f>#REF!</f>
        <v>#REF!</v>
      </c>
      <c r="C74" s="27" t="e">
        <f>#REF!</f>
        <v>#REF!</v>
      </c>
      <c r="D74" s="27" t="e">
        <f>#REF!</f>
        <v>#REF!</v>
      </c>
      <c r="E74" s="27" t="e">
        <f>#REF!</f>
        <v>#REF!</v>
      </c>
      <c r="F74" s="27" t="e">
        <f>#REF!</f>
        <v>#REF!</v>
      </c>
      <c r="G74" s="28" t="e">
        <f>CONCATENATE("La unidad esta ubicada en: ",VLOOKUP(A74,#REF!,24,FALSE))</f>
        <v>#REF!</v>
      </c>
    </row>
    <row r="75" spans="1:7" x14ac:dyDescent="0.25">
      <c r="A75" s="26" t="e">
        <f>#REF!</f>
        <v>#REF!</v>
      </c>
      <c r="B75" s="27" t="e">
        <f>#REF!</f>
        <v>#REF!</v>
      </c>
      <c r="C75" s="27" t="e">
        <f>#REF!</f>
        <v>#REF!</v>
      </c>
      <c r="D75" s="27" t="e">
        <f>#REF!</f>
        <v>#REF!</v>
      </c>
      <c r="E75" s="27" t="e">
        <f>#REF!</f>
        <v>#REF!</v>
      </c>
      <c r="F75" s="27" t="e">
        <f>#REF!</f>
        <v>#REF!</v>
      </c>
      <c r="G75" s="28" t="e">
        <f>CONCATENATE("La unidad esta ubicada en: ",VLOOKUP(A75,#REF!,24,FALSE))</f>
        <v>#REF!</v>
      </c>
    </row>
    <row r="76" spans="1:7" x14ac:dyDescent="0.25">
      <c r="A76" s="26" t="e">
        <f>#REF!</f>
        <v>#REF!</v>
      </c>
      <c r="B76" s="27" t="e">
        <f>#REF!</f>
        <v>#REF!</v>
      </c>
      <c r="C76" s="27" t="e">
        <f>#REF!</f>
        <v>#REF!</v>
      </c>
      <c r="D76" s="27" t="e">
        <f>#REF!</f>
        <v>#REF!</v>
      </c>
      <c r="E76" s="27" t="e">
        <f>#REF!</f>
        <v>#REF!</v>
      </c>
      <c r="F76" s="27" t="e">
        <f>#REF!</f>
        <v>#REF!</v>
      </c>
      <c r="G76" s="28" t="e">
        <f>CONCATENATE("La unidad esta ubicada en: ",VLOOKUP(A76,#REF!,24,FALSE))</f>
        <v>#REF!</v>
      </c>
    </row>
    <row r="77" spans="1:7" x14ac:dyDescent="0.25">
      <c r="A77" s="26" t="e">
        <f>#REF!</f>
        <v>#REF!</v>
      </c>
      <c r="B77" s="27" t="e">
        <f>#REF!</f>
        <v>#REF!</v>
      </c>
      <c r="C77" s="27" t="e">
        <f>#REF!</f>
        <v>#REF!</v>
      </c>
      <c r="D77" s="27" t="e">
        <f>#REF!</f>
        <v>#REF!</v>
      </c>
      <c r="E77" s="27" t="e">
        <f>#REF!</f>
        <v>#REF!</v>
      </c>
      <c r="F77" s="27" t="e">
        <f>#REF!</f>
        <v>#REF!</v>
      </c>
      <c r="G77" s="28" t="e">
        <f>CONCATENATE("La unidad esta ubicada en: ",VLOOKUP(A77,#REF!,24,FALSE))</f>
        <v>#REF!</v>
      </c>
    </row>
    <row r="78" spans="1:7" x14ac:dyDescent="0.25">
      <c r="A78" s="26" t="e">
        <f>#REF!</f>
        <v>#REF!</v>
      </c>
      <c r="B78" s="27" t="e">
        <f>#REF!</f>
        <v>#REF!</v>
      </c>
      <c r="C78" s="27" t="e">
        <f>#REF!</f>
        <v>#REF!</v>
      </c>
      <c r="D78" s="27" t="e">
        <f>#REF!</f>
        <v>#REF!</v>
      </c>
      <c r="E78" s="27" t="e">
        <f>#REF!</f>
        <v>#REF!</v>
      </c>
      <c r="F78" s="27" t="e">
        <f>#REF!</f>
        <v>#REF!</v>
      </c>
      <c r="G78" s="28" t="e">
        <f>CONCATENATE("La unidad esta ubicada en: ",VLOOKUP(A78,#REF!,24,FALSE))</f>
        <v>#REF!</v>
      </c>
    </row>
    <row r="79" spans="1:7" x14ac:dyDescent="0.25">
      <c r="A79" s="26" t="e">
        <f>#REF!</f>
        <v>#REF!</v>
      </c>
      <c r="B79" s="27" t="e">
        <f>#REF!</f>
        <v>#REF!</v>
      </c>
      <c r="C79" s="27" t="e">
        <f>#REF!</f>
        <v>#REF!</v>
      </c>
      <c r="D79" s="27" t="e">
        <f>#REF!</f>
        <v>#REF!</v>
      </c>
      <c r="E79" s="27" t="e">
        <f>#REF!</f>
        <v>#REF!</v>
      </c>
      <c r="F79" s="27" t="e">
        <f>#REF!</f>
        <v>#REF!</v>
      </c>
      <c r="G79" s="28" t="e">
        <f>CONCATENATE("La unidad esta ubicada en: ",VLOOKUP(A79,#REF!,24,FALSE))</f>
        <v>#REF!</v>
      </c>
    </row>
    <row r="80" spans="1:7" ht="15.75" thickBot="1" x14ac:dyDescent="0.3">
      <c r="A80" s="29" t="e">
        <f>#REF!</f>
        <v>#REF!</v>
      </c>
      <c r="B80" s="30" t="e">
        <f>#REF!</f>
        <v>#REF!</v>
      </c>
      <c r="C80" s="30" t="e">
        <f>#REF!</f>
        <v>#REF!</v>
      </c>
      <c r="D80" s="30" t="e">
        <f>#REF!</f>
        <v>#REF!</v>
      </c>
      <c r="E80" s="30" t="e">
        <f>#REF!</f>
        <v>#REF!</v>
      </c>
      <c r="F80" s="30" t="e">
        <f>#REF!</f>
        <v>#REF!</v>
      </c>
      <c r="G80" s="31" t="e">
        <f>CONCATENATE("La unidad esta ubicada en: ",VLOOKUP(A80,#REF!,24,FALSE))</f>
        <v>#REF!</v>
      </c>
    </row>
  </sheetData>
  <mergeCells count="1">
    <mergeCell ref="A1:G2"/>
  </mergeCells>
  <pageMargins left="0.31496062992125984" right="0" top="0.31496062992125984" bottom="0.94488188976377963" header="0.31496062992125984" footer="0.31496062992125984"/>
  <pageSetup orientation="landscape" r:id="rId1"/>
  <headerFooter>
    <oddFooter>&amp;L&amp;"Arial Rounded MT Bold,Normal"David Torres Tello&amp;"Arial Rounded MT Bold,Negrita"&amp;S------------------------------------------------------------&amp;"Arial Rounded MT Bold,Normal"&amp;SJefe de Servicios Generales y Recursos Materiales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4"/>
  <sheetViews>
    <sheetView workbookViewId="0">
      <selection sqref="A1:G2"/>
    </sheetView>
  </sheetViews>
  <sheetFormatPr baseColWidth="10" defaultRowHeight="12.75" x14ac:dyDescent="0.2"/>
  <cols>
    <col min="1" max="1" width="19.140625" style="19" bestFit="1" customWidth="1"/>
    <col min="2" max="2" width="10.7109375" style="19" bestFit="1" customWidth="1"/>
    <col min="3" max="3" width="11.5703125" style="19" bestFit="1" customWidth="1"/>
    <col min="4" max="4" width="19.28515625" style="19" bestFit="1" customWidth="1"/>
    <col min="5" max="5" width="7.7109375" style="19" bestFit="1" customWidth="1"/>
    <col min="6" max="6" width="18" style="19" bestFit="1" customWidth="1"/>
    <col min="7" max="7" width="44.28515625" style="19" bestFit="1" customWidth="1"/>
    <col min="8" max="16384" width="11.42578125" style="19"/>
  </cols>
  <sheetData>
    <row r="1" spans="1:7" ht="30" customHeight="1" x14ac:dyDescent="0.2">
      <c r="A1" s="85" t="s">
        <v>785</v>
      </c>
      <c r="B1" s="85"/>
      <c r="C1" s="85"/>
      <c r="D1" s="85"/>
      <c r="E1" s="85"/>
      <c r="F1" s="85"/>
      <c r="G1" s="85"/>
    </row>
    <row r="2" spans="1:7" ht="30" customHeight="1" thickBot="1" x14ac:dyDescent="0.25">
      <c r="A2" s="86"/>
      <c r="B2" s="86"/>
      <c r="C2" s="86"/>
      <c r="D2" s="86"/>
      <c r="E2" s="86"/>
      <c r="F2" s="86"/>
      <c r="G2" s="86"/>
    </row>
    <row r="3" spans="1:7" ht="27" thickTop="1" thickBot="1" x14ac:dyDescent="0.25">
      <c r="A3" s="39" t="s">
        <v>772</v>
      </c>
      <c r="B3" s="32" t="s">
        <v>774</v>
      </c>
      <c r="C3" s="33" t="s">
        <v>764</v>
      </c>
      <c r="D3" s="34" t="s">
        <v>765</v>
      </c>
      <c r="E3" s="35" t="s">
        <v>766</v>
      </c>
      <c r="F3" s="33" t="s">
        <v>768</v>
      </c>
      <c r="G3" s="36" t="s">
        <v>773</v>
      </c>
    </row>
    <row r="4" spans="1:7" x14ac:dyDescent="0.2">
      <c r="A4" s="40" t="s">
        <v>786</v>
      </c>
      <c r="B4" s="41" t="e">
        <f>#REF!</f>
        <v>#REF!</v>
      </c>
      <c r="C4" s="42" t="e">
        <f>VLOOKUP($B4,#REF!,3,FALSE)</f>
        <v>#REF!</v>
      </c>
      <c r="D4" s="42" t="e">
        <f>VLOOKUP($B4,#REF!,4,FALSE)</f>
        <v>#REF!</v>
      </c>
      <c r="E4" s="42" t="e">
        <f>VLOOKUP($B4,#REF!,6,FALSE)</f>
        <v>#REF!</v>
      </c>
      <c r="F4" s="42" t="e">
        <f>VLOOKUP($B4,#REF!,7,FALSE)</f>
        <v>#REF!</v>
      </c>
      <c r="G4" s="43" t="e">
        <f>VLOOKUP(B4,'Of-DGO_DBMyC_0054_2019 Gas'!$A$4:$G$80,7,FALSE)</f>
        <v>#REF!</v>
      </c>
    </row>
    <row r="5" spans="1:7" x14ac:dyDescent="0.2">
      <c r="A5" s="44" t="s">
        <v>786</v>
      </c>
      <c r="B5" s="37" t="e">
        <f>#REF!</f>
        <v>#REF!</v>
      </c>
      <c r="C5" s="38" t="e">
        <f>VLOOKUP($B5,#REF!,3,FALSE)</f>
        <v>#REF!</v>
      </c>
      <c r="D5" s="38" t="e">
        <f>VLOOKUP($B5,#REF!,4,FALSE)</f>
        <v>#REF!</v>
      </c>
      <c r="E5" s="38" t="e">
        <f>VLOOKUP($B5,#REF!,6,FALSE)</f>
        <v>#REF!</v>
      </c>
      <c r="F5" s="38" t="e">
        <f>VLOOKUP($B5,#REF!,7,FALSE)</f>
        <v>#REF!</v>
      </c>
      <c r="G5" s="45" t="e">
        <f>VLOOKUP(B5,'Of-DGO_DBMyC_0054_2019 Gas'!$A$4:$G$80,7,FALSE)</f>
        <v>#REF!</v>
      </c>
    </row>
    <row r="6" spans="1:7" x14ac:dyDescent="0.2">
      <c r="A6" s="44" t="s">
        <v>786</v>
      </c>
      <c r="B6" s="37" t="e">
        <f>#REF!</f>
        <v>#REF!</v>
      </c>
      <c r="C6" s="38" t="e">
        <f>VLOOKUP($B6,#REF!,3,FALSE)</f>
        <v>#REF!</v>
      </c>
      <c r="D6" s="38" t="e">
        <f>VLOOKUP($B6,#REF!,4,FALSE)</f>
        <v>#REF!</v>
      </c>
      <c r="E6" s="38" t="e">
        <f>VLOOKUP($B6,#REF!,6,FALSE)</f>
        <v>#REF!</v>
      </c>
      <c r="F6" s="38" t="e">
        <f>VLOOKUP($B6,#REF!,7,FALSE)</f>
        <v>#REF!</v>
      </c>
      <c r="G6" s="45" t="e">
        <f>VLOOKUP(B6,'Of-DGO_DBMyC_0054_2019 Gas'!$A$4:$G$80,7,FALSE)</f>
        <v>#REF!</v>
      </c>
    </row>
    <row r="7" spans="1:7" x14ac:dyDescent="0.2">
      <c r="A7" s="44" t="s">
        <v>786</v>
      </c>
      <c r="B7" s="37" t="e">
        <f>#REF!</f>
        <v>#REF!</v>
      </c>
      <c r="C7" s="38" t="e">
        <f>VLOOKUP($B7,#REF!,3,FALSE)</f>
        <v>#REF!</v>
      </c>
      <c r="D7" s="38" t="e">
        <f>VLOOKUP($B7,#REF!,4,FALSE)</f>
        <v>#REF!</v>
      </c>
      <c r="E7" s="38" t="e">
        <f>VLOOKUP($B7,#REF!,6,FALSE)</f>
        <v>#REF!</v>
      </c>
      <c r="F7" s="38" t="e">
        <f>VLOOKUP($B7,#REF!,7,FALSE)</f>
        <v>#REF!</v>
      </c>
      <c r="G7" s="45" t="e">
        <f>VLOOKUP(B7,'Of-DGO_DBMyC_0054_2019 Gas'!$A$4:$G$80,7,FALSE)</f>
        <v>#REF!</v>
      </c>
    </row>
    <row r="8" spans="1:7" x14ac:dyDescent="0.2">
      <c r="A8" s="44" t="s">
        <v>786</v>
      </c>
      <c r="B8" s="37" t="e">
        <f>#REF!</f>
        <v>#REF!</v>
      </c>
      <c r="C8" s="38" t="e">
        <f>VLOOKUP($B8,#REF!,3,FALSE)</f>
        <v>#REF!</v>
      </c>
      <c r="D8" s="38" t="e">
        <f>VLOOKUP($B8,#REF!,4,FALSE)</f>
        <v>#REF!</v>
      </c>
      <c r="E8" s="38" t="e">
        <f>VLOOKUP($B8,#REF!,6,FALSE)</f>
        <v>#REF!</v>
      </c>
      <c r="F8" s="38" t="e">
        <f>VLOOKUP($B8,#REF!,7,FALSE)</f>
        <v>#REF!</v>
      </c>
      <c r="G8" s="45" t="e">
        <f>VLOOKUP(B8,'Of-DGO_DBMyC_0054_2019 Gas'!$A$4:$G$80,7,FALSE)</f>
        <v>#REF!</v>
      </c>
    </row>
    <row r="9" spans="1:7" x14ac:dyDescent="0.2">
      <c r="A9" s="44" t="s">
        <v>786</v>
      </c>
      <c r="B9" s="37" t="e">
        <f>#REF!</f>
        <v>#REF!</v>
      </c>
      <c r="C9" s="38" t="e">
        <f>VLOOKUP($B9,#REF!,3,FALSE)</f>
        <v>#REF!</v>
      </c>
      <c r="D9" s="38" t="e">
        <f>VLOOKUP($B9,#REF!,4,FALSE)</f>
        <v>#REF!</v>
      </c>
      <c r="E9" s="38" t="e">
        <f>VLOOKUP($B9,#REF!,6,FALSE)</f>
        <v>#REF!</v>
      </c>
      <c r="F9" s="38" t="e">
        <f>VLOOKUP($B9,#REF!,7,FALSE)</f>
        <v>#REF!</v>
      </c>
      <c r="G9" s="45" t="e">
        <f>VLOOKUP(B9,'Of-DGO_DBMyC_0054_2019 Gas'!$A$4:$G$80,7,FALSE)</f>
        <v>#REF!</v>
      </c>
    </row>
    <row r="10" spans="1:7" x14ac:dyDescent="0.2">
      <c r="A10" s="44" t="s">
        <v>786</v>
      </c>
      <c r="B10" s="37" t="e">
        <f>#REF!</f>
        <v>#REF!</v>
      </c>
      <c r="C10" s="38" t="e">
        <f>VLOOKUP($B10,#REF!,3,FALSE)</f>
        <v>#REF!</v>
      </c>
      <c r="D10" s="38" t="e">
        <f>VLOOKUP($B10,#REF!,4,FALSE)</f>
        <v>#REF!</v>
      </c>
      <c r="E10" s="38" t="e">
        <f>VLOOKUP($B10,#REF!,6,FALSE)</f>
        <v>#REF!</v>
      </c>
      <c r="F10" s="38" t="e">
        <f>VLOOKUP($B10,#REF!,7,FALSE)</f>
        <v>#REF!</v>
      </c>
      <c r="G10" s="45" t="e">
        <f>VLOOKUP(B10,'Of-DGO_DBMyC_0054_2019 Gas'!$A$4:$G$80,7,FALSE)</f>
        <v>#REF!</v>
      </c>
    </row>
    <row r="11" spans="1:7" x14ac:dyDescent="0.2">
      <c r="A11" s="44" t="s">
        <v>786</v>
      </c>
      <c r="B11" s="37" t="e">
        <f>#REF!</f>
        <v>#REF!</v>
      </c>
      <c r="C11" s="38" t="e">
        <f>VLOOKUP($B11,#REF!,3,FALSE)</f>
        <v>#REF!</v>
      </c>
      <c r="D11" s="38" t="e">
        <f>VLOOKUP($B11,#REF!,4,FALSE)</f>
        <v>#REF!</v>
      </c>
      <c r="E11" s="38" t="e">
        <f>VLOOKUP($B11,#REF!,6,FALSE)</f>
        <v>#REF!</v>
      </c>
      <c r="F11" s="38" t="e">
        <f>VLOOKUP($B11,#REF!,7,FALSE)</f>
        <v>#REF!</v>
      </c>
      <c r="G11" s="45" t="e">
        <f>VLOOKUP(B11,'Of-DGO_DBMyC_0054_2019 Gas'!$A$4:$G$80,7,FALSE)</f>
        <v>#REF!</v>
      </c>
    </row>
    <row r="12" spans="1:7" x14ac:dyDescent="0.2">
      <c r="A12" s="44" t="s">
        <v>786</v>
      </c>
      <c r="B12" s="37" t="e">
        <f>#REF!</f>
        <v>#REF!</v>
      </c>
      <c r="C12" s="38" t="e">
        <f>VLOOKUP($B12,#REF!,3,FALSE)</f>
        <v>#REF!</v>
      </c>
      <c r="D12" s="38" t="e">
        <f>VLOOKUP($B12,#REF!,4,FALSE)</f>
        <v>#REF!</v>
      </c>
      <c r="E12" s="38" t="e">
        <f>VLOOKUP($B12,#REF!,6,FALSE)</f>
        <v>#REF!</v>
      </c>
      <c r="F12" s="38" t="e">
        <f>VLOOKUP($B12,#REF!,7,FALSE)</f>
        <v>#REF!</v>
      </c>
      <c r="G12" s="45" t="e">
        <f>VLOOKUP(B12,'Of-DGO_DBMyC_0054_2019 Gas'!$A$4:$G$80,7,FALSE)</f>
        <v>#REF!</v>
      </c>
    </row>
    <row r="13" spans="1:7" x14ac:dyDescent="0.2">
      <c r="A13" s="44" t="s">
        <v>786</v>
      </c>
      <c r="B13" s="37" t="e">
        <f>#REF!</f>
        <v>#REF!</v>
      </c>
      <c r="C13" s="38" t="e">
        <f>VLOOKUP($B13,#REF!,3,FALSE)</f>
        <v>#REF!</v>
      </c>
      <c r="D13" s="38" t="e">
        <f>VLOOKUP($B13,#REF!,4,FALSE)</f>
        <v>#REF!</v>
      </c>
      <c r="E13" s="38" t="e">
        <f>VLOOKUP($B13,#REF!,6,FALSE)</f>
        <v>#REF!</v>
      </c>
      <c r="F13" s="38" t="e">
        <f>VLOOKUP($B13,#REF!,7,FALSE)</f>
        <v>#REF!</v>
      </c>
      <c r="G13" s="45" t="e">
        <f>VLOOKUP(B13,'Of-DGO_DBMyC_0054_2019 Gas'!$A$4:$G$80,7,FALSE)</f>
        <v>#REF!</v>
      </c>
    </row>
    <row r="14" spans="1:7" x14ac:dyDescent="0.2">
      <c r="A14" s="44" t="s">
        <v>786</v>
      </c>
      <c r="B14" s="37" t="e">
        <f>#REF!</f>
        <v>#REF!</v>
      </c>
      <c r="C14" s="38" t="e">
        <f>VLOOKUP($B14,#REF!,3,FALSE)</f>
        <v>#REF!</v>
      </c>
      <c r="D14" s="38" t="e">
        <f>VLOOKUP($B14,#REF!,4,FALSE)</f>
        <v>#REF!</v>
      </c>
      <c r="E14" s="38" t="e">
        <f>VLOOKUP($B14,#REF!,6,FALSE)</f>
        <v>#REF!</v>
      </c>
      <c r="F14" s="38" t="e">
        <f>VLOOKUP($B14,#REF!,7,FALSE)</f>
        <v>#REF!</v>
      </c>
      <c r="G14" s="45" t="e">
        <f>VLOOKUP(B14,'Of-DGO_DBMyC_0054_2019 Gas'!$A$4:$G$80,7,FALSE)</f>
        <v>#REF!</v>
      </c>
    </row>
    <row r="15" spans="1:7" x14ac:dyDescent="0.2">
      <c r="A15" s="44" t="s">
        <v>786</v>
      </c>
      <c r="B15" s="37" t="e">
        <f>#REF!</f>
        <v>#REF!</v>
      </c>
      <c r="C15" s="38" t="e">
        <f>VLOOKUP($B15,#REF!,3,FALSE)</f>
        <v>#REF!</v>
      </c>
      <c r="D15" s="38" t="e">
        <f>VLOOKUP($B15,#REF!,4,FALSE)</f>
        <v>#REF!</v>
      </c>
      <c r="E15" s="38" t="e">
        <f>VLOOKUP($B15,#REF!,6,FALSE)</f>
        <v>#REF!</v>
      </c>
      <c r="F15" s="38" t="e">
        <f>VLOOKUP($B15,#REF!,7,FALSE)</f>
        <v>#REF!</v>
      </c>
      <c r="G15" s="45" t="e">
        <f>VLOOKUP(B15,'Of-DGO_DBMyC_0054_2019 Gas'!$A$4:$G$80,7,FALSE)</f>
        <v>#REF!</v>
      </c>
    </row>
    <row r="16" spans="1:7" x14ac:dyDescent="0.2">
      <c r="A16" s="44" t="s">
        <v>786</v>
      </c>
      <c r="B16" s="37" t="e">
        <f>#REF!</f>
        <v>#REF!</v>
      </c>
      <c r="C16" s="38" t="e">
        <f>VLOOKUP($B16,#REF!,3,FALSE)</f>
        <v>#REF!</v>
      </c>
      <c r="D16" s="38" t="e">
        <f>VLOOKUP($B16,#REF!,4,FALSE)</f>
        <v>#REF!</v>
      </c>
      <c r="E16" s="38" t="e">
        <f>VLOOKUP($B16,#REF!,6,FALSE)</f>
        <v>#REF!</v>
      </c>
      <c r="F16" s="38" t="e">
        <f>VLOOKUP($B16,#REF!,7,FALSE)</f>
        <v>#REF!</v>
      </c>
      <c r="G16" s="45" t="e">
        <f>VLOOKUP(B16,'Of-DGO_DBMyC_0054_2019 Gas'!$A$4:$G$80,7,FALSE)</f>
        <v>#REF!</v>
      </c>
    </row>
    <row r="17" spans="1:7" x14ac:dyDescent="0.2">
      <c r="A17" s="44" t="s">
        <v>786</v>
      </c>
      <c r="B17" s="37" t="e">
        <f>#REF!</f>
        <v>#REF!</v>
      </c>
      <c r="C17" s="38" t="e">
        <f>VLOOKUP($B17,#REF!,3,FALSE)</f>
        <v>#REF!</v>
      </c>
      <c r="D17" s="38" t="e">
        <f>VLOOKUP($B17,#REF!,4,FALSE)</f>
        <v>#REF!</v>
      </c>
      <c r="E17" s="38" t="e">
        <f>VLOOKUP($B17,#REF!,6,FALSE)</f>
        <v>#REF!</v>
      </c>
      <c r="F17" s="38" t="e">
        <f>VLOOKUP($B17,#REF!,7,FALSE)</f>
        <v>#REF!</v>
      </c>
      <c r="G17" s="45" t="e">
        <f>VLOOKUP(B17,'Of-DGO_DBMyC_0054_2019 Gas'!$A$4:$G$80,7,FALSE)</f>
        <v>#REF!</v>
      </c>
    </row>
    <row r="18" spans="1:7" x14ac:dyDescent="0.2">
      <c r="A18" s="44" t="s">
        <v>786</v>
      </c>
      <c r="B18" s="37" t="e">
        <f>#REF!</f>
        <v>#REF!</v>
      </c>
      <c r="C18" s="38" t="e">
        <f>VLOOKUP($B18,#REF!,3,FALSE)</f>
        <v>#REF!</v>
      </c>
      <c r="D18" s="38" t="e">
        <f>VLOOKUP($B18,#REF!,4,FALSE)</f>
        <v>#REF!</v>
      </c>
      <c r="E18" s="38" t="e">
        <f>VLOOKUP($B18,#REF!,6,FALSE)</f>
        <v>#REF!</v>
      </c>
      <c r="F18" s="38" t="e">
        <f>VLOOKUP($B18,#REF!,7,FALSE)</f>
        <v>#REF!</v>
      </c>
      <c r="G18" s="45" t="e">
        <f>VLOOKUP(B18,'Of-DGO_DBMyC_0054_2019 Gas'!$A$4:$G$80,7,FALSE)</f>
        <v>#REF!</v>
      </c>
    </row>
    <row r="19" spans="1:7" x14ac:dyDescent="0.2">
      <c r="A19" s="44" t="s">
        <v>786</v>
      </c>
      <c r="B19" s="37" t="e">
        <f>#REF!</f>
        <v>#REF!</v>
      </c>
      <c r="C19" s="38" t="e">
        <f>VLOOKUP($B19,#REF!,3,FALSE)</f>
        <v>#REF!</v>
      </c>
      <c r="D19" s="38" t="e">
        <f>VLOOKUP($B19,#REF!,4,FALSE)</f>
        <v>#REF!</v>
      </c>
      <c r="E19" s="38" t="e">
        <f>VLOOKUP($B19,#REF!,6,FALSE)</f>
        <v>#REF!</v>
      </c>
      <c r="F19" s="38" t="e">
        <f>VLOOKUP($B19,#REF!,7,FALSE)</f>
        <v>#REF!</v>
      </c>
      <c r="G19" s="45" t="e">
        <f>VLOOKUP(B19,'Of-DGO_DBMyC_0054_2019 Gas'!$A$4:$G$80,7,FALSE)</f>
        <v>#REF!</v>
      </c>
    </row>
    <row r="20" spans="1:7" x14ac:dyDescent="0.2">
      <c r="A20" s="44" t="s">
        <v>786</v>
      </c>
      <c r="B20" s="37" t="e">
        <f>#REF!</f>
        <v>#REF!</v>
      </c>
      <c r="C20" s="38" t="e">
        <f>VLOOKUP($B20,#REF!,3,FALSE)</f>
        <v>#REF!</v>
      </c>
      <c r="D20" s="38" t="e">
        <f>VLOOKUP($B20,#REF!,4,FALSE)</f>
        <v>#REF!</v>
      </c>
      <c r="E20" s="38" t="e">
        <f>VLOOKUP($B20,#REF!,6,FALSE)</f>
        <v>#REF!</v>
      </c>
      <c r="F20" s="38" t="e">
        <f>VLOOKUP($B20,#REF!,7,FALSE)</f>
        <v>#REF!</v>
      </c>
      <c r="G20" s="45" t="e">
        <f>VLOOKUP(B20,'Of-DGO_DBMyC_0054_2019 Gas'!$A$4:$G$80,7,FALSE)</f>
        <v>#REF!</v>
      </c>
    </row>
    <row r="21" spans="1:7" x14ac:dyDescent="0.2">
      <c r="A21" s="44" t="s">
        <v>786</v>
      </c>
      <c r="B21" s="37" t="e">
        <f>#REF!</f>
        <v>#REF!</v>
      </c>
      <c r="C21" s="38" t="e">
        <f>VLOOKUP($B21,#REF!,3,FALSE)</f>
        <v>#REF!</v>
      </c>
      <c r="D21" s="38" t="e">
        <f>VLOOKUP($B21,#REF!,4,FALSE)</f>
        <v>#REF!</v>
      </c>
      <c r="E21" s="38" t="e">
        <f>VLOOKUP($B21,#REF!,6,FALSE)</f>
        <v>#REF!</v>
      </c>
      <c r="F21" s="38" t="e">
        <f>VLOOKUP($B21,#REF!,7,FALSE)</f>
        <v>#REF!</v>
      </c>
      <c r="G21" s="45" t="e">
        <f>VLOOKUP(B21,'Of-DGO_DBMyC_0054_2019 Gas'!$A$4:$G$80,7,FALSE)</f>
        <v>#REF!</v>
      </c>
    </row>
    <row r="22" spans="1:7" x14ac:dyDescent="0.2">
      <c r="A22" s="44" t="s">
        <v>786</v>
      </c>
      <c r="B22" s="37" t="e">
        <f>#REF!</f>
        <v>#REF!</v>
      </c>
      <c r="C22" s="38" t="e">
        <f>VLOOKUP($B22,#REF!,3,FALSE)</f>
        <v>#REF!</v>
      </c>
      <c r="D22" s="38" t="e">
        <f>VLOOKUP($B22,#REF!,4,FALSE)</f>
        <v>#REF!</v>
      </c>
      <c r="E22" s="38" t="e">
        <f>VLOOKUP($B22,#REF!,6,FALSE)</f>
        <v>#REF!</v>
      </c>
      <c r="F22" s="38" t="e">
        <f>VLOOKUP($B22,#REF!,7,FALSE)</f>
        <v>#REF!</v>
      </c>
      <c r="G22" s="45" t="e">
        <f>VLOOKUP(B22,'Of-DGO_DBMyC_0054_2019 Gas'!$A$4:$G$80,7,FALSE)</f>
        <v>#REF!</v>
      </c>
    </row>
    <row r="23" spans="1:7" x14ac:dyDescent="0.2">
      <c r="A23" s="44" t="s">
        <v>786</v>
      </c>
      <c r="B23" s="37" t="e">
        <f>#REF!</f>
        <v>#REF!</v>
      </c>
      <c r="C23" s="38" t="e">
        <f>VLOOKUP($B23,#REF!,3,FALSE)</f>
        <v>#REF!</v>
      </c>
      <c r="D23" s="38" t="e">
        <f>VLOOKUP($B23,#REF!,4,FALSE)</f>
        <v>#REF!</v>
      </c>
      <c r="E23" s="38" t="e">
        <f>VLOOKUP($B23,#REF!,6,FALSE)</f>
        <v>#REF!</v>
      </c>
      <c r="F23" s="38" t="e">
        <f>VLOOKUP($B23,#REF!,7,FALSE)</f>
        <v>#REF!</v>
      </c>
      <c r="G23" s="45" t="e">
        <f>VLOOKUP(B23,'Of-DGO_DBMyC_0054_2019 Gas'!$A$4:$G$80,7,FALSE)</f>
        <v>#REF!</v>
      </c>
    </row>
    <row r="24" spans="1:7" x14ac:dyDescent="0.2">
      <c r="A24" s="44" t="s">
        <v>786</v>
      </c>
      <c r="B24" s="37" t="e">
        <f>#REF!</f>
        <v>#REF!</v>
      </c>
      <c r="C24" s="38" t="e">
        <f>VLOOKUP($B24,#REF!,3,FALSE)</f>
        <v>#REF!</v>
      </c>
      <c r="D24" s="38" t="e">
        <f>VLOOKUP($B24,#REF!,4,FALSE)</f>
        <v>#REF!</v>
      </c>
      <c r="E24" s="38" t="e">
        <f>VLOOKUP($B24,#REF!,6,FALSE)</f>
        <v>#REF!</v>
      </c>
      <c r="F24" s="38" t="e">
        <f>VLOOKUP($B24,#REF!,7,FALSE)</f>
        <v>#REF!</v>
      </c>
      <c r="G24" s="45" t="e">
        <f>VLOOKUP(B24,'Of-DGO_DBMyC_0054_2019 Gas'!$A$4:$G$80,7,FALSE)</f>
        <v>#REF!</v>
      </c>
    </row>
    <row r="25" spans="1:7" x14ac:dyDescent="0.2">
      <c r="A25" s="44" t="s">
        <v>786</v>
      </c>
      <c r="B25" s="37" t="e">
        <f>#REF!</f>
        <v>#REF!</v>
      </c>
      <c r="C25" s="38" t="e">
        <f>VLOOKUP($B25,#REF!,3,FALSE)</f>
        <v>#REF!</v>
      </c>
      <c r="D25" s="38" t="e">
        <f>VLOOKUP($B25,#REF!,4,FALSE)</f>
        <v>#REF!</v>
      </c>
      <c r="E25" s="38" t="e">
        <f>VLOOKUP($B25,#REF!,6,FALSE)</f>
        <v>#REF!</v>
      </c>
      <c r="F25" s="38" t="e">
        <f>VLOOKUP($B25,#REF!,7,FALSE)</f>
        <v>#REF!</v>
      </c>
      <c r="G25" s="45" t="e">
        <f>VLOOKUP(B25,'Of-DGO_DBMyC_0054_2019 Gas'!$A$4:$G$80,7,FALSE)</f>
        <v>#REF!</v>
      </c>
    </row>
    <row r="26" spans="1:7" x14ac:dyDescent="0.2">
      <c r="A26" s="44" t="s">
        <v>786</v>
      </c>
      <c r="B26" s="37" t="e">
        <f>#REF!</f>
        <v>#REF!</v>
      </c>
      <c r="C26" s="38" t="e">
        <f>VLOOKUP($B26,#REF!,3,FALSE)</f>
        <v>#REF!</v>
      </c>
      <c r="D26" s="38" t="e">
        <f>VLOOKUP($B26,#REF!,4,FALSE)</f>
        <v>#REF!</v>
      </c>
      <c r="E26" s="38" t="e">
        <f>VLOOKUP($B26,#REF!,6,FALSE)</f>
        <v>#REF!</v>
      </c>
      <c r="F26" s="38" t="e">
        <f>VLOOKUP($B26,#REF!,7,FALSE)</f>
        <v>#REF!</v>
      </c>
      <c r="G26" s="45" t="e">
        <f>VLOOKUP(B26,'Of-DGO_DBMyC_0054_2019 Gas'!$A$4:$G$80,7,FALSE)</f>
        <v>#REF!</v>
      </c>
    </row>
    <row r="27" spans="1:7" x14ac:dyDescent="0.2">
      <c r="A27" s="44" t="s">
        <v>786</v>
      </c>
      <c r="B27" s="37" t="e">
        <f>#REF!</f>
        <v>#REF!</v>
      </c>
      <c r="C27" s="38" t="e">
        <f>VLOOKUP($B27,#REF!,3,FALSE)</f>
        <v>#REF!</v>
      </c>
      <c r="D27" s="38" t="e">
        <f>VLOOKUP($B27,#REF!,4,FALSE)</f>
        <v>#REF!</v>
      </c>
      <c r="E27" s="38" t="e">
        <f>VLOOKUP($B27,#REF!,6,FALSE)</f>
        <v>#REF!</v>
      </c>
      <c r="F27" s="38" t="e">
        <f>VLOOKUP($B27,#REF!,7,FALSE)</f>
        <v>#REF!</v>
      </c>
      <c r="G27" s="45" t="e">
        <f>VLOOKUP(B27,'Of-DGO_DBMyC_0054_2019 Gas'!$A$4:$G$80,7,FALSE)</f>
        <v>#REF!</v>
      </c>
    </row>
    <row r="28" spans="1:7" x14ac:dyDescent="0.2">
      <c r="A28" s="44" t="s">
        <v>786</v>
      </c>
      <c r="B28" s="37" t="e">
        <f>#REF!</f>
        <v>#REF!</v>
      </c>
      <c r="C28" s="38" t="e">
        <f>VLOOKUP($B28,#REF!,3,FALSE)</f>
        <v>#REF!</v>
      </c>
      <c r="D28" s="38" t="e">
        <f>VLOOKUP($B28,#REF!,4,FALSE)</f>
        <v>#REF!</v>
      </c>
      <c r="E28" s="38" t="e">
        <f>VLOOKUP($B28,#REF!,6,FALSE)</f>
        <v>#REF!</v>
      </c>
      <c r="F28" s="38" t="e">
        <f>VLOOKUP($B28,#REF!,7,FALSE)</f>
        <v>#REF!</v>
      </c>
      <c r="G28" s="45" t="e">
        <f>VLOOKUP(B28,'Of-DGO_DBMyC_0054_2019 Gas'!$A$4:$G$80,7,FALSE)</f>
        <v>#REF!</v>
      </c>
    </row>
    <row r="29" spans="1:7" x14ac:dyDescent="0.2">
      <c r="A29" s="44" t="s">
        <v>786</v>
      </c>
      <c r="B29" s="37" t="e">
        <f>#REF!</f>
        <v>#REF!</v>
      </c>
      <c r="C29" s="38" t="e">
        <f>VLOOKUP($B29,#REF!,3,FALSE)</f>
        <v>#REF!</v>
      </c>
      <c r="D29" s="38" t="e">
        <f>VLOOKUP($B29,#REF!,4,FALSE)</f>
        <v>#REF!</v>
      </c>
      <c r="E29" s="38" t="e">
        <f>VLOOKUP($B29,#REF!,6,FALSE)</f>
        <v>#REF!</v>
      </c>
      <c r="F29" s="38" t="e">
        <f>VLOOKUP($B29,#REF!,7,FALSE)</f>
        <v>#REF!</v>
      </c>
      <c r="G29" s="45" t="e">
        <f>VLOOKUP(B29,'Of-DGO_DBMyC_0054_2019 Gas'!$A$4:$G$80,7,FALSE)</f>
        <v>#REF!</v>
      </c>
    </row>
    <row r="30" spans="1:7" x14ac:dyDescent="0.2">
      <c r="A30" s="44" t="s">
        <v>786</v>
      </c>
      <c r="B30" s="37" t="e">
        <f>#REF!</f>
        <v>#REF!</v>
      </c>
      <c r="C30" s="38" t="e">
        <f>VLOOKUP($B30,#REF!,3,FALSE)</f>
        <v>#REF!</v>
      </c>
      <c r="D30" s="38" t="e">
        <f>VLOOKUP($B30,#REF!,4,FALSE)</f>
        <v>#REF!</v>
      </c>
      <c r="E30" s="38" t="e">
        <f>VLOOKUP($B30,#REF!,6,FALSE)</f>
        <v>#REF!</v>
      </c>
      <c r="F30" s="38" t="e">
        <f>VLOOKUP($B30,#REF!,7,FALSE)</f>
        <v>#REF!</v>
      </c>
      <c r="G30" s="45" t="e">
        <f>VLOOKUP(B30,'Of-DGO_DBMyC_0054_2019 Gas'!$A$4:$G$80,7,FALSE)</f>
        <v>#REF!</v>
      </c>
    </row>
    <row r="31" spans="1:7" x14ac:dyDescent="0.2">
      <c r="A31" s="44" t="s">
        <v>786</v>
      </c>
      <c r="B31" s="37" t="e">
        <f>#REF!</f>
        <v>#REF!</v>
      </c>
      <c r="C31" s="38" t="e">
        <f>VLOOKUP($B31,#REF!,3,FALSE)</f>
        <v>#REF!</v>
      </c>
      <c r="D31" s="38" t="e">
        <f>VLOOKUP($B31,#REF!,4,FALSE)</f>
        <v>#REF!</v>
      </c>
      <c r="E31" s="38" t="e">
        <f>VLOOKUP($B31,#REF!,6,FALSE)</f>
        <v>#REF!</v>
      </c>
      <c r="F31" s="38" t="e">
        <f>VLOOKUP($B31,#REF!,7,FALSE)</f>
        <v>#REF!</v>
      </c>
      <c r="G31" s="45" t="e">
        <f>VLOOKUP(B31,'Of-DGO_DBMyC_0054_2019 Gas'!$A$4:$G$80,7,FALSE)</f>
        <v>#REF!</v>
      </c>
    </row>
    <row r="32" spans="1:7" x14ac:dyDescent="0.2">
      <c r="A32" s="44" t="s">
        <v>786</v>
      </c>
      <c r="B32" s="37" t="e">
        <f>#REF!</f>
        <v>#REF!</v>
      </c>
      <c r="C32" s="38" t="e">
        <f>VLOOKUP($B32,#REF!,3,FALSE)</f>
        <v>#REF!</v>
      </c>
      <c r="D32" s="38" t="e">
        <f>VLOOKUP($B32,#REF!,4,FALSE)</f>
        <v>#REF!</v>
      </c>
      <c r="E32" s="38" t="e">
        <f>VLOOKUP($B32,#REF!,6,FALSE)</f>
        <v>#REF!</v>
      </c>
      <c r="F32" s="38" t="e">
        <f>VLOOKUP($B32,#REF!,7,FALSE)</f>
        <v>#REF!</v>
      </c>
      <c r="G32" s="45" t="e">
        <f>VLOOKUP(B32,'Of-DGO_DBMyC_0054_2019 Gas'!$A$4:$G$80,7,FALSE)</f>
        <v>#REF!</v>
      </c>
    </row>
    <row r="33" spans="1:7" x14ac:dyDescent="0.2">
      <c r="A33" s="44" t="s">
        <v>786</v>
      </c>
      <c r="B33" s="37" t="e">
        <f>#REF!</f>
        <v>#REF!</v>
      </c>
      <c r="C33" s="38" t="e">
        <f>VLOOKUP($B33,#REF!,3,FALSE)</f>
        <v>#REF!</v>
      </c>
      <c r="D33" s="38" t="e">
        <f>VLOOKUP($B33,#REF!,4,FALSE)</f>
        <v>#REF!</v>
      </c>
      <c r="E33" s="38" t="e">
        <f>VLOOKUP($B33,#REF!,6,FALSE)</f>
        <v>#REF!</v>
      </c>
      <c r="F33" s="38" t="e">
        <f>VLOOKUP($B33,#REF!,7,FALSE)</f>
        <v>#REF!</v>
      </c>
      <c r="G33" s="45" t="e">
        <f>VLOOKUP(B33,'Of-DGO_DBMyC_0054_2019 Gas'!$A$4:$G$80,7,FALSE)</f>
        <v>#REF!</v>
      </c>
    </row>
    <row r="34" spans="1:7" x14ac:dyDescent="0.2">
      <c r="A34" s="44" t="s">
        <v>786</v>
      </c>
      <c r="B34" s="37" t="e">
        <f>#REF!</f>
        <v>#REF!</v>
      </c>
      <c r="C34" s="38" t="e">
        <f>VLOOKUP($B34,#REF!,3,FALSE)</f>
        <v>#REF!</v>
      </c>
      <c r="D34" s="38" t="e">
        <f>VLOOKUP($B34,#REF!,4,FALSE)</f>
        <v>#REF!</v>
      </c>
      <c r="E34" s="38" t="e">
        <f>VLOOKUP($B34,#REF!,6,FALSE)</f>
        <v>#REF!</v>
      </c>
      <c r="F34" s="38" t="e">
        <f>VLOOKUP($B34,#REF!,7,FALSE)</f>
        <v>#REF!</v>
      </c>
      <c r="G34" s="45" t="e">
        <f>VLOOKUP(B34,'Of-DGO_DBMyC_0054_2019 Gas'!$A$4:$G$80,7,FALSE)</f>
        <v>#REF!</v>
      </c>
    </row>
    <row r="35" spans="1:7" x14ac:dyDescent="0.2">
      <c r="A35" s="44" t="s">
        <v>786</v>
      </c>
      <c r="B35" s="37" t="e">
        <f>#REF!</f>
        <v>#REF!</v>
      </c>
      <c r="C35" s="38" t="e">
        <f>VLOOKUP($B35,#REF!,3,FALSE)</f>
        <v>#REF!</v>
      </c>
      <c r="D35" s="38" t="e">
        <f>VLOOKUP($B35,#REF!,4,FALSE)</f>
        <v>#REF!</v>
      </c>
      <c r="E35" s="38" t="e">
        <f>VLOOKUP($B35,#REF!,6,FALSE)</f>
        <v>#REF!</v>
      </c>
      <c r="F35" s="38" t="e">
        <f>VLOOKUP($B35,#REF!,7,FALSE)</f>
        <v>#REF!</v>
      </c>
      <c r="G35" s="45" t="e">
        <f>VLOOKUP(B35,'Of-DGO_DBMyC_0054_2019 Gas'!$A$4:$G$80,7,FALSE)</f>
        <v>#REF!</v>
      </c>
    </row>
    <row r="36" spans="1:7" x14ac:dyDescent="0.2">
      <c r="A36" s="44" t="s">
        <v>786</v>
      </c>
      <c r="B36" s="37" t="e">
        <f>#REF!</f>
        <v>#REF!</v>
      </c>
      <c r="C36" s="38" t="e">
        <f>VLOOKUP($B36,#REF!,3,FALSE)</f>
        <v>#REF!</v>
      </c>
      <c r="D36" s="38" t="e">
        <f>VLOOKUP($B36,#REF!,4,FALSE)</f>
        <v>#REF!</v>
      </c>
      <c r="E36" s="38" t="e">
        <f>VLOOKUP($B36,#REF!,6,FALSE)</f>
        <v>#REF!</v>
      </c>
      <c r="F36" s="38" t="e">
        <f>VLOOKUP($B36,#REF!,7,FALSE)</f>
        <v>#REF!</v>
      </c>
      <c r="G36" s="45" t="e">
        <f>VLOOKUP(B36,'Of-DGO_DBMyC_0054_2019 Gas'!$A$4:$G$80,7,FALSE)</f>
        <v>#REF!</v>
      </c>
    </row>
    <row r="37" spans="1:7" x14ac:dyDescent="0.2">
      <c r="A37" s="44" t="s">
        <v>786</v>
      </c>
      <c r="B37" s="37" t="e">
        <f>#REF!</f>
        <v>#REF!</v>
      </c>
      <c r="C37" s="38" t="e">
        <f>VLOOKUP($B37,#REF!,3,FALSE)</f>
        <v>#REF!</v>
      </c>
      <c r="D37" s="38" t="e">
        <f>VLOOKUP($B37,#REF!,4,FALSE)</f>
        <v>#REF!</v>
      </c>
      <c r="E37" s="38" t="e">
        <f>VLOOKUP($B37,#REF!,6,FALSE)</f>
        <v>#REF!</v>
      </c>
      <c r="F37" s="38" t="e">
        <f>VLOOKUP($B37,#REF!,7,FALSE)</f>
        <v>#REF!</v>
      </c>
      <c r="G37" s="45" t="e">
        <f>VLOOKUP(B37,'Of-DGO_DBMyC_0054_2019 Gas'!$A$4:$G$80,7,FALSE)</f>
        <v>#REF!</v>
      </c>
    </row>
    <row r="38" spans="1:7" x14ac:dyDescent="0.2">
      <c r="A38" s="44" t="s">
        <v>786</v>
      </c>
      <c r="B38" s="37" t="e">
        <f>#REF!</f>
        <v>#REF!</v>
      </c>
      <c r="C38" s="38" t="e">
        <f>VLOOKUP($B38,#REF!,3,FALSE)</f>
        <v>#REF!</v>
      </c>
      <c r="D38" s="38" t="e">
        <f>VLOOKUP($B38,#REF!,4,FALSE)</f>
        <v>#REF!</v>
      </c>
      <c r="E38" s="38" t="e">
        <f>VLOOKUP($B38,#REF!,6,FALSE)</f>
        <v>#REF!</v>
      </c>
      <c r="F38" s="38" t="e">
        <f>VLOOKUP($B38,#REF!,7,FALSE)</f>
        <v>#REF!</v>
      </c>
      <c r="G38" s="45" t="e">
        <f>VLOOKUP(B38,'Of-DGO_DBMyC_0054_2019 Gas'!$A$4:$G$80,7,FALSE)</f>
        <v>#REF!</v>
      </c>
    </row>
    <row r="39" spans="1:7" x14ac:dyDescent="0.2">
      <c r="A39" s="44" t="s">
        <v>786</v>
      </c>
      <c r="B39" s="37" t="e">
        <f>#REF!</f>
        <v>#REF!</v>
      </c>
      <c r="C39" s="38" t="e">
        <f>VLOOKUP($B39,#REF!,3,FALSE)</f>
        <v>#REF!</v>
      </c>
      <c r="D39" s="38" t="e">
        <f>VLOOKUP($B39,#REF!,4,FALSE)</f>
        <v>#REF!</v>
      </c>
      <c r="E39" s="38" t="e">
        <f>VLOOKUP($B39,#REF!,6,FALSE)</f>
        <v>#REF!</v>
      </c>
      <c r="F39" s="38" t="e">
        <f>VLOOKUP($B39,#REF!,7,FALSE)</f>
        <v>#REF!</v>
      </c>
      <c r="G39" s="45" t="e">
        <f>VLOOKUP(B39,'Of-DGO_DBMyC_0054_2019 Gas'!$A$4:$G$80,7,FALSE)</f>
        <v>#REF!</v>
      </c>
    </row>
    <row r="40" spans="1:7" x14ac:dyDescent="0.2">
      <c r="A40" s="44" t="s">
        <v>786</v>
      </c>
      <c r="B40" s="37" t="e">
        <f>#REF!</f>
        <v>#REF!</v>
      </c>
      <c r="C40" s="38" t="e">
        <f>VLOOKUP($B40,#REF!,3,FALSE)</f>
        <v>#REF!</v>
      </c>
      <c r="D40" s="38" t="e">
        <f>VLOOKUP($B40,#REF!,4,FALSE)</f>
        <v>#REF!</v>
      </c>
      <c r="E40" s="38" t="e">
        <f>VLOOKUP($B40,#REF!,6,FALSE)</f>
        <v>#REF!</v>
      </c>
      <c r="F40" s="38" t="e">
        <f>VLOOKUP($B40,#REF!,7,FALSE)</f>
        <v>#REF!</v>
      </c>
      <c r="G40" s="45" t="e">
        <f>VLOOKUP(B40,'Of-DGO_DBMyC_0054_2019 Gas'!$A$4:$G$80,7,FALSE)</f>
        <v>#REF!</v>
      </c>
    </row>
    <row r="41" spans="1:7" x14ac:dyDescent="0.2">
      <c r="A41" s="44" t="s">
        <v>786</v>
      </c>
      <c r="B41" s="37" t="e">
        <f>#REF!</f>
        <v>#REF!</v>
      </c>
      <c r="C41" s="38" t="e">
        <f>VLOOKUP($B41,#REF!,3,FALSE)</f>
        <v>#REF!</v>
      </c>
      <c r="D41" s="38" t="e">
        <f>VLOOKUP($B41,#REF!,4,FALSE)</f>
        <v>#REF!</v>
      </c>
      <c r="E41" s="38" t="e">
        <f>VLOOKUP($B41,#REF!,6,FALSE)</f>
        <v>#REF!</v>
      </c>
      <c r="F41" s="38" t="e">
        <f>VLOOKUP($B41,#REF!,7,FALSE)</f>
        <v>#REF!</v>
      </c>
      <c r="G41" s="45" t="e">
        <f>VLOOKUP(B41,'Of-DGO_DBMyC_0054_2019 Gas'!$A$4:$G$80,7,FALSE)</f>
        <v>#REF!</v>
      </c>
    </row>
    <row r="42" spans="1:7" x14ac:dyDescent="0.2">
      <c r="A42" s="44" t="s">
        <v>786</v>
      </c>
      <c r="B42" s="37" t="e">
        <f>#REF!</f>
        <v>#REF!</v>
      </c>
      <c r="C42" s="38" t="e">
        <f>VLOOKUP($B42,#REF!,3,FALSE)</f>
        <v>#REF!</v>
      </c>
      <c r="D42" s="38" t="e">
        <f>VLOOKUP($B42,#REF!,4,FALSE)</f>
        <v>#REF!</v>
      </c>
      <c r="E42" s="38" t="e">
        <f>VLOOKUP($B42,#REF!,6,FALSE)</f>
        <v>#REF!</v>
      </c>
      <c r="F42" s="38" t="e">
        <f>VLOOKUP($B42,#REF!,7,FALSE)</f>
        <v>#REF!</v>
      </c>
      <c r="G42" s="45" t="e">
        <f>VLOOKUP(B42,'Of-DGO_DBMyC_0054_2019 Gas'!$A$4:$G$80,7,FALSE)</f>
        <v>#REF!</v>
      </c>
    </row>
    <row r="43" spans="1:7" x14ac:dyDescent="0.2">
      <c r="A43" s="44" t="s">
        <v>786</v>
      </c>
      <c r="B43" s="37" t="e">
        <f>#REF!</f>
        <v>#REF!</v>
      </c>
      <c r="C43" s="38" t="e">
        <f>VLOOKUP($B43,#REF!,3,FALSE)</f>
        <v>#REF!</v>
      </c>
      <c r="D43" s="38" t="e">
        <f>VLOOKUP($B43,#REF!,4,FALSE)</f>
        <v>#REF!</v>
      </c>
      <c r="E43" s="38" t="e">
        <f>VLOOKUP($B43,#REF!,6,FALSE)</f>
        <v>#REF!</v>
      </c>
      <c r="F43" s="38" t="e">
        <f>VLOOKUP($B43,#REF!,7,FALSE)</f>
        <v>#REF!</v>
      </c>
      <c r="G43" s="45" t="e">
        <f>VLOOKUP(B43,'Of-DGO_DBMyC_0054_2019 Gas'!$A$4:$G$80,7,FALSE)</f>
        <v>#REF!</v>
      </c>
    </row>
    <row r="44" spans="1:7" x14ac:dyDescent="0.2">
      <c r="A44" s="44" t="s">
        <v>786</v>
      </c>
      <c r="B44" s="37" t="e">
        <f>#REF!</f>
        <v>#REF!</v>
      </c>
      <c r="C44" s="38" t="e">
        <f>VLOOKUP($B44,#REF!,3,FALSE)</f>
        <v>#REF!</v>
      </c>
      <c r="D44" s="38" t="e">
        <f>VLOOKUP($B44,#REF!,4,FALSE)</f>
        <v>#REF!</v>
      </c>
      <c r="E44" s="38" t="e">
        <f>VLOOKUP($B44,#REF!,6,FALSE)</f>
        <v>#REF!</v>
      </c>
      <c r="F44" s="38" t="e">
        <f>VLOOKUP($B44,#REF!,7,FALSE)</f>
        <v>#REF!</v>
      </c>
      <c r="G44" s="45" t="e">
        <f>VLOOKUP(B44,'Of-DGO_DBMyC_0054_2019 Gas'!$A$4:$G$80,7,FALSE)</f>
        <v>#REF!</v>
      </c>
    </row>
    <row r="45" spans="1:7" x14ac:dyDescent="0.2">
      <c r="A45" s="44" t="s">
        <v>786</v>
      </c>
      <c r="B45" s="37" t="e">
        <f>#REF!</f>
        <v>#REF!</v>
      </c>
      <c r="C45" s="38" t="e">
        <f>VLOOKUP($B45,#REF!,3,FALSE)</f>
        <v>#REF!</v>
      </c>
      <c r="D45" s="38" t="e">
        <f>VLOOKUP($B45,#REF!,4,FALSE)</f>
        <v>#REF!</v>
      </c>
      <c r="E45" s="38" t="e">
        <f>VLOOKUP($B45,#REF!,6,FALSE)</f>
        <v>#REF!</v>
      </c>
      <c r="F45" s="38" t="e">
        <f>VLOOKUP($B45,#REF!,7,FALSE)</f>
        <v>#REF!</v>
      </c>
      <c r="G45" s="45" t="e">
        <f>VLOOKUP(B45,'Of-DGO_DBMyC_0054_2019 Gas'!$A$4:$G$80,7,FALSE)</f>
        <v>#REF!</v>
      </c>
    </row>
    <row r="46" spans="1:7" x14ac:dyDescent="0.2">
      <c r="A46" s="44" t="s">
        <v>786</v>
      </c>
      <c r="B46" s="37" t="e">
        <f>#REF!</f>
        <v>#REF!</v>
      </c>
      <c r="C46" s="38" t="e">
        <f>VLOOKUP($B46,#REF!,3,FALSE)</f>
        <v>#REF!</v>
      </c>
      <c r="D46" s="38" t="e">
        <f>VLOOKUP($B46,#REF!,4,FALSE)</f>
        <v>#REF!</v>
      </c>
      <c r="E46" s="38" t="e">
        <f>VLOOKUP($B46,#REF!,6,FALSE)</f>
        <v>#REF!</v>
      </c>
      <c r="F46" s="38" t="e">
        <f>VLOOKUP($B46,#REF!,7,FALSE)</f>
        <v>#REF!</v>
      </c>
      <c r="G46" s="45" t="e">
        <f>VLOOKUP(B46,'Of-DGO_DBMyC_0054_2019 Gas'!$A$4:$G$80,7,FALSE)</f>
        <v>#REF!</v>
      </c>
    </row>
    <row r="47" spans="1:7" x14ac:dyDescent="0.2">
      <c r="A47" s="44" t="s">
        <v>786</v>
      </c>
      <c r="B47" s="37" t="e">
        <f>#REF!</f>
        <v>#REF!</v>
      </c>
      <c r="C47" s="38" t="e">
        <f>VLOOKUP($B47,#REF!,3,FALSE)</f>
        <v>#REF!</v>
      </c>
      <c r="D47" s="38" t="e">
        <f>VLOOKUP($B47,#REF!,4,FALSE)</f>
        <v>#REF!</v>
      </c>
      <c r="E47" s="38" t="e">
        <f>VLOOKUP($B47,#REF!,6,FALSE)</f>
        <v>#REF!</v>
      </c>
      <c r="F47" s="38" t="e">
        <f>VLOOKUP($B47,#REF!,7,FALSE)</f>
        <v>#REF!</v>
      </c>
      <c r="G47" s="45" t="e">
        <f>VLOOKUP(B47,'Of-DGO_DBMyC_0054_2019 Gas'!$A$4:$G$80,7,FALSE)</f>
        <v>#REF!</v>
      </c>
    </row>
    <row r="48" spans="1:7" x14ac:dyDescent="0.2">
      <c r="A48" s="44" t="s">
        <v>786</v>
      </c>
      <c r="B48" s="37" t="e">
        <f>#REF!</f>
        <v>#REF!</v>
      </c>
      <c r="C48" s="38" t="e">
        <f>VLOOKUP($B48,#REF!,3,FALSE)</f>
        <v>#REF!</v>
      </c>
      <c r="D48" s="38" t="e">
        <f>VLOOKUP($B48,#REF!,4,FALSE)</f>
        <v>#REF!</v>
      </c>
      <c r="E48" s="38" t="e">
        <f>VLOOKUP($B48,#REF!,6,FALSE)</f>
        <v>#REF!</v>
      </c>
      <c r="F48" s="38" t="e">
        <f>VLOOKUP($B48,#REF!,7,FALSE)</f>
        <v>#REF!</v>
      </c>
      <c r="G48" s="45" t="e">
        <f>VLOOKUP(B48,'Of-DGO_DBMyC_0054_2019 Gas'!$A$4:$G$80,7,FALSE)</f>
        <v>#REF!</v>
      </c>
    </row>
    <row r="49" spans="1:7" x14ac:dyDescent="0.2">
      <c r="A49" s="44" t="s">
        <v>786</v>
      </c>
      <c r="B49" s="37" t="e">
        <f>#REF!</f>
        <v>#REF!</v>
      </c>
      <c r="C49" s="38" t="e">
        <f>VLOOKUP($B49,#REF!,3,FALSE)</f>
        <v>#REF!</v>
      </c>
      <c r="D49" s="38" t="e">
        <f>VLOOKUP($B49,#REF!,4,FALSE)</f>
        <v>#REF!</v>
      </c>
      <c r="E49" s="38" t="e">
        <f>VLOOKUP($B49,#REF!,6,FALSE)</f>
        <v>#REF!</v>
      </c>
      <c r="F49" s="38" t="e">
        <f>VLOOKUP($B49,#REF!,7,FALSE)</f>
        <v>#REF!</v>
      </c>
      <c r="G49" s="45" t="e">
        <f>VLOOKUP(B49,'Of-DGO_DBMyC_0054_2019 Gas'!$A$4:$G$80,7,FALSE)</f>
        <v>#REF!</v>
      </c>
    </row>
    <row r="50" spans="1:7" x14ac:dyDescent="0.2">
      <c r="A50" s="44" t="s">
        <v>786</v>
      </c>
      <c r="B50" s="37" t="e">
        <f>#REF!</f>
        <v>#REF!</v>
      </c>
      <c r="C50" s="38" t="e">
        <f>VLOOKUP($B50,#REF!,3,FALSE)</f>
        <v>#REF!</v>
      </c>
      <c r="D50" s="38" t="e">
        <f>VLOOKUP($B50,#REF!,4,FALSE)</f>
        <v>#REF!</v>
      </c>
      <c r="E50" s="38" t="e">
        <f>VLOOKUP($B50,#REF!,6,FALSE)</f>
        <v>#REF!</v>
      </c>
      <c r="F50" s="38" t="e">
        <f>VLOOKUP($B50,#REF!,7,FALSE)</f>
        <v>#REF!</v>
      </c>
      <c r="G50" s="45" t="e">
        <f>VLOOKUP(B50,'Of-DGO_DBMyC_0054_2019 Gas'!$A$4:$G$80,7,FALSE)</f>
        <v>#REF!</v>
      </c>
    </row>
    <row r="51" spans="1:7" x14ac:dyDescent="0.2">
      <c r="A51" s="44" t="s">
        <v>786</v>
      </c>
      <c r="B51" s="37" t="e">
        <f>#REF!</f>
        <v>#REF!</v>
      </c>
      <c r="C51" s="38" t="e">
        <f>VLOOKUP($B51,#REF!,3,FALSE)</f>
        <v>#REF!</v>
      </c>
      <c r="D51" s="38" t="e">
        <f>VLOOKUP($B51,#REF!,4,FALSE)</f>
        <v>#REF!</v>
      </c>
      <c r="E51" s="38" t="e">
        <f>VLOOKUP($B51,#REF!,6,FALSE)</f>
        <v>#REF!</v>
      </c>
      <c r="F51" s="38" t="e">
        <f>VLOOKUP($B51,#REF!,7,FALSE)</f>
        <v>#REF!</v>
      </c>
      <c r="G51" s="45" t="e">
        <f>VLOOKUP(B51,'Of-DGO_DBMyC_0054_2019 Gas'!$A$4:$G$80,7,FALSE)</f>
        <v>#REF!</v>
      </c>
    </row>
    <row r="52" spans="1:7" x14ac:dyDescent="0.2">
      <c r="A52" s="44" t="s">
        <v>786</v>
      </c>
      <c r="B52" s="37" t="e">
        <f>#REF!</f>
        <v>#REF!</v>
      </c>
      <c r="C52" s="38" t="e">
        <f>VLOOKUP($B52,#REF!,3,FALSE)</f>
        <v>#REF!</v>
      </c>
      <c r="D52" s="38" t="e">
        <f>VLOOKUP($B52,#REF!,4,FALSE)</f>
        <v>#REF!</v>
      </c>
      <c r="E52" s="38" t="e">
        <f>VLOOKUP($B52,#REF!,6,FALSE)</f>
        <v>#REF!</v>
      </c>
      <c r="F52" s="38" t="e">
        <f>VLOOKUP($B52,#REF!,7,FALSE)</f>
        <v>#REF!</v>
      </c>
      <c r="G52" s="45" t="e">
        <f>VLOOKUP(B52,'Of-DGO_DBMyC_0054_2019 Gas'!$A$4:$G$80,7,FALSE)</f>
        <v>#REF!</v>
      </c>
    </row>
    <row r="53" spans="1:7" x14ac:dyDescent="0.2">
      <c r="A53" s="44" t="s">
        <v>786</v>
      </c>
      <c r="B53" s="37" t="e">
        <f>#REF!</f>
        <v>#REF!</v>
      </c>
      <c r="C53" s="38" t="e">
        <f>VLOOKUP($B53,#REF!,3,FALSE)</f>
        <v>#REF!</v>
      </c>
      <c r="D53" s="38" t="e">
        <f>VLOOKUP($B53,#REF!,4,FALSE)</f>
        <v>#REF!</v>
      </c>
      <c r="E53" s="38" t="e">
        <f>VLOOKUP($B53,#REF!,6,FALSE)</f>
        <v>#REF!</v>
      </c>
      <c r="F53" s="38" t="e">
        <f>VLOOKUP($B53,#REF!,7,FALSE)</f>
        <v>#REF!</v>
      </c>
      <c r="G53" s="45" t="e">
        <f>VLOOKUP(B53,'Of-DGO_DBMyC_0054_2019 Gas'!$A$4:$G$80,7,FALSE)</f>
        <v>#REF!</v>
      </c>
    </row>
    <row r="54" spans="1:7" x14ac:dyDescent="0.2">
      <c r="A54" s="44" t="s">
        <v>786</v>
      </c>
      <c r="B54" s="37" t="e">
        <f>#REF!</f>
        <v>#REF!</v>
      </c>
      <c r="C54" s="38" t="e">
        <f>VLOOKUP($B54,#REF!,3,FALSE)</f>
        <v>#REF!</v>
      </c>
      <c r="D54" s="38" t="e">
        <f>VLOOKUP($B54,#REF!,4,FALSE)</f>
        <v>#REF!</v>
      </c>
      <c r="E54" s="38" t="e">
        <f>VLOOKUP($B54,#REF!,6,FALSE)</f>
        <v>#REF!</v>
      </c>
      <c r="F54" s="38" t="e">
        <f>VLOOKUP($B54,#REF!,7,FALSE)</f>
        <v>#REF!</v>
      </c>
      <c r="G54" s="45" t="e">
        <f>VLOOKUP(B54,'Of-DGO_DBMyC_0054_2019 Gas'!$A$4:$G$80,7,FALSE)</f>
        <v>#REF!</v>
      </c>
    </row>
    <row r="55" spans="1:7" x14ac:dyDescent="0.2">
      <c r="A55" s="44" t="s">
        <v>786</v>
      </c>
      <c r="B55" s="37" t="e">
        <f>#REF!</f>
        <v>#REF!</v>
      </c>
      <c r="C55" s="38" t="e">
        <f>VLOOKUP($B55,#REF!,3,FALSE)</f>
        <v>#REF!</v>
      </c>
      <c r="D55" s="38" t="e">
        <f>VLOOKUP($B55,#REF!,4,FALSE)</f>
        <v>#REF!</v>
      </c>
      <c r="E55" s="38" t="e">
        <f>VLOOKUP($B55,#REF!,6,FALSE)</f>
        <v>#REF!</v>
      </c>
      <c r="F55" s="38" t="e">
        <f>VLOOKUP($B55,#REF!,7,FALSE)</f>
        <v>#REF!</v>
      </c>
      <c r="G55" s="45" t="e">
        <f>VLOOKUP(B55,'Of-DGO_DBMyC_0054_2019 Gas'!$A$4:$G$80,7,FALSE)</f>
        <v>#REF!</v>
      </c>
    </row>
    <row r="56" spans="1:7" x14ac:dyDescent="0.2">
      <c r="A56" s="44" t="s">
        <v>786</v>
      </c>
      <c r="B56" s="37" t="e">
        <f>#REF!</f>
        <v>#REF!</v>
      </c>
      <c r="C56" s="38" t="e">
        <f>VLOOKUP($B56,#REF!,3,FALSE)</f>
        <v>#REF!</v>
      </c>
      <c r="D56" s="38" t="e">
        <f>VLOOKUP($B56,#REF!,4,FALSE)</f>
        <v>#REF!</v>
      </c>
      <c r="E56" s="38" t="e">
        <f>VLOOKUP($B56,#REF!,6,FALSE)</f>
        <v>#REF!</v>
      </c>
      <c r="F56" s="38" t="e">
        <f>VLOOKUP($B56,#REF!,7,FALSE)</f>
        <v>#REF!</v>
      </c>
      <c r="G56" s="45" t="e">
        <f>VLOOKUP(B56,'Of-DGO_DBMyC_0054_2019 Gas'!$A$4:$G$80,7,FALSE)</f>
        <v>#REF!</v>
      </c>
    </row>
    <row r="57" spans="1:7" x14ac:dyDescent="0.2">
      <c r="A57" s="44" t="s">
        <v>786</v>
      </c>
      <c r="B57" s="37" t="e">
        <f>#REF!</f>
        <v>#REF!</v>
      </c>
      <c r="C57" s="38" t="e">
        <f>VLOOKUP($B57,#REF!,3,FALSE)</f>
        <v>#REF!</v>
      </c>
      <c r="D57" s="38" t="e">
        <f>VLOOKUP($B57,#REF!,4,FALSE)</f>
        <v>#REF!</v>
      </c>
      <c r="E57" s="38" t="e">
        <f>VLOOKUP($B57,#REF!,6,FALSE)</f>
        <v>#REF!</v>
      </c>
      <c r="F57" s="38" t="e">
        <f>VLOOKUP($B57,#REF!,7,FALSE)</f>
        <v>#REF!</v>
      </c>
      <c r="G57" s="45" t="e">
        <f>VLOOKUP(B57,'Of-DGO_DBMyC_0054_2019 Gas'!$A$4:$G$80,7,FALSE)</f>
        <v>#REF!</v>
      </c>
    </row>
    <row r="58" spans="1:7" x14ac:dyDescent="0.2">
      <c r="A58" s="44" t="s">
        <v>786</v>
      </c>
      <c r="B58" s="37" t="e">
        <f>#REF!</f>
        <v>#REF!</v>
      </c>
      <c r="C58" s="38" t="e">
        <f>VLOOKUP($B58,#REF!,3,FALSE)</f>
        <v>#REF!</v>
      </c>
      <c r="D58" s="38" t="e">
        <f>VLOOKUP($B58,#REF!,4,FALSE)</f>
        <v>#REF!</v>
      </c>
      <c r="E58" s="38" t="e">
        <f>VLOOKUP($B58,#REF!,6,FALSE)</f>
        <v>#REF!</v>
      </c>
      <c r="F58" s="38" t="e">
        <f>VLOOKUP($B58,#REF!,7,FALSE)</f>
        <v>#REF!</v>
      </c>
      <c r="G58" s="45" t="e">
        <f>VLOOKUP(B58,'Of-DGO_DBMyC_0054_2019 Gas'!$A$4:$G$80,7,FALSE)</f>
        <v>#REF!</v>
      </c>
    </row>
    <row r="59" spans="1:7" x14ac:dyDescent="0.2">
      <c r="A59" s="44" t="s">
        <v>786</v>
      </c>
      <c r="B59" s="37" t="e">
        <f>#REF!</f>
        <v>#REF!</v>
      </c>
      <c r="C59" s="38" t="e">
        <f>VLOOKUP($B59,#REF!,3,FALSE)</f>
        <v>#REF!</v>
      </c>
      <c r="D59" s="38" t="e">
        <f>VLOOKUP($B59,#REF!,4,FALSE)</f>
        <v>#REF!</v>
      </c>
      <c r="E59" s="38" t="e">
        <f>VLOOKUP($B59,#REF!,6,FALSE)</f>
        <v>#REF!</v>
      </c>
      <c r="F59" s="38" t="e">
        <f>VLOOKUP($B59,#REF!,7,FALSE)</f>
        <v>#REF!</v>
      </c>
      <c r="G59" s="45" t="e">
        <f>VLOOKUP(B59,'Of-DGO_DBMyC_0054_2019 Gas'!$A$4:$G$80,7,FALSE)</f>
        <v>#REF!</v>
      </c>
    </row>
    <row r="60" spans="1:7" x14ac:dyDescent="0.2">
      <c r="A60" s="44" t="s">
        <v>786</v>
      </c>
      <c r="B60" s="37" t="e">
        <f>#REF!</f>
        <v>#REF!</v>
      </c>
      <c r="C60" s="38" t="e">
        <f>VLOOKUP($B60,#REF!,3,FALSE)</f>
        <v>#REF!</v>
      </c>
      <c r="D60" s="38" t="e">
        <f>VLOOKUP($B60,#REF!,4,FALSE)</f>
        <v>#REF!</v>
      </c>
      <c r="E60" s="38" t="e">
        <f>VLOOKUP($B60,#REF!,6,FALSE)</f>
        <v>#REF!</v>
      </c>
      <c r="F60" s="38" t="e">
        <f>VLOOKUP($B60,#REF!,7,FALSE)</f>
        <v>#REF!</v>
      </c>
      <c r="G60" s="45" t="e">
        <f>VLOOKUP(B60,'Of-DGO_DBMyC_0054_2019 Gas'!$A$4:$G$80,7,FALSE)</f>
        <v>#REF!</v>
      </c>
    </row>
    <row r="61" spans="1:7" x14ac:dyDescent="0.2">
      <c r="A61" s="44" t="s">
        <v>786</v>
      </c>
      <c r="B61" s="37" t="e">
        <f>#REF!</f>
        <v>#REF!</v>
      </c>
      <c r="C61" s="38" t="e">
        <f>VLOOKUP($B61,#REF!,3,FALSE)</f>
        <v>#REF!</v>
      </c>
      <c r="D61" s="38" t="e">
        <f>VLOOKUP($B61,#REF!,4,FALSE)</f>
        <v>#REF!</v>
      </c>
      <c r="E61" s="38" t="e">
        <f>VLOOKUP($B61,#REF!,6,FALSE)</f>
        <v>#REF!</v>
      </c>
      <c r="F61" s="38" t="e">
        <f>VLOOKUP($B61,#REF!,7,FALSE)</f>
        <v>#REF!</v>
      </c>
      <c r="G61" s="45" t="e">
        <f>VLOOKUP(B61,'Of-DGO_DBMyC_0054_2019 Gas'!$A$4:$G$80,7,FALSE)</f>
        <v>#REF!</v>
      </c>
    </row>
    <row r="62" spans="1:7" x14ac:dyDescent="0.2">
      <c r="A62" s="44" t="s">
        <v>786</v>
      </c>
      <c r="B62" s="37" t="e">
        <f>#REF!</f>
        <v>#REF!</v>
      </c>
      <c r="C62" s="38" t="e">
        <f>VLOOKUP($B62,#REF!,3,FALSE)</f>
        <v>#REF!</v>
      </c>
      <c r="D62" s="38" t="e">
        <f>VLOOKUP($B62,#REF!,4,FALSE)</f>
        <v>#REF!</v>
      </c>
      <c r="E62" s="38" t="e">
        <f>VLOOKUP($B62,#REF!,6,FALSE)</f>
        <v>#REF!</v>
      </c>
      <c r="F62" s="38" t="e">
        <f>VLOOKUP($B62,#REF!,7,FALSE)</f>
        <v>#REF!</v>
      </c>
      <c r="G62" s="45" t="e">
        <f>VLOOKUP(B62,'Of-DGO_DBMyC_0054_2019 Gas'!$A$4:$G$80,7,FALSE)</f>
        <v>#REF!</v>
      </c>
    </row>
    <row r="63" spans="1:7" x14ac:dyDescent="0.2">
      <c r="A63" s="44" t="s">
        <v>786</v>
      </c>
      <c r="B63" s="37" t="e">
        <f>#REF!</f>
        <v>#REF!</v>
      </c>
      <c r="C63" s="38" t="e">
        <f>VLOOKUP($B63,#REF!,3,FALSE)</f>
        <v>#REF!</v>
      </c>
      <c r="D63" s="38" t="e">
        <f>VLOOKUP($B63,#REF!,4,FALSE)</f>
        <v>#REF!</v>
      </c>
      <c r="E63" s="38" t="e">
        <f>VLOOKUP($B63,#REF!,6,FALSE)</f>
        <v>#REF!</v>
      </c>
      <c r="F63" s="38" t="e">
        <f>VLOOKUP($B63,#REF!,7,FALSE)</f>
        <v>#REF!</v>
      </c>
      <c r="G63" s="45" t="e">
        <f>VLOOKUP(B63,'Of-DGO_DBMyC_0054_2019 Gas'!$A$4:$G$80,7,FALSE)</f>
        <v>#REF!</v>
      </c>
    </row>
    <row r="64" spans="1:7" x14ac:dyDescent="0.2">
      <c r="A64" s="44" t="s">
        <v>786</v>
      </c>
      <c r="B64" s="37" t="e">
        <f>#REF!</f>
        <v>#REF!</v>
      </c>
      <c r="C64" s="38" t="e">
        <f>VLOOKUP($B64,#REF!,3,FALSE)</f>
        <v>#REF!</v>
      </c>
      <c r="D64" s="38" t="e">
        <f>VLOOKUP($B64,#REF!,4,FALSE)</f>
        <v>#REF!</v>
      </c>
      <c r="E64" s="38" t="e">
        <f>VLOOKUP($B64,#REF!,6,FALSE)</f>
        <v>#REF!</v>
      </c>
      <c r="F64" s="38" t="e">
        <f>VLOOKUP($B64,#REF!,7,FALSE)</f>
        <v>#REF!</v>
      </c>
      <c r="G64" s="45" t="e">
        <f>VLOOKUP(B64,'Of-DGO_DBMyC_0054_2019 Gas'!$A$4:$G$80,7,FALSE)</f>
        <v>#REF!</v>
      </c>
    </row>
    <row r="65" spans="1:7" x14ac:dyDescent="0.2">
      <c r="A65" s="44" t="s">
        <v>786</v>
      </c>
      <c r="B65" s="37" t="e">
        <f>#REF!</f>
        <v>#REF!</v>
      </c>
      <c r="C65" s="38" t="e">
        <f>VLOOKUP($B65,#REF!,3,FALSE)</f>
        <v>#REF!</v>
      </c>
      <c r="D65" s="38" t="e">
        <f>VLOOKUP($B65,#REF!,4,FALSE)</f>
        <v>#REF!</v>
      </c>
      <c r="E65" s="38" t="e">
        <f>VLOOKUP($B65,#REF!,6,FALSE)</f>
        <v>#REF!</v>
      </c>
      <c r="F65" s="38" t="e">
        <f>VLOOKUP($B65,#REF!,7,FALSE)</f>
        <v>#REF!</v>
      </c>
      <c r="G65" s="45" t="e">
        <f>VLOOKUP(B65,'Of-DGO_DBMyC_0054_2019 Gas'!$A$4:$G$80,7,FALSE)</f>
        <v>#REF!</v>
      </c>
    </row>
    <row r="66" spans="1:7" x14ac:dyDescent="0.2">
      <c r="A66" s="44" t="s">
        <v>786</v>
      </c>
      <c r="B66" s="37" t="e">
        <f>#REF!</f>
        <v>#REF!</v>
      </c>
      <c r="C66" s="38" t="e">
        <f>VLOOKUP($B66,#REF!,3,FALSE)</f>
        <v>#REF!</v>
      </c>
      <c r="D66" s="38" t="e">
        <f>VLOOKUP($B66,#REF!,4,FALSE)</f>
        <v>#REF!</v>
      </c>
      <c r="E66" s="38" t="e">
        <f>VLOOKUP($B66,#REF!,6,FALSE)</f>
        <v>#REF!</v>
      </c>
      <c r="F66" s="38" t="e">
        <f>VLOOKUP($B66,#REF!,7,FALSE)</f>
        <v>#REF!</v>
      </c>
      <c r="G66" s="45" t="e">
        <f>VLOOKUP(B66,'Of-DGO_DBMyC_0054_2019 Gas'!$A$4:$G$80,7,FALSE)</f>
        <v>#REF!</v>
      </c>
    </row>
    <row r="67" spans="1:7" x14ac:dyDescent="0.2">
      <c r="A67" s="44" t="s">
        <v>786</v>
      </c>
      <c r="B67" s="37" t="e">
        <f>#REF!</f>
        <v>#REF!</v>
      </c>
      <c r="C67" s="38" t="e">
        <f>VLOOKUP($B67,#REF!,3,FALSE)</f>
        <v>#REF!</v>
      </c>
      <c r="D67" s="38" t="e">
        <f>VLOOKUP($B67,#REF!,4,FALSE)</f>
        <v>#REF!</v>
      </c>
      <c r="E67" s="38" t="e">
        <f>VLOOKUP($B67,#REF!,6,FALSE)</f>
        <v>#REF!</v>
      </c>
      <c r="F67" s="38" t="e">
        <f>VLOOKUP($B67,#REF!,7,FALSE)</f>
        <v>#REF!</v>
      </c>
      <c r="G67" s="45" t="e">
        <f>VLOOKUP(B67,'Of-DGO_DBMyC_0054_2019 Gas'!$A$4:$G$80,7,FALSE)</f>
        <v>#REF!</v>
      </c>
    </row>
    <row r="68" spans="1:7" x14ac:dyDescent="0.2">
      <c r="A68" s="44" t="s">
        <v>786</v>
      </c>
      <c r="B68" s="37" t="e">
        <f>#REF!</f>
        <v>#REF!</v>
      </c>
      <c r="C68" s="38" t="e">
        <f>VLOOKUP($B68,#REF!,3,FALSE)</f>
        <v>#REF!</v>
      </c>
      <c r="D68" s="38" t="e">
        <f>VLOOKUP($B68,#REF!,4,FALSE)</f>
        <v>#REF!</v>
      </c>
      <c r="E68" s="38" t="e">
        <f>VLOOKUP($B68,#REF!,6,FALSE)</f>
        <v>#REF!</v>
      </c>
      <c r="F68" s="38" t="e">
        <f>VLOOKUP($B68,#REF!,7,FALSE)</f>
        <v>#REF!</v>
      </c>
      <c r="G68" s="45" t="e">
        <f>VLOOKUP(B68,'Of-DGO_DBMyC_0054_2019 Gas'!$A$4:$G$80,7,FALSE)</f>
        <v>#REF!</v>
      </c>
    </row>
    <row r="69" spans="1:7" x14ac:dyDescent="0.2">
      <c r="A69" s="44" t="s">
        <v>786</v>
      </c>
      <c r="B69" s="37" t="e">
        <f>#REF!</f>
        <v>#REF!</v>
      </c>
      <c r="C69" s="38" t="e">
        <f>VLOOKUP($B69,#REF!,3,FALSE)</f>
        <v>#REF!</v>
      </c>
      <c r="D69" s="38" t="e">
        <f>VLOOKUP($B69,#REF!,4,FALSE)</f>
        <v>#REF!</v>
      </c>
      <c r="E69" s="38" t="e">
        <f>VLOOKUP($B69,#REF!,6,FALSE)</f>
        <v>#REF!</v>
      </c>
      <c r="F69" s="38" t="e">
        <f>VLOOKUP($B69,#REF!,7,FALSE)</f>
        <v>#REF!</v>
      </c>
      <c r="G69" s="45" t="e">
        <f>VLOOKUP(B69,'Of-DGO_DBMyC_0054_2019 Gas'!$A$4:$G$80,7,FALSE)</f>
        <v>#REF!</v>
      </c>
    </row>
    <row r="70" spans="1:7" x14ac:dyDescent="0.2">
      <c r="A70" s="44" t="s">
        <v>786</v>
      </c>
      <c r="B70" s="37" t="e">
        <f>#REF!</f>
        <v>#REF!</v>
      </c>
      <c r="C70" s="38" t="e">
        <f>VLOOKUP($B70,#REF!,3,FALSE)</f>
        <v>#REF!</v>
      </c>
      <c r="D70" s="38" t="e">
        <f>VLOOKUP($B70,#REF!,4,FALSE)</f>
        <v>#REF!</v>
      </c>
      <c r="E70" s="38" t="e">
        <f>VLOOKUP($B70,#REF!,6,FALSE)</f>
        <v>#REF!</v>
      </c>
      <c r="F70" s="38" t="e">
        <f>VLOOKUP($B70,#REF!,7,FALSE)</f>
        <v>#REF!</v>
      </c>
      <c r="G70" s="45" t="e">
        <f>VLOOKUP(B70,'Of-DGO_DBMyC_0054_2019 Gas'!$A$4:$G$80,7,FALSE)</f>
        <v>#REF!</v>
      </c>
    </row>
    <row r="71" spans="1:7" x14ac:dyDescent="0.2">
      <c r="A71" s="44" t="s">
        <v>786</v>
      </c>
      <c r="B71" s="37" t="e">
        <f>#REF!</f>
        <v>#REF!</v>
      </c>
      <c r="C71" s="38" t="e">
        <f>VLOOKUP($B71,#REF!,3,FALSE)</f>
        <v>#REF!</v>
      </c>
      <c r="D71" s="38" t="e">
        <f>VLOOKUP($B71,#REF!,4,FALSE)</f>
        <v>#REF!</v>
      </c>
      <c r="E71" s="38" t="e">
        <f>VLOOKUP($B71,#REF!,6,FALSE)</f>
        <v>#REF!</v>
      </c>
      <c r="F71" s="38" t="e">
        <f>VLOOKUP($B71,#REF!,7,FALSE)</f>
        <v>#REF!</v>
      </c>
      <c r="G71" s="45" t="e">
        <f>VLOOKUP(B71,'Of-DGO_DBMyC_0054_2019 Gas'!$A$4:$G$80,7,FALSE)</f>
        <v>#REF!</v>
      </c>
    </row>
    <row r="72" spans="1:7" x14ac:dyDescent="0.2">
      <c r="A72" s="44" t="s">
        <v>786</v>
      </c>
      <c r="B72" s="37" t="e">
        <f>#REF!</f>
        <v>#REF!</v>
      </c>
      <c r="C72" s="38" t="e">
        <f>VLOOKUP($B72,#REF!,3,FALSE)</f>
        <v>#REF!</v>
      </c>
      <c r="D72" s="38" t="e">
        <f>VLOOKUP($B72,#REF!,4,FALSE)</f>
        <v>#REF!</v>
      </c>
      <c r="E72" s="38" t="e">
        <f>VLOOKUP($B72,#REF!,6,FALSE)</f>
        <v>#REF!</v>
      </c>
      <c r="F72" s="38" t="e">
        <f>VLOOKUP($B72,#REF!,7,FALSE)</f>
        <v>#REF!</v>
      </c>
      <c r="G72" s="45" t="e">
        <f>VLOOKUP(B72,'Of-DGO_DBMyC_0054_2019 Gas'!$A$4:$G$80,7,FALSE)</f>
        <v>#REF!</v>
      </c>
    </row>
    <row r="73" spans="1:7" x14ac:dyDescent="0.2">
      <c r="A73" s="44" t="s">
        <v>786</v>
      </c>
      <c r="B73" s="37" t="e">
        <f>#REF!</f>
        <v>#REF!</v>
      </c>
      <c r="C73" s="38" t="e">
        <f>VLOOKUP($B73,#REF!,3,FALSE)</f>
        <v>#REF!</v>
      </c>
      <c r="D73" s="38" t="e">
        <f>VLOOKUP($B73,#REF!,4,FALSE)</f>
        <v>#REF!</v>
      </c>
      <c r="E73" s="38" t="e">
        <f>VLOOKUP($B73,#REF!,6,FALSE)</f>
        <v>#REF!</v>
      </c>
      <c r="F73" s="38" t="e">
        <f>VLOOKUP($B73,#REF!,7,FALSE)</f>
        <v>#REF!</v>
      </c>
      <c r="G73" s="45" t="e">
        <f>VLOOKUP(B73,'Of-DGO_DBMyC_0054_2019 Gas'!$A$4:$G$80,7,FALSE)</f>
        <v>#REF!</v>
      </c>
    </row>
    <row r="74" spans="1:7" x14ac:dyDescent="0.2">
      <c r="A74" s="44" t="s">
        <v>786</v>
      </c>
      <c r="B74" s="37" t="e">
        <f>#REF!</f>
        <v>#REF!</v>
      </c>
      <c r="C74" s="38" t="e">
        <f>VLOOKUP($B74,#REF!,3,FALSE)</f>
        <v>#REF!</v>
      </c>
      <c r="D74" s="38" t="e">
        <f>VLOOKUP($B74,#REF!,4,FALSE)</f>
        <v>#REF!</v>
      </c>
      <c r="E74" s="38" t="e">
        <f>VLOOKUP($B74,#REF!,6,FALSE)</f>
        <v>#REF!</v>
      </c>
      <c r="F74" s="38" t="e">
        <f>VLOOKUP($B74,#REF!,7,FALSE)</f>
        <v>#REF!</v>
      </c>
      <c r="G74" s="45" t="e">
        <f>VLOOKUP(B74,'Of-DGO_DBMyC_0054_2019 Gas'!$A$4:$G$80,7,FALSE)</f>
        <v>#REF!</v>
      </c>
    </row>
    <row r="75" spans="1:7" x14ac:dyDescent="0.2">
      <c r="A75" s="44" t="s">
        <v>786</v>
      </c>
      <c r="B75" s="37" t="e">
        <f>#REF!</f>
        <v>#REF!</v>
      </c>
      <c r="C75" s="38" t="e">
        <f>VLOOKUP($B75,#REF!,3,FALSE)</f>
        <v>#REF!</v>
      </c>
      <c r="D75" s="38" t="e">
        <f>VLOOKUP($B75,#REF!,4,FALSE)</f>
        <v>#REF!</v>
      </c>
      <c r="E75" s="38" t="e">
        <f>VLOOKUP($B75,#REF!,6,FALSE)</f>
        <v>#REF!</v>
      </c>
      <c r="F75" s="38" t="e">
        <f>VLOOKUP($B75,#REF!,7,FALSE)</f>
        <v>#REF!</v>
      </c>
      <c r="G75" s="45" t="e">
        <f>VLOOKUP(B75,'Of-DGO_DBMyC_0054_2019 Gas'!$A$4:$G$80,7,FALSE)</f>
        <v>#REF!</v>
      </c>
    </row>
    <row r="76" spans="1:7" x14ac:dyDescent="0.2">
      <c r="A76" s="44" t="s">
        <v>786</v>
      </c>
      <c r="B76" s="37" t="e">
        <f>#REF!</f>
        <v>#REF!</v>
      </c>
      <c r="C76" s="38" t="e">
        <f>VLOOKUP($B76,#REF!,3,FALSE)</f>
        <v>#REF!</v>
      </c>
      <c r="D76" s="38" t="e">
        <f>VLOOKUP($B76,#REF!,4,FALSE)</f>
        <v>#REF!</v>
      </c>
      <c r="E76" s="38" t="e">
        <f>VLOOKUP($B76,#REF!,6,FALSE)</f>
        <v>#REF!</v>
      </c>
      <c r="F76" s="38" t="e">
        <f>VLOOKUP($B76,#REF!,7,FALSE)</f>
        <v>#REF!</v>
      </c>
      <c r="G76" s="45" t="e">
        <f>VLOOKUP(B76,'Of-DGO_DBMyC_0054_2019 Gas'!$A$4:$G$80,7,FALSE)</f>
        <v>#REF!</v>
      </c>
    </row>
    <row r="77" spans="1:7" x14ac:dyDescent="0.2">
      <c r="A77" s="44" t="s">
        <v>786</v>
      </c>
      <c r="B77" s="37" t="e">
        <f>#REF!</f>
        <v>#REF!</v>
      </c>
      <c r="C77" s="38" t="e">
        <f>VLOOKUP($B77,#REF!,3,FALSE)</f>
        <v>#REF!</v>
      </c>
      <c r="D77" s="38" t="e">
        <f>VLOOKUP($B77,#REF!,4,FALSE)</f>
        <v>#REF!</v>
      </c>
      <c r="E77" s="38" t="e">
        <f>VLOOKUP($B77,#REF!,6,FALSE)</f>
        <v>#REF!</v>
      </c>
      <c r="F77" s="38" t="e">
        <f>VLOOKUP($B77,#REF!,7,FALSE)</f>
        <v>#REF!</v>
      </c>
      <c r="G77" s="45" t="e">
        <f>VLOOKUP(B77,'Of-DGO_DBMyC_0054_2019 Gas'!$A$4:$G$80,7,FALSE)</f>
        <v>#REF!</v>
      </c>
    </row>
    <row r="78" spans="1:7" x14ac:dyDescent="0.2">
      <c r="A78" s="44" t="s">
        <v>786</v>
      </c>
      <c r="B78" s="37" t="e">
        <f>#REF!</f>
        <v>#REF!</v>
      </c>
      <c r="C78" s="38" t="e">
        <f>VLOOKUP($B78,#REF!,3,FALSE)</f>
        <v>#REF!</v>
      </c>
      <c r="D78" s="38" t="e">
        <f>VLOOKUP($B78,#REF!,4,FALSE)</f>
        <v>#REF!</v>
      </c>
      <c r="E78" s="38" t="e">
        <f>VLOOKUP($B78,#REF!,6,FALSE)</f>
        <v>#REF!</v>
      </c>
      <c r="F78" s="38" t="e">
        <f>VLOOKUP($B78,#REF!,7,FALSE)</f>
        <v>#REF!</v>
      </c>
      <c r="G78" s="45" t="e">
        <f>VLOOKUP(B78,'Of-DGO_DBMyC_0054_2019 Gas'!$A$4:$G$80,7,FALSE)</f>
        <v>#REF!</v>
      </c>
    </row>
    <row r="79" spans="1:7" x14ac:dyDescent="0.2">
      <c r="A79" s="44" t="s">
        <v>786</v>
      </c>
      <c r="B79" s="37" t="e">
        <f>#REF!</f>
        <v>#REF!</v>
      </c>
      <c r="C79" s="38" t="e">
        <f>VLOOKUP($B79,#REF!,3,FALSE)</f>
        <v>#REF!</v>
      </c>
      <c r="D79" s="38" t="e">
        <f>VLOOKUP($B79,#REF!,4,FALSE)</f>
        <v>#REF!</v>
      </c>
      <c r="E79" s="38" t="e">
        <f>VLOOKUP($B79,#REF!,6,FALSE)</f>
        <v>#REF!</v>
      </c>
      <c r="F79" s="38" t="e">
        <f>VLOOKUP($B79,#REF!,7,FALSE)</f>
        <v>#REF!</v>
      </c>
      <c r="G79" s="45" t="e">
        <f>VLOOKUP(B79,'Of-DGO_DBMyC_0054_2019 Gas'!$A$4:$G$80,7,FALSE)</f>
        <v>#REF!</v>
      </c>
    </row>
    <row r="80" spans="1:7" ht="13.5" thickBot="1" x14ac:dyDescent="0.25">
      <c r="A80" s="46" t="s">
        <v>786</v>
      </c>
      <c r="B80" s="47" t="e">
        <f>#REF!</f>
        <v>#REF!</v>
      </c>
      <c r="C80" s="48" t="e">
        <f>VLOOKUP($B80,#REF!,3,FALSE)</f>
        <v>#REF!</v>
      </c>
      <c r="D80" s="48" t="e">
        <f>VLOOKUP($B80,#REF!,4,FALSE)</f>
        <v>#REF!</v>
      </c>
      <c r="E80" s="48" t="e">
        <f>VLOOKUP($B80,#REF!,6,FALSE)</f>
        <v>#REF!</v>
      </c>
      <c r="F80" s="48" t="e">
        <f>VLOOKUP($B80,#REF!,7,FALSE)</f>
        <v>#REF!</v>
      </c>
      <c r="G80" s="49" t="e">
        <f>VLOOKUP(B80,'Of-DGO_DBMyC_0054_2019 Gas'!$A$4:$G$80,7,FALSE)</f>
        <v>#REF!</v>
      </c>
    </row>
    <row r="81" spans="1:7" ht="13.5" thickBot="1" x14ac:dyDescent="0.25"/>
    <row r="82" spans="1:7" ht="13.5" thickBot="1" x14ac:dyDescent="0.25">
      <c r="A82" s="105" t="s">
        <v>787</v>
      </c>
      <c r="B82" s="106"/>
      <c r="C82" s="106"/>
      <c r="D82" s="106"/>
      <c r="E82" s="106"/>
      <c r="F82" s="106"/>
      <c r="G82" s="107"/>
    </row>
    <row r="83" spans="1:7" ht="16.5" x14ac:dyDescent="0.2">
      <c r="A83" s="108" t="s">
        <v>789</v>
      </c>
      <c r="B83" s="109"/>
      <c r="C83" s="109"/>
      <c r="D83" s="109"/>
      <c r="E83" s="109"/>
      <c r="F83" s="109"/>
      <c r="G83" s="110"/>
    </row>
    <row r="84" spans="1:7" x14ac:dyDescent="0.2">
      <c r="A84" s="111" t="s">
        <v>775</v>
      </c>
      <c r="B84" s="112"/>
      <c r="C84" s="112"/>
      <c r="D84" s="112"/>
      <c r="E84" s="112"/>
      <c r="F84" s="112"/>
      <c r="G84" s="113"/>
    </row>
    <row r="85" spans="1:7" x14ac:dyDescent="0.2">
      <c r="A85" s="114" t="s">
        <v>776</v>
      </c>
      <c r="B85" s="115"/>
      <c r="C85" s="115"/>
      <c r="D85" s="115"/>
      <c r="E85" s="115"/>
      <c r="F85" s="115"/>
      <c r="G85" s="116"/>
    </row>
    <row r="86" spans="1:7" x14ac:dyDescent="0.2">
      <c r="A86" s="96" t="s">
        <v>777</v>
      </c>
      <c r="B86" s="97"/>
      <c r="C86" s="97"/>
      <c r="D86" s="97"/>
      <c r="E86" s="97"/>
      <c r="F86" s="97"/>
      <c r="G86" s="98"/>
    </row>
    <row r="87" spans="1:7" x14ac:dyDescent="0.2">
      <c r="A87" s="96" t="s">
        <v>778</v>
      </c>
      <c r="B87" s="97"/>
      <c r="C87" s="97"/>
      <c r="D87" s="97"/>
      <c r="E87" s="97"/>
      <c r="F87" s="97"/>
      <c r="G87" s="98"/>
    </row>
    <row r="88" spans="1:7" ht="13.5" thickBot="1" x14ac:dyDescent="0.25">
      <c r="A88" s="99" t="s">
        <v>779</v>
      </c>
      <c r="B88" s="100"/>
      <c r="C88" s="100"/>
      <c r="D88" s="100"/>
      <c r="E88" s="100"/>
      <c r="F88" s="100"/>
      <c r="G88" s="101"/>
    </row>
    <row r="89" spans="1:7" ht="13.5" thickBot="1" x14ac:dyDescent="0.25">
      <c r="A89" s="102" t="s">
        <v>788</v>
      </c>
      <c r="B89" s="103"/>
      <c r="C89" s="103"/>
      <c r="D89" s="103"/>
      <c r="E89" s="103"/>
      <c r="F89" s="103"/>
      <c r="G89" s="104"/>
    </row>
    <row r="90" spans="1:7" x14ac:dyDescent="0.2">
      <c r="A90" s="87" t="s">
        <v>780</v>
      </c>
      <c r="B90" s="88"/>
      <c r="C90" s="88"/>
      <c r="D90" s="88"/>
      <c r="E90" s="88"/>
      <c r="F90" s="88"/>
      <c r="G90" s="89"/>
    </row>
    <row r="91" spans="1:7" x14ac:dyDescent="0.2">
      <c r="A91" s="90" t="s">
        <v>782</v>
      </c>
      <c r="B91" s="91"/>
      <c r="C91" s="91"/>
      <c r="D91" s="91"/>
      <c r="E91" s="91"/>
      <c r="F91" s="91"/>
      <c r="G91" s="92"/>
    </row>
    <row r="92" spans="1:7" x14ac:dyDescent="0.2">
      <c r="A92" s="93" t="s">
        <v>781</v>
      </c>
      <c r="B92" s="94"/>
      <c r="C92" s="94"/>
      <c r="D92" s="94"/>
      <c r="E92" s="94"/>
      <c r="F92" s="94"/>
      <c r="G92" s="95"/>
    </row>
    <row r="93" spans="1:7" x14ac:dyDescent="0.2">
      <c r="A93" s="96" t="s">
        <v>783</v>
      </c>
      <c r="B93" s="97"/>
      <c r="C93" s="97"/>
      <c r="D93" s="97"/>
      <c r="E93" s="97"/>
      <c r="F93" s="97"/>
      <c r="G93" s="98"/>
    </row>
    <row r="94" spans="1:7" ht="13.5" thickBot="1" x14ac:dyDescent="0.25">
      <c r="A94" s="99" t="s">
        <v>784</v>
      </c>
      <c r="B94" s="100"/>
      <c r="C94" s="100"/>
      <c r="D94" s="100"/>
      <c r="E94" s="100"/>
      <c r="F94" s="100"/>
      <c r="G94" s="101"/>
    </row>
  </sheetData>
  <mergeCells count="14">
    <mergeCell ref="A89:G89"/>
    <mergeCell ref="A1:G2"/>
    <mergeCell ref="A82:G82"/>
    <mergeCell ref="A83:G83"/>
    <mergeCell ref="A84:G84"/>
    <mergeCell ref="A85:G85"/>
    <mergeCell ref="A86:G86"/>
    <mergeCell ref="A87:G87"/>
    <mergeCell ref="A88:G88"/>
    <mergeCell ref="A90:G90"/>
    <mergeCell ref="A91:G91"/>
    <mergeCell ref="A92:G92"/>
    <mergeCell ref="A93:G93"/>
    <mergeCell ref="A94:G94"/>
  </mergeCells>
  <pageMargins left="0.31496062992125984" right="0" top="0.35433070866141736" bottom="0.94488188976377963" header="0.31496062992125984" footer="0.31496062992125984"/>
  <pageSetup orientation="landscape" r:id="rId1"/>
  <headerFooter>
    <oddFooter>&amp;L&amp;"Arial Rounded MT Bold,Normal"David Torres Tello------------------------------------------------------------Jefe de Servicios Generales y Recursos Materiales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3"/>
  <sheetViews>
    <sheetView workbookViewId="0">
      <selection activeCell="P5" sqref="P5"/>
    </sheetView>
  </sheetViews>
  <sheetFormatPr baseColWidth="10" defaultRowHeight="15" x14ac:dyDescent="0.25"/>
  <cols>
    <col min="2" max="2" width="14.85546875" bestFit="1" customWidth="1"/>
    <col min="9" max="9" width="11.42578125" style="77"/>
    <col min="10" max="11" width="15.28515625" bestFit="1" customWidth="1"/>
    <col min="13" max="13" width="12.7109375" bestFit="1" customWidth="1"/>
  </cols>
  <sheetData>
    <row r="1" spans="1:16" x14ac:dyDescent="0.25">
      <c r="A1" s="1" t="s">
        <v>423</v>
      </c>
      <c r="B1" s="50" t="s">
        <v>799</v>
      </c>
      <c r="C1" s="50" t="s">
        <v>819</v>
      </c>
      <c r="D1" s="51" t="s">
        <v>802</v>
      </c>
      <c r="E1" s="51" t="s">
        <v>0</v>
      </c>
      <c r="F1" s="51" t="s">
        <v>803</v>
      </c>
      <c r="G1" s="51" t="s">
        <v>804</v>
      </c>
      <c r="H1" s="51" t="s">
        <v>805</v>
      </c>
      <c r="I1" s="80" t="s">
        <v>806</v>
      </c>
      <c r="J1" s="51" t="s">
        <v>807</v>
      </c>
      <c r="K1" s="51" t="s">
        <v>808</v>
      </c>
      <c r="L1" s="50" t="s">
        <v>811</v>
      </c>
      <c r="M1" s="50" t="s">
        <v>812</v>
      </c>
      <c r="N1" s="50" t="s">
        <v>813</v>
      </c>
      <c r="O1" s="50" t="s">
        <v>821</v>
      </c>
      <c r="P1" s="50" t="s">
        <v>822</v>
      </c>
    </row>
    <row r="2" spans="1:16" x14ac:dyDescent="0.25">
      <c r="A2" s="3">
        <v>81</v>
      </c>
      <c r="B2" s="50" t="s">
        <v>976</v>
      </c>
      <c r="C2" s="50" t="s">
        <v>969</v>
      </c>
      <c r="D2" s="5" t="s">
        <v>998</v>
      </c>
      <c r="E2" s="5">
        <v>2006</v>
      </c>
      <c r="F2" s="79" t="s">
        <v>595</v>
      </c>
      <c r="G2" s="5" t="s">
        <v>179</v>
      </c>
      <c r="H2" s="5" t="s">
        <v>971</v>
      </c>
      <c r="I2" s="75">
        <v>1348.26</v>
      </c>
      <c r="J2" s="78">
        <v>43647</v>
      </c>
      <c r="K2" s="78">
        <v>43831</v>
      </c>
      <c r="L2" s="50" t="str">
        <f>VLOOKUP(F2,'Listado General'!$E$2:$K$167,7,FALSE)</f>
        <v>3N1JH01SX6L240670</v>
      </c>
      <c r="M2" s="50" t="b">
        <f t="shared" ref="M2:M19" si="0">G2=L2</f>
        <v>1</v>
      </c>
      <c r="N2" s="50" t="str">
        <f t="shared" ref="N2:N23" si="1">CONCATENATE(TRIM(G2)," ",TRIM(F2))</f>
        <v>3N1JH01SX6L240670 JFK1881</v>
      </c>
      <c r="O2" s="50" t="str">
        <f>IF(ISERROR(VLOOKUP(N2,'Listado General'!$Y$2:$Y$167,1,FALSE))=TRUE,"No coinciden","Si coinciden")</f>
        <v>Si coinciden</v>
      </c>
      <c r="P2" s="11" t="s">
        <v>181</v>
      </c>
    </row>
    <row r="3" spans="1:16" x14ac:dyDescent="0.25">
      <c r="A3" s="3">
        <v>100</v>
      </c>
      <c r="B3" s="50" t="s">
        <v>985</v>
      </c>
      <c r="C3" s="50" t="s">
        <v>969</v>
      </c>
      <c r="D3" s="5" t="s">
        <v>859</v>
      </c>
      <c r="E3" s="5">
        <v>2009</v>
      </c>
      <c r="F3" s="79" t="s">
        <v>507</v>
      </c>
      <c r="G3" s="5" t="s">
        <v>227</v>
      </c>
      <c r="H3" s="3" t="s">
        <v>996</v>
      </c>
      <c r="I3" s="10">
        <v>2389.34</v>
      </c>
      <c r="J3" s="78">
        <v>43647</v>
      </c>
      <c r="K3" s="78">
        <v>43831</v>
      </c>
      <c r="L3" s="50" t="str">
        <f>VLOOKUP(F3,'Listado General'!$E$2:$K$167,7,FALSE)</f>
        <v>8AFDT50D396199539</v>
      </c>
      <c r="M3" s="50" t="b">
        <f t="shared" si="0"/>
        <v>1</v>
      </c>
      <c r="N3" s="50" t="str">
        <f t="shared" si="1"/>
        <v>8AFDT50D396199539 JP82765</v>
      </c>
      <c r="O3" s="50" t="str">
        <f>IF(ISERROR(VLOOKUP(N3,'Listado General'!$Y$2:$Y$167,1,FALSE))=TRUE,"No coinciden","Si coinciden")</f>
        <v>Si coinciden</v>
      </c>
      <c r="P3" s="11" t="s">
        <v>478</v>
      </c>
    </row>
    <row r="4" spans="1:16" x14ac:dyDescent="0.25">
      <c r="A4" s="3">
        <v>101</v>
      </c>
      <c r="B4" s="50" t="s">
        <v>984</v>
      </c>
      <c r="C4" s="50" t="s">
        <v>969</v>
      </c>
      <c r="D4" s="5" t="s">
        <v>859</v>
      </c>
      <c r="E4" s="5">
        <v>2009</v>
      </c>
      <c r="F4" s="79" t="s">
        <v>524</v>
      </c>
      <c r="G4" s="5" t="s">
        <v>230</v>
      </c>
      <c r="H4" s="3" t="s">
        <v>996</v>
      </c>
      <c r="I4" s="10">
        <v>2389.34</v>
      </c>
      <c r="J4" s="78">
        <v>43647</v>
      </c>
      <c r="K4" s="78">
        <v>43831</v>
      </c>
      <c r="L4" s="50" t="str">
        <f>VLOOKUP(F4,'Listado General'!$E$2:$K$167,7,FALSE)</f>
        <v>8AFDT50D196211218</v>
      </c>
      <c r="M4" s="50" t="b">
        <f t="shared" si="0"/>
        <v>1</v>
      </c>
      <c r="N4" s="50" t="str">
        <f t="shared" si="1"/>
        <v>8AFDT50D196211218 JP40488</v>
      </c>
      <c r="O4" s="50" t="str">
        <f>IF(ISERROR(VLOOKUP(N4,'Listado General'!$Y$2:$Y$167,1,FALSE))=TRUE,"No coinciden","Si coinciden")</f>
        <v>Si coinciden</v>
      </c>
      <c r="P4" s="11" t="s">
        <v>480</v>
      </c>
    </row>
    <row r="5" spans="1:16" x14ac:dyDescent="0.25">
      <c r="A5" s="3">
        <v>102</v>
      </c>
      <c r="B5" s="50" t="s">
        <v>989</v>
      </c>
      <c r="C5" s="50" t="s">
        <v>969</v>
      </c>
      <c r="D5" s="5" t="s">
        <v>859</v>
      </c>
      <c r="E5" s="5">
        <v>2009</v>
      </c>
      <c r="F5" s="79" t="s">
        <v>572</v>
      </c>
      <c r="G5" s="5" t="s">
        <v>232</v>
      </c>
      <c r="H5" s="3" t="s">
        <v>996</v>
      </c>
      <c r="I5" s="10">
        <v>2389.34</v>
      </c>
      <c r="J5" s="78">
        <v>43647</v>
      </c>
      <c r="K5" s="78">
        <v>43831</v>
      </c>
      <c r="L5" s="50" t="str">
        <f>VLOOKUP(F5,'Listado General'!$E$2:$K$167,7,FALSE)</f>
        <v>8AFDT50DX96211220</v>
      </c>
      <c r="M5" s="50" t="b">
        <f t="shared" si="0"/>
        <v>1</v>
      </c>
      <c r="N5" s="50" t="str">
        <f t="shared" si="1"/>
        <v>8AFDT50DX96211220 JP40491</v>
      </c>
      <c r="O5" s="50" t="str">
        <f>IF(ISERROR(VLOOKUP(N5,'Listado General'!$Y$2:$Y$167,1,FALSE))=TRUE,"No coinciden","Si coinciden")</f>
        <v>Si coinciden</v>
      </c>
      <c r="P5" s="11" t="s">
        <v>485</v>
      </c>
    </row>
    <row r="6" spans="1:16" x14ac:dyDescent="0.25">
      <c r="A6" s="3">
        <v>103</v>
      </c>
      <c r="B6" s="50" t="s">
        <v>986</v>
      </c>
      <c r="C6" s="50" t="s">
        <v>969</v>
      </c>
      <c r="D6" s="5" t="s">
        <v>859</v>
      </c>
      <c r="E6" s="5">
        <v>2009</v>
      </c>
      <c r="F6" s="79" t="s">
        <v>573</v>
      </c>
      <c r="G6" s="5" t="s">
        <v>234</v>
      </c>
      <c r="H6" s="3" t="s">
        <v>996</v>
      </c>
      <c r="I6" s="10">
        <v>2389.34</v>
      </c>
      <c r="J6" s="78">
        <v>43647</v>
      </c>
      <c r="K6" s="78">
        <v>43831</v>
      </c>
      <c r="L6" s="50" t="str">
        <f>VLOOKUP(F6,'Listado General'!$E$2:$K$167,7,FALSE)</f>
        <v>8AFDT50D396211222</v>
      </c>
      <c r="M6" s="50" t="b">
        <f t="shared" si="0"/>
        <v>1</v>
      </c>
      <c r="N6" s="50" t="str">
        <f t="shared" si="1"/>
        <v>8AFDT50D396211222 JP40487</v>
      </c>
      <c r="O6" s="50" t="str">
        <f>IF(ISERROR(VLOOKUP(N6,'Listado General'!$Y$2:$Y$167,1,FALSE))=TRUE,"No coinciden","Si coinciden")</f>
        <v>Si coinciden</v>
      </c>
      <c r="P6" s="11" t="s">
        <v>468</v>
      </c>
    </row>
    <row r="7" spans="1:16" x14ac:dyDescent="0.25">
      <c r="A7" s="3">
        <v>104</v>
      </c>
      <c r="B7" s="50" t="s">
        <v>990</v>
      </c>
      <c r="C7" s="50" t="s">
        <v>969</v>
      </c>
      <c r="D7" s="5" t="s">
        <v>859</v>
      </c>
      <c r="E7" s="5">
        <v>2009</v>
      </c>
      <c r="F7" s="79" t="s">
        <v>511</v>
      </c>
      <c r="G7" s="5" t="s">
        <v>236</v>
      </c>
      <c r="H7" s="3" t="s">
        <v>996</v>
      </c>
      <c r="I7" s="10">
        <v>2389.34</v>
      </c>
      <c r="J7" s="78">
        <v>43647</v>
      </c>
      <c r="K7" s="78">
        <v>43831</v>
      </c>
      <c r="L7" s="50" t="str">
        <f>VLOOKUP(F7,'Listado General'!$E$2:$K$167,7,FALSE)</f>
        <v>8AFDT50D996215453</v>
      </c>
      <c r="M7" s="50" t="b">
        <f t="shared" si="0"/>
        <v>1</v>
      </c>
      <c r="N7" s="50" t="str">
        <f t="shared" si="1"/>
        <v>8AFDT50D996215453 JP40489</v>
      </c>
      <c r="O7" s="50" t="str">
        <f>IF(ISERROR(VLOOKUP(N7,'Listado General'!$Y$2:$Y$167,1,FALSE))=TRUE,"No coinciden","Si coinciden")</f>
        <v>Si coinciden</v>
      </c>
      <c r="P7" s="11" t="s">
        <v>467</v>
      </c>
    </row>
    <row r="8" spans="1:16" x14ac:dyDescent="0.25">
      <c r="A8" s="3">
        <v>105</v>
      </c>
      <c r="B8" s="50" t="s">
        <v>991</v>
      </c>
      <c r="C8" s="50" t="s">
        <v>969</v>
      </c>
      <c r="D8" s="5" t="s">
        <v>859</v>
      </c>
      <c r="E8" s="5">
        <v>2009</v>
      </c>
      <c r="F8" s="79" t="s">
        <v>518</v>
      </c>
      <c r="G8" s="5" t="s">
        <v>238</v>
      </c>
      <c r="H8" s="3" t="s">
        <v>996</v>
      </c>
      <c r="I8" s="10">
        <v>2389.34</v>
      </c>
      <c r="J8" s="78">
        <v>43647</v>
      </c>
      <c r="K8" s="78">
        <v>43831</v>
      </c>
      <c r="L8" s="50" t="str">
        <f>VLOOKUP(F8,'Listado General'!$E$2:$K$167,7,FALSE)</f>
        <v>8AFDT50D396216579</v>
      </c>
      <c r="M8" s="50" t="b">
        <f t="shared" si="0"/>
        <v>1</v>
      </c>
      <c r="N8" s="50" t="str">
        <f t="shared" si="1"/>
        <v>8AFDT50D396216579 JP40490</v>
      </c>
      <c r="O8" s="50" t="str">
        <f>IF(ISERROR(VLOOKUP(N8,'Listado General'!$Y$2:$Y$167,1,FALSE))=TRUE,"No coinciden","Si coinciden")</f>
        <v>Si coinciden</v>
      </c>
      <c r="P8" s="4" t="s">
        <v>470</v>
      </c>
    </row>
    <row r="9" spans="1:16" x14ac:dyDescent="0.25">
      <c r="A9" s="3">
        <v>107</v>
      </c>
      <c r="B9" s="50" t="s">
        <v>987</v>
      </c>
      <c r="C9" s="50" t="s">
        <v>969</v>
      </c>
      <c r="D9" s="5" t="s">
        <v>988</v>
      </c>
      <c r="E9" s="5">
        <v>2009</v>
      </c>
      <c r="F9" s="79" t="s">
        <v>552</v>
      </c>
      <c r="G9" s="5" t="s">
        <v>244</v>
      </c>
      <c r="H9" s="3" t="s">
        <v>997</v>
      </c>
      <c r="I9" s="10">
        <v>2374.84</v>
      </c>
      <c r="J9" s="78">
        <v>43647</v>
      </c>
      <c r="K9" s="78">
        <v>43831</v>
      </c>
      <c r="L9" s="50" t="str">
        <f>VLOOKUP(F9,'Listado General'!$E$2:$K$167,7,FALSE)</f>
        <v>3FEMF46R49MA20301</v>
      </c>
      <c r="M9" s="50" t="b">
        <f t="shared" si="0"/>
        <v>1</v>
      </c>
      <c r="N9" s="50" t="str">
        <f t="shared" si="1"/>
        <v>3FEMF46R49MA20301 JP40492</v>
      </c>
      <c r="O9" s="50" t="str">
        <f>IF(ISERROR(VLOOKUP(N9,'Listado General'!$Y$2:$Y$167,1,FALSE))=TRUE,"No coinciden","Si coinciden")</f>
        <v>Si coinciden</v>
      </c>
      <c r="P9" s="11" t="s">
        <v>614</v>
      </c>
    </row>
    <row r="10" spans="1:16" x14ac:dyDescent="0.25">
      <c r="A10" s="3">
        <v>115</v>
      </c>
      <c r="B10" s="50" t="s">
        <v>993</v>
      </c>
      <c r="C10" s="50" t="s">
        <v>969</v>
      </c>
      <c r="D10" s="5" t="s">
        <v>859</v>
      </c>
      <c r="E10" s="5">
        <v>2011</v>
      </c>
      <c r="F10" s="79" t="s">
        <v>521</v>
      </c>
      <c r="G10" s="5" t="s">
        <v>610</v>
      </c>
      <c r="H10" s="3" t="s">
        <v>996</v>
      </c>
      <c r="I10" s="10">
        <v>2471.9</v>
      </c>
      <c r="J10" s="78">
        <v>43647</v>
      </c>
      <c r="K10" s="78">
        <v>43831</v>
      </c>
      <c r="L10" s="50" t="str">
        <f>VLOOKUP(F10,'Listado General'!$E$2:$K$167,7,FALSE)</f>
        <v>8AFER5AD6B6371764</v>
      </c>
      <c r="M10" s="50" t="b">
        <f t="shared" si="0"/>
        <v>1</v>
      </c>
      <c r="N10" s="50" t="str">
        <f t="shared" si="1"/>
        <v>8AFER5AD6B6371764 JS24351</v>
      </c>
      <c r="O10" s="50" t="str">
        <f>IF(ISERROR(VLOOKUP(N10,'Listado General'!$Y$2:$Y$167,1,FALSE))=TRUE,"No coinciden","Si coinciden")</f>
        <v>Si coinciden</v>
      </c>
      <c r="P10" s="11" t="s">
        <v>479</v>
      </c>
    </row>
    <row r="11" spans="1:16" x14ac:dyDescent="0.25">
      <c r="A11" s="3">
        <v>116</v>
      </c>
      <c r="B11" s="50" t="s">
        <v>995</v>
      </c>
      <c r="C11" s="50" t="s">
        <v>969</v>
      </c>
      <c r="D11" s="5" t="s">
        <v>859</v>
      </c>
      <c r="E11" s="5">
        <v>2011</v>
      </c>
      <c r="F11" s="79" t="s">
        <v>503</v>
      </c>
      <c r="G11" s="5" t="s">
        <v>611</v>
      </c>
      <c r="H11" s="3" t="s">
        <v>996</v>
      </c>
      <c r="I11" s="10">
        <v>2471.9</v>
      </c>
      <c r="J11" s="78">
        <v>43647</v>
      </c>
      <c r="K11" s="78">
        <v>43831</v>
      </c>
      <c r="L11" s="50" t="str">
        <f>VLOOKUP(F11,'Listado General'!$E$2:$K$167,7,FALSE)</f>
        <v>8AFER5AD2B6376282</v>
      </c>
      <c r="M11" s="50" t="b">
        <f t="shared" si="0"/>
        <v>1</v>
      </c>
      <c r="N11" s="50" t="str">
        <f t="shared" si="1"/>
        <v>8AFER5AD2B6376282 JS24352</v>
      </c>
      <c r="O11" s="50" t="str">
        <f>IF(ISERROR(VLOOKUP(N11,'Listado General'!$Y$2:$Y$167,1,FALSE))=TRUE,"No coinciden","Si coinciden")</f>
        <v>Si coinciden</v>
      </c>
      <c r="P11" s="11" t="s">
        <v>477</v>
      </c>
    </row>
    <row r="12" spans="1:16" x14ac:dyDescent="0.25">
      <c r="A12" s="3">
        <v>117</v>
      </c>
      <c r="B12" s="50" t="s">
        <v>992</v>
      </c>
      <c r="C12" s="50" t="s">
        <v>969</v>
      </c>
      <c r="D12" s="5" t="s">
        <v>859</v>
      </c>
      <c r="E12" s="5">
        <v>2011</v>
      </c>
      <c r="F12" s="79" t="s">
        <v>530</v>
      </c>
      <c r="G12" s="5" t="s">
        <v>613</v>
      </c>
      <c r="H12" s="3" t="s">
        <v>996</v>
      </c>
      <c r="I12" s="10">
        <v>2471.9</v>
      </c>
      <c r="J12" s="78">
        <v>43647</v>
      </c>
      <c r="K12" s="78">
        <v>43831</v>
      </c>
      <c r="L12" s="50" t="str">
        <f>VLOOKUP(F12,'Listado General'!$E$2:$K$167,7,FALSE)</f>
        <v>8AFER5AD0B6376748</v>
      </c>
      <c r="M12" s="50" t="b">
        <f t="shared" si="0"/>
        <v>1</v>
      </c>
      <c r="N12" s="50" t="str">
        <f t="shared" si="1"/>
        <v>8AFER5AD0B6376748 JS24353</v>
      </c>
      <c r="O12" s="50" t="str">
        <f>IF(ISERROR(VLOOKUP(N12,'Listado General'!$Y$2:$Y$167,1,FALSE))=TRUE,"No coinciden","Si coinciden")</f>
        <v>Si coinciden</v>
      </c>
      <c r="P12" s="11" t="s">
        <v>471</v>
      </c>
    </row>
    <row r="13" spans="1:16" x14ac:dyDescent="0.25">
      <c r="A13" s="3">
        <v>120</v>
      </c>
      <c r="B13" s="50" t="s">
        <v>994</v>
      </c>
      <c r="C13" s="50" t="s">
        <v>969</v>
      </c>
      <c r="D13" s="5" t="s">
        <v>859</v>
      </c>
      <c r="E13" s="5">
        <v>2011</v>
      </c>
      <c r="F13" s="79" t="s">
        <v>501</v>
      </c>
      <c r="G13" s="5" t="s">
        <v>271</v>
      </c>
      <c r="H13" s="3" t="s">
        <v>996</v>
      </c>
      <c r="I13" s="10">
        <v>2471.9</v>
      </c>
      <c r="J13" s="78">
        <v>43647</v>
      </c>
      <c r="K13" s="78">
        <v>43831</v>
      </c>
      <c r="L13" s="50" t="str">
        <f>VLOOKUP(F13,'Listado General'!$E$2:$K$167,7,FALSE)</f>
        <v>8AFER5AD4B6376736</v>
      </c>
      <c r="M13" s="50" t="b">
        <f t="shared" si="0"/>
        <v>1</v>
      </c>
      <c r="N13" s="50" t="str">
        <f t="shared" si="1"/>
        <v>8AFER5AD4B6376736 JS24356</v>
      </c>
      <c r="O13" s="50" t="str">
        <f>IF(ISERROR(VLOOKUP(N13,'Listado General'!$Y$2:$Y$167,1,FALSE))=TRUE,"No coinciden","Si coinciden")</f>
        <v>Si coinciden</v>
      </c>
      <c r="P13" s="11" t="s">
        <v>466</v>
      </c>
    </row>
    <row r="14" spans="1:16" x14ac:dyDescent="0.25">
      <c r="A14" s="3">
        <v>122</v>
      </c>
      <c r="B14" s="50" t="s">
        <v>1028</v>
      </c>
      <c r="C14" s="50" t="s">
        <v>969</v>
      </c>
      <c r="D14" s="5" t="s">
        <v>859</v>
      </c>
      <c r="E14" s="5">
        <v>2011</v>
      </c>
      <c r="F14" s="79" t="s">
        <v>574</v>
      </c>
      <c r="G14" s="5" t="s">
        <v>275</v>
      </c>
      <c r="H14" s="3" t="s">
        <v>996</v>
      </c>
      <c r="I14" s="10">
        <v>2471.9</v>
      </c>
      <c r="J14" s="78">
        <v>43647</v>
      </c>
      <c r="K14" s="78">
        <v>43831</v>
      </c>
      <c r="L14" s="50" t="str">
        <f>VLOOKUP(F14,'Listado General'!$E$2:$K$167,7,FALSE)</f>
        <v>8AFER5AD7B6377315</v>
      </c>
      <c r="M14" s="50" t="b">
        <f t="shared" si="0"/>
        <v>1</v>
      </c>
      <c r="N14" s="50" t="str">
        <f t="shared" si="1"/>
        <v>8AFER5AD7B6377315 JS93646</v>
      </c>
      <c r="O14" s="50" t="str">
        <f>IF(ISERROR(VLOOKUP(N14,'Listado General'!$Y$2:$Y$167,1,FALSE))=TRUE,"No coinciden","Si coinciden")</f>
        <v>Si coinciden</v>
      </c>
      <c r="P14" s="11" t="s">
        <v>953</v>
      </c>
    </row>
    <row r="15" spans="1:16" x14ac:dyDescent="0.25">
      <c r="A15" s="3">
        <v>149</v>
      </c>
      <c r="B15" s="50" t="s">
        <v>977</v>
      </c>
      <c r="C15" s="50" t="s">
        <v>969</v>
      </c>
      <c r="D15" s="5" t="s">
        <v>859</v>
      </c>
      <c r="E15" s="5">
        <v>2012</v>
      </c>
      <c r="F15" s="79" t="s">
        <v>496</v>
      </c>
      <c r="G15" s="5" t="s">
        <v>358</v>
      </c>
      <c r="H15" s="3" t="s">
        <v>996</v>
      </c>
      <c r="I15" s="10">
        <v>2513.21</v>
      </c>
      <c r="J15" s="78">
        <v>43647</v>
      </c>
      <c r="K15" s="78">
        <v>43831</v>
      </c>
      <c r="L15" s="50" t="str">
        <f>VLOOKUP(F15,'Listado General'!$E$2:$K$167,7,FALSE)</f>
        <v>8AFER5AD3C6019274</v>
      </c>
      <c r="M15" s="50" t="b">
        <f t="shared" si="0"/>
        <v>1</v>
      </c>
      <c r="N15" s="50" t="str">
        <f t="shared" si="1"/>
        <v>8AFER5AD3C6019274 JT20423</v>
      </c>
      <c r="O15" s="50" t="str">
        <f>IF(ISERROR(VLOOKUP(N15,'Listado General'!$Y$2:$Y$167,1,FALSE))=TRUE,"No coinciden","Si coinciden")</f>
        <v>Si coinciden</v>
      </c>
      <c r="P15" s="4" t="s">
        <v>474</v>
      </c>
    </row>
    <row r="16" spans="1:16" x14ac:dyDescent="0.25">
      <c r="A16" s="3">
        <v>150</v>
      </c>
      <c r="B16" s="50" t="s">
        <v>978</v>
      </c>
      <c r="C16" s="50" t="s">
        <v>969</v>
      </c>
      <c r="D16" s="5" t="s">
        <v>859</v>
      </c>
      <c r="E16" s="5">
        <v>2012</v>
      </c>
      <c r="F16" s="79" t="s">
        <v>500</v>
      </c>
      <c r="G16" s="5" t="s">
        <v>359</v>
      </c>
      <c r="H16" s="3" t="s">
        <v>996</v>
      </c>
      <c r="I16" s="10">
        <v>2513.12</v>
      </c>
      <c r="J16" s="78">
        <v>43647</v>
      </c>
      <c r="K16" s="78">
        <v>43831</v>
      </c>
      <c r="L16" s="50" t="str">
        <f>VLOOKUP(F16,'Listado General'!$E$2:$K$167,7,FALSE)</f>
        <v>8AFER5AD6C6013775</v>
      </c>
      <c r="M16" s="50" t="b">
        <f t="shared" si="0"/>
        <v>1</v>
      </c>
      <c r="N16" s="50" t="str">
        <f t="shared" si="1"/>
        <v>8AFER5AD6C6013775 JT20425</v>
      </c>
      <c r="O16" s="50" t="str">
        <f>IF(ISERROR(VLOOKUP(N16,'Listado General'!$Y$2:$Y$167,1,FALSE))=TRUE,"No coinciden","Si coinciden")</f>
        <v>Si coinciden</v>
      </c>
      <c r="P16" s="11" t="s">
        <v>475</v>
      </c>
    </row>
    <row r="17" spans="1:16" x14ac:dyDescent="0.25">
      <c r="A17" s="3">
        <v>151</v>
      </c>
      <c r="B17" s="50" t="s">
        <v>979</v>
      </c>
      <c r="C17" s="50" t="s">
        <v>969</v>
      </c>
      <c r="D17" s="5" t="s">
        <v>859</v>
      </c>
      <c r="E17" s="5">
        <v>2012</v>
      </c>
      <c r="F17" s="79" t="s">
        <v>508</v>
      </c>
      <c r="G17" s="5" t="s">
        <v>360</v>
      </c>
      <c r="H17" s="3" t="s">
        <v>996</v>
      </c>
      <c r="I17" s="10">
        <v>2513.12</v>
      </c>
      <c r="J17" s="78">
        <v>43647</v>
      </c>
      <c r="K17" s="78">
        <v>43831</v>
      </c>
      <c r="L17" s="50" t="str">
        <f>VLOOKUP(F17,'Listado General'!$E$2:$K$167,7,FALSE)</f>
        <v>8AFER5AD9C6018758</v>
      </c>
      <c r="M17" s="50" t="b">
        <f t="shared" si="0"/>
        <v>1</v>
      </c>
      <c r="N17" s="50" t="str">
        <f t="shared" si="1"/>
        <v>8AFER5AD9C6018758 JT20422</v>
      </c>
      <c r="O17" s="50" t="str">
        <f>IF(ISERROR(VLOOKUP(N17,'Listado General'!$Y$2:$Y$167,1,FALSE))=TRUE,"No coinciden","Si coinciden")</f>
        <v>Si coinciden</v>
      </c>
      <c r="P17" s="11" t="s">
        <v>478</v>
      </c>
    </row>
    <row r="18" spans="1:16" x14ac:dyDescent="0.25">
      <c r="A18" s="3">
        <v>152</v>
      </c>
      <c r="B18" s="50" t="s">
        <v>980</v>
      </c>
      <c r="C18" s="50" t="s">
        <v>969</v>
      </c>
      <c r="D18" s="5" t="s">
        <v>859</v>
      </c>
      <c r="E18" s="5">
        <v>2012</v>
      </c>
      <c r="F18" s="79" t="s">
        <v>516</v>
      </c>
      <c r="G18" s="5" t="s">
        <v>361</v>
      </c>
      <c r="H18" s="3" t="s">
        <v>996</v>
      </c>
      <c r="I18" s="10">
        <v>2513.12</v>
      </c>
      <c r="J18" s="78">
        <v>43647</v>
      </c>
      <c r="K18" s="78">
        <v>43831</v>
      </c>
      <c r="L18" s="50" t="str">
        <f>VLOOKUP(F18,'Listado General'!$E$2:$K$167,7,FALSE)</f>
        <v>8AFER5AD5C6019275</v>
      </c>
      <c r="M18" s="50" t="b">
        <f t="shared" si="0"/>
        <v>1</v>
      </c>
      <c r="N18" s="50" t="str">
        <f t="shared" si="1"/>
        <v>8AFER5AD5C6019275 JT20421</v>
      </c>
      <c r="O18" s="50" t="str">
        <f>IF(ISERROR(VLOOKUP(N18,'Listado General'!$Y$2:$Y$167,1,FALSE))=TRUE,"No coinciden","Si coinciden")</f>
        <v>Si coinciden</v>
      </c>
      <c r="P18" s="11" t="s">
        <v>469</v>
      </c>
    </row>
    <row r="19" spans="1:16" x14ac:dyDescent="0.25">
      <c r="A19" s="3">
        <v>153</v>
      </c>
      <c r="B19" s="50" t="s">
        <v>982</v>
      </c>
      <c r="C19" s="50" t="s">
        <v>969</v>
      </c>
      <c r="D19" s="5" t="s">
        <v>983</v>
      </c>
      <c r="E19" s="5">
        <v>2012</v>
      </c>
      <c r="F19" s="79" t="s">
        <v>551</v>
      </c>
      <c r="G19" s="5" t="s">
        <v>368</v>
      </c>
      <c r="H19" s="3" t="s">
        <v>997</v>
      </c>
      <c r="I19" s="10">
        <v>2190.35</v>
      </c>
      <c r="J19" s="78">
        <v>43647</v>
      </c>
      <c r="K19" s="78">
        <v>43831</v>
      </c>
      <c r="L19" s="50" t="str">
        <f>VLOOKUP(F19,'Listado General'!$E$2:$K$167,7,FALSE)</f>
        <v>1FDEF3G68CEA36070</v>
      </c>
      <c r="M19" s="50" t="b">
        <f t="shared" si="0"/>
        <v>1</v>
      </c>
      <c r="N19" s="50" t="str">
        <f t="shared" si="1"/>
        <v>1FDEF3G68CEA36070 JT20465</v>
      </c>
      <c r="O19" s="50" t="str">
        <f>IF(ISERROR(VLOOKUP(N19,'Listado General'!$Y$2:$Y$167,1,FALSE))=TRUE,"No coinciden","Si coinciden")</f>
        <v>Si coinciden</v>
      </c>
      <c r="P19" s="11" t="s">
        <v>614</v>
      </c>
    </row>
    <row r="20" spans="1:16" x14ac:dyDescent="0.25">
      <c r="A20" s="3">
        <v>154</v>
      </c>
      <c r="B20" s="50" t="s">
        <v>968</v>
      </c>
      <c r="C20" s="50" t="s">
        <v>969</v>
      </c>
      <c r="D20" s="5" t="s">
        <v>970</v>
      </c>
      <c r="E20" s="5">
        <v>2013</v>
      </c>
      <c r="F20" s="79" t="s">
        <v>404</v>
      </c>
      <c r="G20" s="5" t="s">
        <v>372</v>
      </c>
      <c r="H20" s="3" t="s">
        <v>971</v>
      </c>
      <c r="I20" s="10">
        <v>1900.25</v>
      </c>
      <c r="J20" s="78">
        <v>43647</v>
      </c>
      <c r="K20" s="78">
        <v>43831</v>
      </c>
      <c r="L20" s="50" t="str">
        <f>VLOOKUP(F20,'Listado General'!$E$2:$K$167,7,FALSE)</f>
        <v>3G1TA5AF7DL107851</v>
      </c>
      <c r="M20" s="50" t="b">
        <f>G20=L20</f>
        <v>1</v>
      </c>
      <c r="N20" s="50" t="str">
        <f>CONCATENATE(TRIM(G20)," ",TRIM(F20))</f>
        <v>3G1TA5AF7DL107851 JKF1435</v>
      </c>
      <c r="O20" s="50" t="str">
        <f>IF(ISERROR(VLOOKUP(N20,'Listado General'!$Y$2:$Y$167,1,FALSE))=TRUE,"No coinciden","Si coinciden")</f>
        <v>Si coinciden</v>
      </c>
      <c r="P20" s="11" t="s">
        <v>816</v>
      </c>
    </row>
    <row r="21" spans="1:16" x14ac:dyDescent="0.25">
      <c r="A21" s="3">
        <v>155</v>
      </c>
      <c r="B21" s="50" t="s">
        <v>981</v>
      </c>
      <c r="C21" s="50" t="s">
        <v>969</v>
      </c>
      <c r="D21" s="5" t="s">
        <v>859</v>
      </c>
      <c r="E21" s="5">
        <v>2012</v>
      </c>
      <c r="F21" s="79" t="s">
        <v>557</v>
      </c>
      <c r="G21" s="5" t="s">
        <v>378</v>
      </c>
      <c r="H21" s="3" t="s">
        <v>996</v>
      </c>
      <c r="I21" s="10">
        <v>2513.12</v>
      </c>
      <c r="J21" s="78">
        <v>43647</v>
      </c>
      <c r="K21" s="78">
        <v>43831</v>
      </c>
      <c r="L21" s="50" t="str">
        <f>VLOOKUP(F21,'Listado General'!$E$2:$K$167,7,FALSE)</f>
        <v>8AFER5AD0C6018843</v>
      </c>
      <c r="M21" s="50" t="b">
        <f>G21=L21</f>
        <v>1</v>
      </c>
      <c r="N21" s="50" t="str">
        <f t="shared" si="1"/>
        <v>8AFER5AD0C6018843 JT62641</v>
      </c>
      <c r="O21" s="50" t="str">
        <f>IF(ISERROR(VLOOKUP(N21,'Listado General'!$Y$2:$Y$167,1,FALSE))=TRUE,"No coinciden","Si coinciden")</f>
        <v>Si coinciden</v>
      </c>
      <c r="P21" s="11" t="s">
        <v>485</v>
      </c>
    </row>
    <row r="22" spans="1:16" x14ac:dyDescent="0.25">
      <c r="A22" s="3">
        <v>156</v>
      </c>
      <c r="B22" s="50" t="s">
        <v>974</v>
      </c>
      <c r="C22" s="50" t="s">
        <v>969</v>
      </c>
      <c r="D22" s="5" t="s">
        <v>972</v>
      </c>
      <c r="E22" s="5">
        <v>2012</v>
      </c>
      <c r="F22" s="79" t="s">
        <v>406</v>
      </c>
      <c r="G22" s="5" t="s">
        <v>373</v>
      </c>
      <c r="H22" s="3" t="s">
        <v>971</v>
      </c>
      <c r="I22" s="10">
        <v>2336.11</v>
      </c>
      <c r="J22" s="78">
        <v>43647</v>
      </c>
      <c r="K22" s="78">
        <v>43831</v>
      </c>
      <c r="L22" s="50" t="str">
        <f>VLOOKUP(F22,'Listado General'!$E$2:$K$167,7,FALSE)</f>
        <v>1C4AJPAB8CD640268</v>
      </c>
      <c r="M22" s="50" t="b">
        <f>G22=L22</f>
        <v>1</v>
      </c>
      <c r="N22" s="50" t="str">
        <f t="shared" si="1"/>
        <v>1C4AJPAB8CD640268 JKF9539</v>
      </c>
      <c r="O22" s="50" t="str">
        <f>IF(ISERROR(VLOOKUP(N22,'Listado General'!$Y$2:$Y$167,1,FALSE))=TRUE,"No coinciden","Si coinciden")</f>
        <v>Si coinciden</v>
      </c>
      <c r="P22" s="4" t="s">
        <v>485</v>
      </c>
    </row>
    <row r="23" spans="1:16" x14ac:dyDescent="0.25">
      <c r="A23" s="3">
        <v>157</v>
      </c>
      <c r="B23" s="50" t="s">
        <v>975</v>
      </c>
      <c r="C23" s="50" t="s">
        <v>969</v>
      </c>
      <c r="D23" s="3" t="s">
        <v>973</v>
      </c>
      <c r="E23" s="5">
        <v>2012</v>
      </c>
      <c r="F23" s="79" t="s">
        <v>567</v>
      </c>
      <c r="G23" s="5" t="s">
        <v>380</v>
      </c>
      <c r="H23" s="3" t="s">
        <v>971</v>
      </c>
      <c r="I23" s="75">
        <v>2106.41</v>
      </c>
      <c r="J23" s="78">
        <v>43647</v>
      </c>
      <c r="K23" s="78">
        <v>43831</v>
      </c>
      <c r="L23" s="50" t="str">
        <f>VLOOKUP(F23,'Listado General'!$E$2:$K$167,7,FALSE)</f>
        <v>1FMNE1BW8CDA61944</v>
      </c>
      <c r="M23" s="50" t="b">
        <f>G23=L23</f>
        <v>1</v>
      </c>
      <c r="N23" s="50" t="str">
        <f t="shared" si="1"/>
        <v>1FMNE1BW8CDA61944 JKF9506</v>
      </c>
      <c r="O23" s="50" t="str">
        <f>IF(ISERROR(VLOOKUP(N23,'Listado General'!$Y$2:$Y$167,1,FALSE))=TRUE,"No coinciden","Si coinciden")</f>
        <v>Si coinciden</v>
      </c>
      <c r="P23" s="4" t="s">
        <v>485</v>
      </c>
    </row>
  </sheetData>
  <autoFilter ref="A1:P23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82"/>
  <sheetViews>
    <sheetView workbookViewId="0">
      <pane xSplit="7" ySplit="1" topLeftCell="I2" activePane="bottomRight" state="frozen"/>
      <selection pane="topRight" activeCell="H1" sqref="H1"/>
      <selection pane="bottomLeft" activeCell="A2" sqref="A2"/>
      <selection pane="bottomRight" activeCell="P2" sqref="P2"/>
    </sheetView>
  </sheetViews>
  <sheetFormatPr baseColWidth="10" defaultRowHeight="12.75" x14ac:dyDescent="0.2"/>
  <cols>
    <col min="1" max="1" width="11.5703125" style="50" bestFit="1" customWidth="1"/>
    <col min="2" max="2" width="11.42578125" style="50"/>
    <col min="3" max="3" width="13.140625" style="50" bestFit="1" customWidth="1"/>
    <col min="4" max="4" width="9.5703125" style="50" bestFit="1" customWidth="1"/>
    <col min="5" max="5" width="11.42578125" style="50" bestFit="1" customWidth="1"/>
    <col min="6" max="6" width="18" style="50" bestFit="1" customWidth="1"/>
    <col min="7" max="7" width="10.7109375" style="50" bestFit="1" customWidth="1"/>
    <col min="8" max="8" width="21.7109375" style="50" bestFit="1" customWidth="1"/>
    <col min="9" max="9" width="10.140625" style="50" bestFit="1" customWidth="1"/>
    <col min="10" max="10" width="16.85546875" style="50" bestFit="1" customWidth="1"/>
    <col min="11" max="11" width="20.140625" style="50" bestFit="1" customWidth="1"/>
    <col min="12" max="12" width="18.42578125" style="50" bestFit="1" customWidth="1"/>
    <col min="13" max="13" width="21.7109375" style="50" bestFit="1" customWidth="1"/>
    <col min="14" max="18" width="12.7109375" style="50" customWidth="1"/>
    <col min="19" max="16384" width="11.42578125" style="50"/>
  </cols>
  <sheetData>
    <row r="1" spans="1:21" x14ac:dyDescent="0.2">
      <c r="A1" s="1" t="s">
        <v>423</v>
      </c>
      <c r="B1" s="50" t="s">
        <v>799</v>
      </c>
      <c r="C1" s="50" t="s">
        <v>819</v>
      </c>
      <c r="D1" s="51" t="s">
        <v>801</v>
      </c>
      <c r="E1" s="51" t="s">
        <v>0</v>
      </c>
      <c r="F1" s="51" t="s">
        <v>802</v>
      </c>
      <c r="G1" s="51" t="s">
        <v>803</v>
      </c>
      <c r="H1" s="51" t="s">
        <v>804</v>
      </c>
      <c r="I1" s="51" t="s">
        <v>805</v>
      </c>
      <c r="J1" s="51" t="s">
        <v>806</v>
      </c>
      <c r="K1" s="51" t="s">
        <v>807</v>
      </c>
      <c r="L1" s="51" t="s">
        <v>808</v>
      </c>
      <c r="M1" s="50" t="s">
        <v>811</v>
      </c>
      <c r="N1" s="50" t="s">
        <v>812</v>
      </c>
      <c r="O1" s="50" t="s">
        <v>813</v>
      </c>
      <c r="P1" s="50" t="s">
        <v>821</v>
      </c>
      <c r="Q1" s="50" t="s">
        <v>822</v>
      </c>
      <c r="S1" s="55"/>
      <c r="T1" s="50" t="s">
        <v>809</v>
      </c>
      <c r="U1" s="58">
        <v>43515</v>
      </c>
    </row>
    <row r="2" spans="1:21" x14ac:dyDescent="0.2">
      <c r="A2" s="50">
        <f>VLOOKUP(TRIM(G2),'Listado General'!$A$2:$D$167,4,FALSE)</f>
        <v>1</v>
      </c>
      <c r="B2" s="50" t="s">
        <v>800</v>
      </c>
      <c r="C2" s="50" t="s">
        <v>820</v>
      </c>
      <c r="D2" s="54">
        <v>1</v>
      </c>
      <c r="E2" s="52">
        <v>2004</v>
      </c>
      <c r="F2" s="52" t="s">
        <v>793</v>
      </c>
      <c r="G2" s="52" t="s">
        <v>408</v>
      </c>
      <c r="H2" s="52" t="s">
        <v>3</v>
      </c>
      <c r="I2" s="52" t="s">
        <v>794</v>
      </c>
      <c r="J2" s="53">
        <v>2712.09</v>
      </c>
      <c r="K2" s="56">
        <v>43466.000694444447</v>
      </c>
      <c r="L2" s="57">
        <v>43830.500694444447</v>
      </c>
      <c r="M2" s="50" t="str">
        <f>VLOOKUP(G2,'Listado General'!$E$2:$K$167,7,FALSE)</f>
        <v>1GNFG15T641133156</v>
      </c>
      <c r="N2" s="50" t="b">
        <f t="shared" ref="N2:N33" si="0">H2=M2</f>
        <v>1</v>
      </c>
      <c r="O2" s="50" t="str">
        <f>CONCATENATE(TRIM(H2)," ",TRIM(G2))</f>
        <v>1GNFG15T641133156 JDD1989</v>
      </c>
      <c r="P2" s="50" t="str">
        <f>IF(ISERROR(VLOOKUP(O2,'Listado General'!$Y$2:$Y$167,1,FALSE))=TRUE,"No coinciden","Si coinciden")</f>
        <v>Si coinciden</v>
      </c>
      <c r="Q2" s="50" t="str">
        <f>VLOOKUP(G2,'Listado General'!$E$2:$N$167,10,FALSE)</f>
        <v>Departamento de Servicios Generales y Recursos Materiales</v>
      </c>
      <c r="S2" s="60"/>
      <c r="T2" s="50" t="s">
        <v>809</v>
      </c>
      <c r="U2" s="58">
        <v>43516</v>
      </c>
    </row>
    <row r="3" spans="1:21" x14ac:dyDescent="0.2">
      <c r="A3" s="50">
        <f>VLOOKUP(TRIM(G3),'Listado General'!$A$2:$D$167,4,FALSE)</f>
        <v>86</v>
      </c>
      <c r="B3" s="50" t="s">
        <v>800</v>
      </c>
      <c r="C3" s="50" t="s">
        <v>820</v>
      </c>
      <c r="D3" s="54">
        <v>2</v>
      </c>
      <c r="E3" s="52">
        <v>2008</v>
      </c>
      <c r="F3" s="52" t="s">
        <v>426</v>
      </c>
      <c r="G3" s="52" t="s">
        <v>502</v>
      </c>
      <c r="H3" s="52" t="s">
        <v>194</v>
      </c>
      <c r="I3" s="52" t="s">
        <v>794</v>
      </c>
      <c r="J3" s="53">
        <v>3307.35</v>
      </c>
      <c r="K3" s="56">
        <v>43466.000694444447</v>
      </c>
      <c r="L3" s="57">
        <v>43830.500694444447</v>
      </c>
      <c r="M3" s="50" t="str">
        <f>VLOOKUP(G3,'Listado General'!$E$2:$K$167,7,FALSE)</f>
        <v>3N6DD13S18K012040</v>
      </c>
      <c r="N3" s="50" t="b">
        <f t="shared" si="0"/>
        <v>1</v>
      </c>
      <c r="O3" s="50" t="str">
        <f t="shared" ref="O3:O66" si="1">CONCATENATE(TRIM(H3)," ",TRIM(G3))</f>
        <v>3N6DD13S18K012040 JN93827</v>
      </c>
      <c r="P3" s="50" t="str">
        <f>IF(ISERROR(VLOOKUP(O3,'Listado General'!$Y$2:$Y$167,1,FALSE))=TRUE,"No coinciden","Si coinciden")</f>
        <v>Si coinciden</v>
      </c>
      <c r="Q3" s="50" t="str">
        <f>VLOOKUP(G3,'Listado General'!$E$2:$N$167,10,FALSE)</f>
        <v>CZ 06 Mazamitla</v>
      </c>
      <c r="S3" s="63"/>
      <c r="T3" s="50" t="s">
        <v>809</v>
      </c>
      <c r="U3" s="58">
        <v>43517</v>
      </c>
    </row>
    <row r="4" spans="1:21" x14ac:dyDescent="0.2">
      <c r="A4" s="50">
        <f>VLOOKUP(TRIM(G4),'Listado General'!$A$2:$D$167,4,FALSE)</f>
        <v>121</v>
      </c>
      <c r="B4" s="50" t="s">
        <v>800</v>
      </c>
      <c r="C4" s="50" t="s">
        <v>820</v>
      </c>
      <c r="D4" s="54">
        <v>3</v>
      </c>
      <c r="E4" s="52">
        <v>2012</v>
      </c>
      <c r="F4" s="52" t="s">
        <v>795</v>
      </c>
      <c r="G4" s="52" t="s">
        <v>566</v>
      </c>
      <c r="H4" s="52" t="s">
        <v>273</v>
      </c>
      <c r="I4" s="52" t="s">
        <v>794</v>
      </c>
      <c r="J4" s="53">
        <v>26296.54</v>
      </c>
      <c r="K4" s="56">
        <v>43466.000694444447</v>
      </c>
      <c r="L4" s="57">
        <v>43830.500694444447</v>
      </c>
      <c r="M4" s="50" t="str">
        <f>VLOOKUP(G4,'Listado General'!$E$2:$K$167,7,FALSE)</f>
        <v>3ADBYBJN0CS010848</v>
      </c>
      <c r="N4" s="50" t="b">
        <f t="shared" si="0"/>
        <v>1</v>
      </c>
      <c r="O4" s="50" t="str">
        <f t="shared" si="1"/>
        <v>3ADBYBJN0CS010848 9GPD67</v>
      </c>
      <c r="P4" s="50" t="str">
        <f>IF(ISERROR(VLOOKUP(O4,'Listado General'!$Y$2:$Y$167,1,FALSE))=TRUE,"No coinciden","Si coinciden")</f>
        <v>Si coinciden</v>
      </c>
      <c r="Q4" s="50" t="str">
        <f>VLOOKUP(G4,'Listado General'!$E$2:$N$167,10,FALSE)</f>
        <v>Almacén General</v>
      </c>
      <c r="S4" s="65"/>
      <c r="T4" s="50" t="s">
        <v>809</v>
      </c>
      <c r="U4" s="58">
        <v>43518</v>
      </c>
    </row>
    <row r="5" spans="1:21" x14ac:dyDescent="0.2">
      <c r="A5" s="50">
        <f>VLOOKUP(TRIM(G5),'Listado General'!$A$2:$D$167,4,FALSE)</f>
        <v>68</v>
      </c>
      <c r="B5" s="50" t="s">
        <v>800</v>
      </c>
      <c r="C5" s="50" t="s">
        <v>820</v>
      </c>
      <c r="D5" s="54">
        <v>4</v>
      </c>
      <c r="E5" s="52">
        <v>2004</v>
      </c>
      <c r="F5" s="52" t="s">
        <v>793</v>
      </c>
      <c r="G5" s="52" t="s">
        <v>550</v>
      </c>
      <c r="H5" s="52" t="s">
        <v>150</v>
      </c>
      <c r="I5" s="52" t="s">
        <v>794</v>
      </c>
      <c r="J5" s="53">
        <v>3309.53</v>
      </c>
      <c r="K5" s="56">
        <v>43466.000694444447</v>
      </c>
      <c r="L5" s="57">
        <v>43830.500694444447</v>
      </c>
      <c r="M5" s="50" t="str">
        <f>VLOOKUP(G5,'Listado General'!$E$2:$K$167,7,FALSE)</f>
        <v>3GBKC34G84M100895</v>
      </c>
      <c r="N5" s="50" t="b">
        <f t="shared" si="0"/>
        <v>1</v>
      </c>
      <c r="O5" s="50" t="str">
        <f t="shared" si="1"/>
        <v>3GBKC34G84M100895 JL04138</v>
      </c>
      <c r="P5" s="50" t="str">
        <f>IF(ISERROR(VLOOKUP(O5,'Listado General'!$Y$2:$Y$167,1,FALSE))=TRUE,"No coinciden","Si coinciden")</f>
        <v>Si coinciden</v>
      </c>
      <c r="Q5" s="50" t="str">
        <f>VLOOKUP(G5,'Listado General'!$E$2:$N$167,10,FALSE)</f>
        <v>Almacén General</v>
      </c>
    </row>
    <row r="6" spans="1:21" x14ac:dyDescent="0.2">
      <c r="A6" s="50">
        <f>VLOOKUP(TRIM(G6),'Listado General'!$A$2:$D$167,4,FALSE)</f>
        <v>75</v>
      </c>
      <c r="B6" s="50" t="s">
        <v>800</v>
      </c>
      <c r="C6" s="50" t="s">
        <v>820</v>
      </c>
      <c r="D6" s="54">
        <v>5</v>
      </c>
      <c r="E6" s="52">
        <v>2005</v>
      </c>
      <c r="F6" s="52" t="s">
        <v>793</v>
      </c>
      <c r="G6" s="52" t="s">
        <v>529</v>
      </c>
      <c r="H6" s="52" t="s">
        <v>166</v>
      </c>
      <c r="I6" s="52" t="s">
        <v>794</v>
      </c>
      <c r="J6" s="53">
        <v>2148.4899999999998</v>
      </c>
      <c r="K6" s="56">
        <v>43466.000694444447</v>
      </c>
      <c r="L6" s="57">
        <v>43830.500694444447</v>
      </c>
      <c r="M6" s="50" t="str">
        <f>VLOOKUP(G6,'Listado General'!$E$2:$K$167,7,FALSE)</f>
        <v>8GGTFRC145A148678</v>
      </c>
      <c r="N6" s="50" t="b">
        <f t="shared" si="0"/>
        <v>1</v>
      </c>
      <c r="O6" s="50" t="str">
        <f t="shared" si="1"/>
        <v>8GGTFRC145A148678 JM52178</v>
      </c>
      <c r="P6" s="50" t="str">
        <f>IF(ISERROR(VLOOKUP(O6,'Listado General'!$Y$2:$Y$167,1,FALSE))=TRUE,"No coinciden","Si coinciden")</f>
        <v>Si coinciden</v>
      </c>
      <c r="Q6" s="50" t="str">
        <f>VLOOKUP(G6,'Listado General'!$E$2:$N$167,10,FALSE)</f>
        <v>CZ 18 Zapopan</v>
      </c>
    </row>
    <row r="7" spans="1:21" x14ac:dyDescent="0.2">
      <c r="A7" s="50">
        <f>VLOOKUP(TRIM(G7),'Listado General'!$A$2:$D$167,4,FALSE)</f>
        <v>132</v>
      </c>
      <c r="B7" s="50" t="s">
        <v>800</v>
      </c>
      <c r="C7" s="50" t="s">
        <v>820</v>
      </c>
      <c r="D7" s="54">
        <v>6</v>
      </c>
      <c r="E7" s="52">
        <v>2014</v>
      </c>
      <c r="F7" s="52" t="s">
        <v>793</v>
      </c>
      <c r="G7" s="52" t="s">
        <v>304</v>
      </c>
      <c r="H7" s="52" t="s">
        <v>305</v>
      </c>
      <c r="I7" s="52" t="s">
        <v>794</v>
      </c>
      <c r="J7" s="53">
        <v>3535.68</v>
      </c>
      <c r="K7" s="56">
        <v>43466.000694444447</v>
      </c>
      <c r="L7" s="57">
        <v>43830.500694444447</v>
      </c>
      <c r="M7" s="50" t="str">
        <f>VLOOKUP(G7,'Listado General'!$E$2:$K$167,7,FALSE)</f>
        <v>93CCL8009EB243925</v>
      </c>
      <c r="N7" s="50" t="b">
        <f t="shared" si="0"/>
        <v>1</v>
      </c>
      <c r="O7" s="50" t="str">
        <f t="shared" si="1"/>
        <v>93CCL8009EB243925 JU11118</v>
      </c>
      <c r="P7" s="50" t="str">
        <f>IF(ISERROR(VLOOKUP(O7,'Listado General'!$Y$2:$Y$167,1,FALSE))=TRUE,"No coinciden","Si coinciden")</f>
        <v>Si coinciden</v>
      </c>
      <c r="Q7" s="50" t="str">
        <f>VLOOKUP(G7,'Listado General'!$E$2:$N$167,10,FALSE)</f>
        <v>Departamento de Servicios Generales y Recursos Materiales</v>
      </c>
    </row>
    <row r="8" spans="1:21" x14ac:dyDescent="0.2">
      <c r="A8" s="50">
        <f>VLOOKUP(TRIM(G8),'Listado General'!$A$2:$D$167,4,FALSE)</f>
        <v>137</v>
      </c>
      <c r="B8" s="50" t="s">
        <v>800</v>
      </c>
      <c r="C8" s="50" t="s">
        <v>820</v>
      </c>
      <c r="D8" s="54">
        <v>7</v>
      </c>
      <c r="E8" s="52">
        <v>2014</v>
      </c>
      <c r="F8" s="52" t="s">
        <v>793</v>
      </c>
      <c r="G8" s="52" t="s">
        <v>510</v>
      </c>
      <c r="H8" s="52" t="s">
        <v>316</v>
      </c>
      <c r="I8" s="52" t="s">
        <v>794</v>
      </c>
      <c r="J8" s="53">
        <v>3535.68</v>
      </c>
      <c r="K8" s="56">
        <v>43466.000694444447</v>
      </c>
      <c r="L8" s="57">
        <v>43830.500694444447</v>
      </c>
      <c r="M8" s="50" t="str">
        <f>VLOOKUP(G8,'Listado General'!$E$2:$K$167,7,FALSE)</f>
        <v>93CCL8008EB243852</v>
      </c>
      <c r="N8" s="50" t="b">
        <f t="shared" si="0"/>
        <v>1</v>
      </c>
      <c r="O8" s="50" t="str">
        <f t="shared" si="1"/>
        <v>93CCL8008EB243852 JU11119</v>
      </c>
      <c r="P8" s="50" t="str">
        <f>IF(ISERROR(VLOOKUP(O8,'Listado General'!$Y$2:$Y$167,1,FALSE))=TRUE,"No coinciden","Si coinciden")</f>
        <v>Si coinciden</v>
      </c>
      <c r="Q8" s="50" t="str">
        <f>VLOOKUP(G8,'Listado General'!$E$2:$N$167,10,FALSE)</f>
        <v>CZ 02 Lagos de Moreno</v>
      </c>
    </row>
    <row r="9" spans="1:21" x14ac:dyDescent="0.2">
      <c r="A9" s="50">
        <f>VLOOKUP(TRIM(G9),'Listado General'!$A$2:$D$167,4,FALSE)</f>
        <v>30</v>
      </c>
      <c r="B9" s="50" t="s">
        <v>800</v>
      </c>
      <c r="C9" s="50" t="s">
        <v>820</v>
      </c>
      <c r="D9" s="54">
        <v>8</v>
      </c>
      <c r="E9" s="52">
        <v>2003</v>
      </c>
      <c r="F9" s="52" t="s">
        <v>426</v>
      </c>
      <c r="G9" s="52" t="s">
        <v>583</v>
      </c>
      <c r="H9" s="52" t="s">
        <v>382</v>
      </c>
      <c r="I9" s="52" t="s">
        <v>794</v>
      </c>
      <c r="J9" s="53">
        <v>2981.89</v>
      </c>
      <c r="K9" s="56">
        <v>43466.000694444447</v>
      </c>
      <c r="L9" s="57">
        <v>43830.500694444447</v>
      </c>
      <c r="M9" s="50" t="str">
        <f>VLOOKUP(G9,'Listado General'!$E$2:$K$167,7,FALSE)</f>
        <v>JNFE56S23X501505</v>
      </c>
      <c r="N9" s="50" t="b">
        <f t="shared" si="0"/>
        <v>1</v>
      </c>
      <c r="O9" s="50" t="str">
        <f t="shared" si="1"/>
        <v>JNFE56S23X501505 JCP2508</v>
      </c>
      <c r="P9" s="50" t="str">
        <f>IF(ISERROR(VLOOKUP(O9,'Listado General'!$Y$2:$Y$167,1,FALSE))=TRUE,"No coinciden","Si coinciden")</f>
        <v>Si coinciden</v>
      </c>
      <c r="Q9" s="50" t="str">
        <f>VLOOKUP(G9,'Listado General'!$E$2:$N$167,10,FALSE)</f>
        <v>CZ 14 Puerto Vallarta</v>
      </c>
    </row>
    <row r="10" spans="1:21" x14ac:dyDescent="0.2">
      <c r="A10" s="50">
        <f>VLOOKUP(TRIM(G10),'Listado General'!$A$2:$D$167,4,FALSE)</f>
        <v>35</v>
      </c>
      <c r="B10" s="50" t="s">
        <v>800</v>
      </c>
      <c r="C10" s="50" t="s">
        <v>820</v>
      </c>
      <c r="D10" s="54">
        <v>9</v>
      </c>
      <c r="E10" s="52">
        <v>2003</v>
      </c>
      <c r="F10" s="52" t="s">
        <v>426</v>
      </c>
      <c r="G10" s="52" t="s">
        <v>594</v>
      </c>
      <c r="H10" s="52" t="s">
        <v>66</v>
      </c>
      <c r="I10" s="52" t="s">
        <v>794</v>
      </c>
      <c r="J10" s="53">
        <v>1678.6</v>
      </c>
      <c r="K10" s="56">
        <v>43466.000694444447</v>
      </c>
      <c r="L10" s="57">
        <v>43830.500694444447</v>
      </c>
      <c r="M10" s="50" t="str">
        <f>VLOOKUP(G10,'Listado General'!$E$2:$K$167,7,FALSE)</f>
        <v>3N1JH01S23L030737</v>
      </c>
      <c r="N10" s="50" t="b">
        <f t="shared" si="0"/>
        <v>1</v>
      </c>
      <c r="O10" s="50" t="str">
        <f t="shared" si="1"/>
        <v>3N1JH01S23L030737 JCP2511</v>
      </c>
      <c r="P10" s="50" t="str">
        <f>IF(ISERROR(VLOOKUP(O10,'Listado General'!$Y$2:$Y$167,1,FALSE))=TRUE,"No coinciden","Si coinciden")</f>
        <v>Si coinciden</v>
      </c>
      <c r="Q10" s="50" t="str">
        <f>VLOOKUP(G10,'Listado General'!$E$2:$N$167,10,FALSE)</f>
        <v>Departamento de Servicios Generales y Recursos Materiales</v>
      </c>
    </row>
    <row r="11" spans="1:21" x14ac:dyDescent="0.2">
      <c r="A11" s="50">
        <f>VLOOKUP(TRIM(G11),'Listado General'!$A$2:$D$167,4,FALSE)</f>
        <v>59</v>
      </c>
      <c r="B11" s="50" t="s">
        <v>800</v>
      </c>
      <c r="C11" s="50" t="s">
        <v>820</v>
      </c>
      <c r="D11" s="54">
        <v>10</v>
      </c>
      <c r="E11" s="52">
        <v>2003</v>
      </c>
      <c r="F11" s="52" t="s">
        <v>447</v>
      </c>
      <c r="G11" s="52" t="s">
        <v>545</v>
      </c>
      <c r="H11" s="52" t="s">
        <v>134</v>
      </c>
      <c r="I11" s="52" t="s">
        <v>794</v>
      </c>
      <c r="J11" s="53">
        <v>1357.86</v>
      </c>
      <c r="K11" s="56">
        <v>43466.000694444447</v>
      </c>
      <c r="L11" s="57">
        <v>43830.500694444447</v>
      </c>
      <c r="M11" s="50" t="str">
        <f>VLOOKUP(G11,'Listado General'!$E$2:$K$167,7,FALSE)</f>
        <v>3VWS1A1B53M912682</v>
      </c>
      <c r="N11" s="50" t="b">
        <f t="shared" si="0"/>
        <v>1</v>
      </c>
      <c r="O11" s="50" t="str">
        <f t="shared" si="1"/>
        <v>3VWS1A1B53M912682 JCP2822</v>
      </c>
      <c r="P11" s="50" t="str">
        <f>IF(ISERROR(VLOOKUP(O11,'Listado General'!$Y$2:$Y$167,1,FALSE))=TRUE,"No coinciden","Si coinciden")</f>
        <v>Si coinciden</v>
      </c>
      <c r="Q11" s="50" t="str">
        <f>VLOOKUP(G11,'Listado General'!$E$2:$N$167,10,FALSE)</f>
        <v>Departamento de Servicios Generales y Recursos Materiales</v>
      </c>
    </row>
    <row r="12" spans="1:21" x14ac:dyDescent="0.2">
      <c r="A12" s="50">
        <f>VLOOKUP(TRIM(G12),'Listado General'!$A$2:$D$167,4,FALSE)</f>
        <v>63</v>
      </c>
      <c r="B12" s="50" t="s">
        <v>800</v>
      </c>
      <c r="C12" s="50" t="s">
        <v>820</v>
      </c>
      <c r="D12" s="54">
        <v>11</v>
      </c>
      <c r="E12" s="52">
        <v>2004</v>
      </c>
      <c r="F12" s="52" t="s">
        <v>793</v>
      </c>
      <c r="G12" s="52" t="s">
        <v>564</v>
      </c>
      <c r="H12" s="52" t="s">
        <v>139</v>
      </c>
      <c r="I12" s="52" t="s">
        <v>794</v>
      </c>
      <c r="J12" s="53">
        <v>1530.74</v>
      </c>
      <c r="K12" s="56">
        <v>43466.000694444447</v>
      </c>
      <c r="L12" s="57">
        <v>43830.500694444447</v>
      </c>
      <c r="M12" s="50" t="str">
        <f>VLOOKUP(G12,'Listado General'!$E$2:$K$167,7,FALSE)</f>
        <v>3G1SF21664S135738</v>
      </c>
      <c r="N12" s="50" t="b">
        <f t="shared" si="0"/>
        <v>1</v>
      </c>
      <c r="O12" s="50" t="str">
        <f t="shared" si="1"/>
        <v>3G1SF21664S135738 JDD1753</v>
      </c>
      <c r="P12" s="50" t="str">
        <f>IF(ISERROR(VLOOKUP(O12,'Listado General'!$Y$2:$Y$167,1,FALSE))=TRUE,"No coinciden","Si coinciden")</f>
        <v>Si coinciden</v>
      </c>
      <c r="Q12" s="50" t="str">
        <f>VLOOKUP(G12,'Listado General'!$E$2:$N$167,10,FALSE)</f>
        <v>Departamento de Servicios Generales y Recursos Materiales</v>
      </c>
    </row>
    <row r="13" spans="1:21" x14ac:dyDescent="0.2">
      <c r="A13" s="50">
        <f>VLOOKUP(TRIM(G13),'Listado General'!$A$2:$D$167,4,FALSE)</f>
        <v>20</v>
      </c>
      <c r="B13" s="50" t="s">
        <v>800</v>
      </c>
      <c r="C13" s="50" t="s">
        <v>820</v>
      </c>
      <c r="D13" s="54">
        <v>12</v>
      </c>
      <c r="E13" s="52">
        <v>1998</v>
      </c>
      <c r="F13" s="52" t="s">
        <v>796</v>
      </c>
      <c r="G13" s="52" t="s">
        <v>533</v>
      </c>
      <c r="H13" s="52" t="s">
        <v>34</v>
      </c>
      <c r="I13" s="52" t="s">
        <v>794</v>
      </c>
      <c r="J13" s="53">
        <v>2130.11</v>
      </c>
      <c r="K13" s="56">
        <v>43466.000694444447</v>
      </c>
      <c r="L13" s="57">
        <v>43830.500694444447</v>
      </c>
      <c r="M13" s="50" t="str">
        <f>VLOOKUP(G13,'Listado General'!$E$2:$K$167,7,FALSE)</f>
        <v>3N1CD13SXWK004601</v>
      </c>
      <c r="N13" s="50" t="b">
        <f t="shared" si="0"/>
        <v>1</v>
      </c>
      <c r="O13" s="50" t="str">
        <f t="shared" si="1"/>
        <v>3N1CD13SXWK004601 JE34235</v>
      </c>
      <c r="P13" s="50" t="str">
        <f>IF(ISERROR(VLOOKUP(O13,'Listado General'!$Y$2:$Y$167,1,FALSE))=TRUE,"No coinciden","Si coinciden")</f>
        <v>Si coinciden</v>
      </c>
      <c r="Q13" s="50" t="str">
        <f>VLOOKUP(G13,'Listado General'!$E$2:$N$167,10,FALSE)</f>
        <v>CZ 18 Zapopan</v>
      </c>
    </row>
    <row r="14" spans="1:21" x14ac:dyDescent="0.2">
      <c r="A14" s="50">
        <f>VLOOKUP(TRIM(G14),'Listado General'!$A$2:$D$167,4,FALSE)</f>
        <v>90</v>
      </c>
      <c r="B14" s="50" t="s">
        <v>800</v>
      </c>
      <c r="C14" s="50" t="s">
        <v>820</v>
      </c>
      <c r="D14" s="54">
        <v>13</v>
      </c>
      <c r="E14" s="52">
        <v>2008</v>
      </c>
      <c r="F14" s="52" t="s">
        <v>426</v>
      </c>
      <c r="G14" s="52" t="s">
        <v>409</v>
      </c>
      <c r="H14" s="52" t="s">
        <v>204</v>
      </c>
      <c r="I14" s="52" t="s">
        <v>794</v>
      </c>
      <c r="J14" s="53">
        <v>1981.23</v>
      </c>
      <c r="K14" s="56">
        <v>43466.000694444447</v>
      </c>
      <c r="L14" s="57">
        <v>43830.500694444447</v>
      </c>
      <c r="M14" s="50" t="str">
        <f>VLOOKUP(G14,'Listado General'!$E$2:$K$167,7,FALSE)</f>
        <v>3N1AB61D48L670798</v>
      </c>
      <c r="N14" s="50" t="b">
        <f t="shared" si="0"/>
        <v>1</v>
      </c>
      <c r="O14" s="50" t="str">
        <f t="shared" si="1"/>
        <v>3N1AB61D48L670798 JGC5503</v>
      </c>
      <c r="P14" s="50" t="str">
        <f>IF(ISERROR(VLOOKUP(O14,'Listado General'!$Y$2:$Y$167,1,FALSE))=TRUE,"No coinciden","Si coinciden")</f>
        <v>Si coinciden</v>
      </c>
      <c r="Q14" s="50" t="str">
        <f>VLOOKUP(G14,'Listado General'!$E$2:$N$167,10,FALSE)</f>
        <v>Coordinación de Asuntos Jurídicos</v>
      </c>
    </row>
    <row r="15" spans="1:21" x14ac:dyDescent="0.2">
      <c r="A15" s="50">
        <f>VLOOKUP(TRIM(G15),'Listado General'!$A$2:$D$167,4,FALSE)</f>
        <v>94</v>
      </c>
      <c r="B15" s="50" t="s">
        <v>800</v>
      </c>
      <c r="C15" s="50" t="s">
        <v>820</v>
      </c>
      <c r="D15" s="54">
        <v>14</v>
      </c>
      <c r="E15" s="52">
        <v>2009</v>
      </c>
      <c r="F15" s="52" t="s">
        <v>434</v>
      </c>
      <c r="G15" s="52" t="s">
        <v>555</v>
      </c>
      <c r="H15" s="52" t="s">
        <v>215</v>
      </c>
      <c r="I15" s="52" t="s">
        <v>794</v>
      </c>
      <c r="J15" s="53">
        <v>2181.7399999999998</v>
      </c>
      <c r="K15" s="56">
        <v>43466.000694444447</v>
      </c>
      <c r="L15" s="57">
        <v>43830.500694444447</v>
      </c>
      <c r="M15" s="50" t="str">
        <f>VLOOKUP(G15,'Listado General'!$E$2:$K$167,7,FALSE)</f>
        <v>9BFBT10N498321478</v>
      </c>
      <c r="N15" s="50" t="b">
        <f t="shared" si="0"/>
        <v>1</v>
      </c>
      <c r="O15" s="50" t="str">
        <f t="shared" si="1"/>
        <v>9BFBT10N498321478 JGU4377</v>
      </c>
      <c r="P15" s="50" t="str">
        <f>IF(ISERROR(VLOOKUP(O15,'Listado General'!$Y$2:$Y$167,1,FALSE))=TRUE,"No coinciden","Si coinciden")</f>
        <v>Si coinciden</v>
      </c>
      <c r="Q15" s="50" t="str">
        <f>VLOOKUP(G15,'Listado General'!$E$2:$N$167,10,FALSE)</f>
        <v>SITEJAD</v>
      </c>
    </row>
    <row r="16" spans="1:21" x14ac:dyDescent="0.2">
      <c r="A16" s="50">
        <f>VLOOKUP(TRIM(G16),'Listado General'!$A$2:$D$167,4,FALSE)</f>
        <v>41</v>
      </c>
      <c r="B16" s="50" t="s">
        <v>800</v>
      </c>
      <c r="C16" s="50" t="s">
        <v>820</v>
      </c>
      <c r="D16" s="54">
        <v>15</v>
      </c>
      <c r="E16" s="52">
        <v>2003</v>
      </c>
      <c r="F16" s="52" t="s">
        <v>426</v>
      </c>
      <c r="G16" s="52" t="s">
        <v>509</v>
      </c>
      <c r="H16" s="52" t="s">
        <v>84</v>
      </c>
      <c r="I16" s="52" t="s">
        <v>794</v>
      </c>
      <c r="J16" s="53">
        <v>2589.7800000000002</v>
      </c>
      <c r="K16" s="56">
        <v>43466.000694444447</v>
      </c>
      <c r="L16" s="57">
        <v>43830.500694444447</v>
      </c>
      <c r="M16" s="50" t="str">
        <f>VLOOKUP(G16,'Listado General'!$E$2:$K$167,7,FALSE)</f>
        <v>3N6CD13S93K047834</v>
      </c>
      <c r="N16" s="50" t="b">
        <f t="shared" si="0"/>
        <v>1</v>
      </c>
      <c r="O16" s="50" t="str">
        <f t="shared" si="1"/>
        <v>3N6CD13S93K047834 JH07553</v>
      </c>
      <c r="P16" s="50" t="str">
        <f>IF(ISERROR(VLOOKUP(O16,'Listado General'!$Y$2:$Y$167,1,FALSE))=TRUE,"No coinciden","Si coinciden")</f>
        <v>Si coinciden</v>
      </c>
      <c r="Q16" s="50" t="str">
        <f>VLOOKUP(G16,'Listado General'!$E$2:$N$167,10,FALSE)</f>
        <v>CZ 09 Autlán</v>
      </c>
    </row>
    <row r="17" spans="1:17" x14ac:dyDescent="0.2">
      <c r="A17" s="50">
        <f>VLOOKUP(TRIM(G17),'Listado General'!$A$2:$D$167,4,FALSE)</f>
        <v>58</v>
      </c>
      <c r="B17" s="50" t="s">
        <v>800</v>
      </c>
      <c r="C17" s="50" t="s">
        <v>820</v>
      </c>
      <c r="D17" s="54">
        <v>16</v>
      </c>
      <c r="E17" s="52">
        <v>2003</v>
      </c>
      <c r="F17" s="52" t="s">
        <v>447</v>
      </c>
      <c r="G17" s="52" t="s">
        <v>130</v>
      </c>
      <c r="H17" s="52" t="s">
        <v>131</v>
      </c>
      <c r="I17" s="52" t="s">
        <v>794</v>
      </c>
      <c r="J17" s="53">
        <v>1357.86</v>
      </c>
      <c r="K17" s="56">
        <v>43466.000694444447</v>
      </c>
      <c r="L17" s="57">
        <v>43830.500694444447</v>
      </c>
      <c r="M17" s="50" t="str">
        <f>VLOOKUP(G17,'Listado General'!$E$2:$K$167,7,FALSE)</f>
        <v>3VWS1A1B93M912314</v>
      </c>
      <c r="N17" s="50" t="b">
        <f t="shared" si="0"/>
        <v>1</v>
      </c>
      <c r="O17" s="50" t="str">
        <f t="shared" si="1"/>
        <v>3VWS1A1B93M912314 JKM1243</v>
      </c>
      <c r="P17" s="50" t="str">
        <f>IF(ISERROR(VLOOKUP(O17,'Listado General'!$Y$2:$Y$167,1,FALSE))=TRUE,"No coinciden","Si coinciden")</f>
        <v>Si coinciden</v>
      </c>
      <c r="Q17" s="50" t="str">
        <f>VLOOKUP(G17,'Listado General'!$E$2:$N$167,10,FALSE)</f>
        <v>Departamento de Servicios Generales y Recursos Materiales</v>
      </c>
    </row>
    <row r="18" spans="1:17" x14ac:dyDescent="0.2">
      <c r="A18" s="50">
        <f>VLOOKUP(TRIM(G18),'Listado General'!$A$2:$D$167,4,FALSE)</f>
        <v>65</v>
      </c>
      <c r="B18" s="50" t="s">
        <v>800</v>
      </c>
      <c r="C18" s="50" t="s">
        <v>820</v>
      </c>
      <c r="D18" s="54">
        <v>17</v>
      </c>
      <c r="E18" s="52">
        <v>2004</v>
      </c>
      <c r="F18" s="52" t="s">
        <v>793</v>
      </c>
      <c r="G18" s="52" t="s">
        <v>561</v>
      </c>
      <c r="H18" s="52" t="s">
        <v>143</v>
      </c>
      <c r="I18" s="52" t="s">
        <v>794</v>
      </c>
      <c r="J18" s="53">
        <v>2068.31</v>
      </c>
      <c r="K18" s="56">
        <v>43466.000694444447</v>
      </c>
      <c r="L18" s="57">
        <v>43830.500694444447</v>
      </c>
      <c r="M18" s="50" t="str">
        <f>VLOOKUP(G18,'Listado General'!$E$2:$K$167,7,FALSE)</f>
        <v>8GGTFRC104A132508</v>
      </c>
      <c r="N18" s="50" t="b">
        <f t="shared" si="0"/>
        <v>1</v>
      </c>
      <c r="O18" s="50" t="str">
        <f t="shared" si="1"/>
        <v>8GGTFRC104A132508 JL04135</v>
      </c>
      <c r="P18" s="50" t="str">
        <f>IF(ISERROR(VLOOKUP(O18,'Listado General'!$Y$2:$Y$167,1,FALSE))=TRUE,"No coinciden","Si coinciden")</f>
        <v>Si coinciden</v>
      </c>
      <c r="Q18" s="50" t="str">
        <f>VLOOKUP(G18,'Listado General'!$E$2:$N$167,10,FALSE)</f>
        <v>Departamento de Servicios Generales y Recursos Materiales</v>
      </c>
    </row>
    <row r="19" spans="1:17" x14ac:dyDescent="0.2">
      <c r="A19" s="50">
        <f>VLOOKUP(TRIM(G19),'Listado General'!$A$2:$D$167,4,FALSE)</f>
        <v>66</v>
      </c>
      <c r="B19" s="50" t="s">
        <v>800</v>
      </c>
      <c r="C19" s="50" t="s">
        <v>820</v>
      </c>
      <c r="D19" s="54">
        <v>18</v>
      </c>
      <c r="E19" s="52">
        <v>2004</v>
      </c>
      <c r="F19" s="52" t="s">
        <v>793</v>
      </c>
      <c r="G19" s="52" t="s">
        <v>513</v>
      </c>
      <c r="H19" s="52" t="s">
        <v>145</v>
      </c>
      <c r="I19" s="52" t="s">
        <v>794</v>
      </c>
      <c r="J19" s="53">
        <v>2068.31</v>
      </c>
      <c r="K19" s="56">
        <v>43466.000694444447</v>
      </c>
      <c r="L19" s="57">
        <v>43830.500694444447</v>
      </c>
      <c r="M19" s="50" t="str">
        <f>VLOOKUP(G19,'Listado General'!$E$2:$K$167,7,FALSE)</f>
        <v>8GGTFRC104A132511</v>
      </c>
      <c r="N19" s="50" t="b">
        <f t="shared" si="0"/>
        <v>1</v>
      </c>
      <c r="O19" s="50" t="str">
        <f t="shared" si="1"/>
        <v>8GGTFRC104A132511 JL04136</v>
      </c>
      <c r="P19" s="50" t="str">
        <f>IF(ISERROR(VLOOKUP(O19,'Listado General'!$Y$2:$Y$167,1,FALSE))=TRUE,"No coinciden","Si coinciden")</f>
        <v>Si coinciden</v>
      </c>
      <c r="Q19" s="50" t="str">
        <f>VLOOKUP(G19,'Listado General'!$E$2:$N$167,10,FALSE)</f>
        <v>Departamento de Servicios Generales y Recursos Materiales</v>
      </c>
    </row>
    <row r="20" spans="1:17" x14ac:dyDescent="0.2">
      <c r="A20" s="50">
        <f>VLOOKUP(TRIM(G20),'Listado General'!$A$2:$D$167,4,FALSE)</f>
        <v>67</v>
      </c>
      <c r="B20" s="50" t="s">
        <v>800</v>
      </c>
      <c r="C20" s="50" t="s">
        <v>820</v>
      </c>
      <c r="D20" s="54">
        <v>19</v>
      </c>
      <c r="E20" s="52">
        <v>2004</v>
      </c>
      <c r="F20" s="52" t="s">
        <v>793</v>
      </c>
      <c r="G20" s="52" t="s">
        <v>523</v>
      </c>
      <c r="H20" s="52" t="s">
        <v>148</v>
      </c>
      <c r="I20" s="52" t="s">
        <v>794</v>
      </c>
      <c r="J20" s="53">
        <v>2068.31</v>
      </c>
      <c r="K20" s="56">
        <v>43466.000694444447</v>
      </c>
      <c r="L20" s="57">
        <v>43830.500694444447</v>
      </c>
      <c r="M20" s="50" t="str">
        <f>VLOOKUP(G20,'Listado General'!$E$2:$K$167,7,FALSE)</f>
        <v>8GGTFRC104A132539</v>
      </c>
      <c r="N20" s="50" t="b">
        <f t="shared" si="0"/>
        <v>1</v>
      </c>
      <c r="O20" s="50" t="str">
        <f t="shared" si="1"/>
        <v>8GGTFRC104A132539 JL04137</v>
      </c>
      <c r="P20" s="50" t="str">
        <f>IF(ISERROR(VLOOKUP(O20,'Listado General'!$Y$2:$Y$167,1,FALSE))=TRUE,"No coinciden","Si coinciden")</f>
        <v>Si coinciden</v>
      </c>
      <c r="Q20" s="50" t="str">
        <f>VLOOKUP(G20,'Listado General'!$E$2:$N$167,10,FALSE)</f>
        <v>Departamento de Servicios Generales y Recursos Materiales</v>
      </c>
    </row>
    <row r="21" spans="1:17" x14ac:dyDescent="0.2">
      <c r="A21" s="50">
        <f>VLOOKUP(TRIM(G21),'Listado General'!$A$2:$D$167,4,FALSE)</f>
        <v>74</v>
      </c>
      <c r="B21" s="50" t="s">
        <v>800</v>
      </c>
      <c r="C21" s="50" t="s">
        <v>820</v>
      </c>
      <c r="D21" s="54">
        <v>20</v>
      </c>
      <c r="E21" s="52">
        <v>2005</v>
      </c>
      <c r="F21" s="52" t="s">
        <v>793</v>
      </c>
      <c r="G21" s="52" t="s">
        <v>543</v>
      </c>
      <c r="H21" s="52" t="s">
        <v>164</v>
      </c>
      <c r="I21" s="52" t="s">
        <v>794</v>
      </c>
      <c r="J21" s="53">
        <v>2148.4899999999998</v>
      </c>
      <c r="K21" s="56">
        <v>43466.000694444447</v>
      </c>
      <c r="L21" s="57">
        <v>43830.500694444447</v>
      </c>
      <c r="M21" s="50" t="str">
        <f>VLOOKUP(G21,'Listado General'!$E$2:$K$167,7,FALSE)</f>
        <v>8GGTFRC135A148946</v>
      </c>
      <c r="N21" s="50" t="b">
        <f t="shared" si="0"/>
        <v>1</v>
      </c>
      <c r="O21" s="50" t="str">
        <f t="shared" si="1"/>
        <v>8GGTFRC135A148946 JM52177</v>
      </c>
      <c r="P21" s="50" t="str">
        <f>IF(ISERROR(VLOOKUP(O21,'Listado General'!$Y$2:$Y$167,1,FALSE))=TRUE,"No coinciden","Si coinciden")</f>
        <v>Si coinciden</v>
      </c>
      <c r="Q21" s="50" t="str">
        <f>VLOOKUP(G21,'Listado General'!$E$2:$N$167,10,FALSE)</f>
        <v>Departamento de Servicios Generales y Recursos Materiales</v>
      </c>
    </row>
    <row r="22" spans="1:17" x14ac:dyDescent="0.2">
      <c r="A22" s="50">
        <f>VLOOKUP(TRIM(G22),'Listado General'!$A$2:$D$167,4,FALSE)</f>
        <v>76</v>
      </c>
      <c r="B22" s="50" t="s">
        <v>800</v>
      </c>
      <c r="C22" s="50" t="s">
        <v>820</v>
      </c>
      <c r="D22" s="59">
        <v>21</v>
      </c>
      <c r="E22" s="52">
        <v>2005</v>
      </c>
      <c r="F22" s="52" t="s">
        <v>793</v>
      </c>
      <c r="G22" s="52" t="s">
        <v>541</v>
      </c>
      <c r="H22" s="52" t="s">
        <v>168</v>
      </c>
      <c r="I22" s="52" t="s">
        <v>794</v>
      </c>
      <c r="J22" s="53">
        <v>2148.4899999999998</v>
      </c>
      <c r="K22" s="56">
        <v>43466.000694444447</v>
      </c>
      <c r="L22" s="57">
        <v>43830.500694444447</v>
      </c>
      <c r="M22" s="50" t="str">
        <f>VLOOKUP(G22,'Listado General'!$E$2:$K$167,7,FALSE)</f>
        <v>8GGTFRC155A148947</v>
      </c>
      <c r="N22" s="50" t="b">
        <f t="shared" si="0"/>
        <v>1</v>
      </c>
      <c r="O22" s="50" t="str">
        <f t="shared" si="1"/>
        <v>8GGTFRC155A148947 JM52179</v>
      </c>
      <c r="P22" s="50" t="str">
        <f>IF(ISERROR(VLOOKUP(O22,'Listado General'!$Y$2:$Y$167,1,FALSE))=TRUE,"No coinciden","Si coinciden")</f>
        <v>Si coinciden</v>
      </c>
      <c r="Q22" s="50" t="str">
        <f>VLOOKUP(G22,'Listado General'!$E$2:$N$167,10,FALSE)</f>
        <v>CZ 20 Tepatitlán</v>
      </c>
    </row>
    <row r="23" spans="1:17" x14ac:dyDescent="0.2">
      <c r="A23" s="50">
        <f>VLOOKUP(TRIM(G23),'Listado General'!$A$2:$D$167,4,FALSE)</f>
        <v>85</v>
      </c>
      <c r="B23" s="50" t="s">
        <v>800</v>
      </c>
      <c r="C23" s="50" t="s">
        <v>820</v>
      </c>
      <c r="D23" s="59">
        <v>22</v>
      </c>
      <c r="E23" s="52">
        <v>2008</v>
      </c>
      <c r="F23" s="52" t="s">
        <v>426</v>
      </c>
      <c r="G23" s="52" t="s">
        <v>398</v>
      </c>
      <c r="H23" s="52" t="s">
        <v>191</v>
      </c>
      <c r="I23" s="52" t="s">
        <v>794</v>
      </c>
      <c r="J23" s="53">
        <v>3307.35</v>
      </c>
      <c r="K23" s="56">
        <v>43466.000694444447</v>
      </c>
      <c r="L23" s="57">
        <v>43830.500694444447</v>
      </c>
      <c r="M23" s="50" t="str">
        <f>VLOOKUP(G23,'Listado General'!$E$2:$K$167,7,FALSE)</f>
        <v>3N6DD13S58K002997</v>
      </c>
      <c r="N23" s="50" t="b">
        <f t="shared" si="0"/>
        <v>1</v>
      </c>
      <c r="O23" s="50" t="str">
        <f t="shared" si="1"/>
        <v>3N6DD13S58K002997 JN93825</v>
      </c>
      <c r="P23" s="50" t="str">
        <f>IF(ISERROR(VLOOKUP(O23,'Listado General'!$Y$2:$Y$167,1,FALSE))=TRUE,"No coinciden","Si coinciden")</f>
        <v>Si coinciden</v>
      </c>
      <c r="Q23" s="50" t="str">
        <f>VLOOKUP(G23,'Listado General'!$E$2:$N$167,10,FALSE)</f>
        <v>CZ 05 Ocotlán</v>
      </c>
    </row>
    <row r="24" spans="1:17" x14ac:dyDescent="0.2">
      <c r="A24" s="50">
        <f>VLOOKUP(TRIM(G24),'Listado General'!$A$2:$D$167,4,FALSE)</f>
        <v>97</v>
      </c>
      <c r="B24" s="50" t="s">
        <v>800</v>
      </c>
      <c r="C24" s="50" t="s">
        <v>820</v>
      </c>
      <c r="D24" s="59">
        <v>23</v>
      </c>
      <c r="E24" s="52">
        <v>2009</v>
      </c>
      <c r="F24" s="52" t="s">
        <v>434</v>
      </c>
      <c r="G24" s="52" t="s">
        <v>556</v>
      </c>
      <c r="H24" s="52" t="s">
        <v>220</v>
      </c>
      <c r="I24" s="52" t="s">
        <v>794</v>
      </c>
      <c r="J24" s="53">
        <v>2941.86</v>
      </c>
      <c r="K24" s="56">
        <v>43466.000694444447</v>
      </c>
      <c r="L24" s="57">
        <v>43830.500694444447</v>
      </c>
      <c r="M24" s="50" t="str">
        <f>VLOOKUP(G24,'Listado General'!$E$2:$K$167,7,FALSE)</f>
        <v>8AFDT50D196199412</v>
      </c>
      <c r="N24" s="50" t="b">
        <f t="shared" si="0"/>
        <v>1</v>
      </c>
      <c r="O24" s="50" t="str">
        <f t="shared" si="1"/>
        <v>8AFDT50D196199412 JP62283</v>
      </c>
      <c r="P24" s="50" t="str">
        <f>IF(ISERROR(VLOOKUP(O24,'Listado General'!$Y$2:$Y$167,1,FALSE))=TRUE,"No coinciden","Si coinciden")</f>
        <v>Si coinciden</v>
      </c>
      <c r="Q24" s="50" t="str">
        <f>VLOOKUP(G24,'Listado General'!$E$2:$N$167,10,FALSE)</f>
        <v>Departamento de Servicios Generales y Recursos Materiales</v>
      </c>
    </row>
    <row r="25" spans="1:17" x14ac:dyDescent="0.2">
      <c r="A25" s="50">
        <f>VLOOKUP(TRIM(G25),'Listado General'!$A$2:$D$167,4,FALSE)</f>
        <v>40</v>
      </c>
      <c r="B25" s="50" t="s">
        <v>800</v>
      </c>
      <c r="C25" s="50" t="s">
        <v>820</v>
      </c>
      <c r="D25" s="59">
        <v>24</v>
      </c>
      <c r="E25" s="52">
        <v>2003</v>
      </c>
      <c r="F25" s="52" t="s">
        <v>426</v>
      </c>
      <c r="G25" s="52" t="s">
        <v>596</v>
      </c>
      <c r="H25" s="52" t="s">
        <v>81</v>
      </c>
      <c r="I25" s="52" t="s">
        <v>794</v>
      </c>
      <c r="J25" s="53">
        <v>2589.7800000000002</v>
      </c>
      <c r="K25" s="56">
        <v>43466.000694444447</v>
      </c>
      <c r="L25" s="57">
        <v>43830.500694444447</v>
      </c>
      <c r="M25" s="50" t="str">
        <f>VLOOKUP(G25,'Listado General'!$E$2:$K$167,7,FALSE)</f>
        <v>3N6CD13S03K047835</v>
      </c>
      <c r="N25" s="50" t="b">
        <f t="shared" si="0"/>
        <v>1</v>
      </c>
      <c r="O25" s="50" t="str">
        <f t="shared" si="1"/>
        <v>3N6CD13S03K047835 JP71341</v>
      </c>
      <c r="P25" s="50" t="str">
        <f>IF(ISERROR(VLOOKUP(O25,'Listado General'!$Y$2:$Y$167,1,FALSE))=TRUE,"No coinciden","Si coinciden")</f>
        <v>Si coinciden</v>
      </c>
      <c r="Q25" s="50" t="str">
        <f>VLOOKUP(G25,'Listado General'!$E$2:$N$167,10,FALSE)</f>
        <v>CZ 13 Mascota</v>
      </c>
    </row>
    <row r="26" spans="1:17" x14ac:dyDescent="0.2">
      <c r="A26" s="50">
        <f>VLOOKUP(TRIM(G26),'Listado General'!$A$2:$D$167,4,FALSE)</f>
        <v>111</v>
      </c>
      <c r="B26" s="50" t="s">
        <v>800</v>
      </c>
      <c r="C26" s="50" t="s">
        <v>820</v>
      </c>
      <c r="D26" s="59">
        <v>25</v>
      </c>
      <c r="E26" s="52">
        <v>2009</v>
      </c>
      <c r="F26" s="52" t="s">
        <v>426</v>
      </c>
      <c r="G26" s="52" t="s">
        <v>401</v>
      </c>
      <c r="H26" s="52" t="s">
        <v>254</v>
      </c>
      <c r="I26" s="52" t="s">
        <v>794</v>
      </c>
      <c r="J26" s="53">
        <v>3589.25</v>
      </c>
      <c r="K26" s="56">
        <v>43466.000694444447</v>
      </c>
      <c r="L26" s="57">
        <v>43830.500694444447</v>
      </c>
      <c r="M26" s="50" t="str">
        <f>VLOOKUP(G26,'Listado General'!$E$2:$K$167,7,FALSE)</f>
        <v>3N6DD23T99K012982</v>
      </c>
      <c r="N26" s="50" t="b">
        <f t="shared" si="0"/>
        <v>1</v>
      </c>
      <c r="O26" s="50" t="str">
        <f t="shared" si="1"/>
        <v>3N6DD23T99K012982 JP82755</v>
      </c>
      <c r="P26" s="50" t="str">
        <f>IF(ISERROR(VLOOKUP(O26,'Listado General'!$Y$2:$Y$167,1,FALSE))=TRUE,"No coinciden","Si coinciden")</f>
        <v>Si coinciden</v>
      </c>
      <c r="Q26" s="50" t="str">
        <f>VLOOKUP(G26,'Listado General'!$E$2:$N$167,10,FALSE)</f>
        <v>CZ 21 Tonalá</v>
      </c>
    </row>
    <row r="27" spans="1:17" x14ac:dyDescent="0.2">
      <c r="A27" s="50">
        <f>VLOOKUP(TRIM(G27),'Listado General'!$A$2:$D$167,4,FALSE)</f>
        <v>108</v>
      </c>
      <c r="B27" s="50" t="s">
        <v>800</v>
      </c>
      <c r="C27" s="50" t="s">
        <v>820</v>
      </c>
      <c r="D27" s="59">
        <v>26</v>
      </c>
      <c r="E27" s="52">
        <v>2009</v>
      </c>
      <c r="F27" s="52" t="s">
        <v>426</v>
      </c>
      <c r="G27" s="52" t="s">
        <v>558</v>
      </c>
      <c r="H27" s="52" t="s">
        <v>246</v>
      </c>
      <c r="I27" s="52" t="s">
        <v>794</v>
      </c>
      <c r="J27" s="53">
        <v>3589.25</v>
      </c>
      <c r="K27" s="56">
        <v>43466.000694444447</v>
      </c>
      <c r="L27" s="57">
        <v>43830.500694444447</v>
      </c>
      <c r="M27" s="50" t="str">
        <f>VLOOKUP(G27,'Listado General'!$E$2:$K$167,7,FALSE)</f>
        <v>3N6DD23TX9K012702</v>
      </c>
      <c r="N27" s="50" t="b">
        <f t="shared" si="0"/>
        <v>1</v>
      </c>
      <c r="O27" s="50" t="str">
        <f t="shared" si="1"/>
        <v>3N6DD23TX9K012702 JP82757</v>
      </c>
      <c r="P27" s="50" t="str">
        <f>IF(ISERROR(VLOOKUP(O27,'Listado General'!$Y$2:$Y$167,1,FALSE))=TRUE,"No coinciden","Si coinciden")</f>
        <v>Si coinciden</v>
      </c>
      <c r="Q27" s="50" t="str">
        <f>VLOOKUP(G27,'Listado General'!$E$2:$N$167,10,FALSE)</f>
        <v>Almacén General</v>
      </c>
    </row>
    <row r="28" spans="1:17" x14ac:dyDescent="0.2">
      <c r="A28" s="50">
        <f>VLOOKUP(TRIM(G28),'Listado General'!$A$2:$D$167,4,FALSE)</f>
        <v>31</v>
      </c>
      <c r="B28" s="50" t="s">
        <v>800</v>
      </c>
      <c r="C28" s="50" t="s">
        <v>820</v>
      </c>
      <c r="D28" s="59">
        <v>27</v>
      </c>
      <c r="E28" s="52">
        <v>2003</v>
      </c>
      <c r="F28" s="52" t="s">
        <v>426</v>
      </c>
      <c r="G28" s="52" t="s">
        <v>512</v>
      </c>
      <c r="H28" s="52" t="s">
        <v>54</v>
      </c>
      <c r="I28" s="52" t="s">
        <v>794</v>
      </c>
      <c r="J28" s="53">
        <v>2589.7800000000002</v>
      </c>
      <c r="K28" s="56">
        <v>43466.000694444447</v>
      </c>
      <c r="L28" s="57">
        <v>43830.500694444447</v>
      </c>
      <c r="M28" s="50" t="str">
        <f>VLOOKUP(G28,'Listado General'!$E$2:$K$167,7,FALSE)</f>
        <v>3N6CD13S53K048009</v>
      </c>
      <c r="N28" s="50" t="b">
        <f t="shared" si="0"/>
        <v>1</v>
      </c>
      <c r="O28" s="50" t="str">
        <f t="shared" si="1"/>
        <v>3N6CD13S53K048009 JS23366</v>
      </c>
      <c r="P28" s="50" t="str">
        <f>IF(ISERROR(VLOOKUP(O28,'Listado General'!$Y$2:$Y$167,1,FALSE))=TRUE,"No coinciden","Si coinciden")</f>
        <v>Si coinciden</v>
      </c>
      <c r="Q28" s="50" t="str">
        <f>VLOOKUP(G28,'Listado General'!$E$2:$N$167,10,FALSE)</f>
        <v>CZ 10 Grullo</v>
      </c>
    </row>
    <row r="29" spans="1:17" x14ac:dyDescent="0.2">
      <c r="A29" s="50">
        <f>VLOOKUP(TRIM(G29),'Listado General'!$A$2:$D$167,4,FALSE)</f>
        <v>143</v>
      </c>
      <c r="B29" s="50" t="s">
        <v>800</v>
      </c>
      <c r="C29" s="50" t="s">
        <v>820</v>
      </c>
      <c r="D29" s="59">
        <v>28</v>
      </c>
      <c r="E29" s="52">
        <v>2014</v>
      </c>
      <c r="F29" s="52" t="s">
        <v>445</v>
      </c>
      <c r="G29" s="52" t="s">
        <v>338</v>
      </c>
      <c r="H29" s="52" t="s">
        <v>339</v>
      </c>
      <c r="I29" s="52" t="s">
        <v>794</v>
      </c>
      <c r="J29" s="53">
        <v>4195.07</v>
      </c>
      <c r="K29" s="56">
        <v>43466.000694444447</v>
      </c>
      <c r="L29" s="57">
        <v>43830.500694444447</v>
      </c>
      <c r="M29" s="50" t="str">
        <f>VLOOKUP(G29,'Listado General'!$E$2:$K$167,7,FALSE)</f>
        <v>JTFPX22P5E0049936</v>
      </c>
      <c r="N29" s="50" t="b">
        <f t="shared" si="0"/>
        <v>1</v>
      </c>
      <c r="O29" s="50" t="str">
        <f t="shared" si="1"/>
        <v>JTFPX22P5E0049936 JU11115</v>
      </c>
      <c r="P29" s="50" t="str">
        <f>IF(ISERROR(VLOOKUP(O29,'Listado General'!$Y$2:$Y$167,1,FALSE))=TRUE,"No coinciden","Si coinciden")</f>
        <v>Si coinciden</v>
      </c>
      <c r="Q29" s="50" t="str">
        <f>VLOOKUP(G29,'Listado General'!$E$2:$N$167,10,FALSE)</f>
        <v>CZ 20 Tepatitlán</v>
      </c>
    </row>
    <row r="30" spans="1:17" x14ac:dyDescent="0.2">
      <c r="A30" s="50">
        <f>VLOOKUP(TRIM(G30),'Listado General'!$A$2:$D$167,4,FALSE)</f>
        <v>138</v>
      </c>
      <c r="B30" s="50" t="s">
        <v>800</v>
      </c>
      <c r="C30" s="50" t="s">
        <v>820</v>
      </c>
      <c r="D30" s="59">
        <v>29</v>
      </c>
      <c r="E30" s="52">
        <v>2015</v>
      </c>
      <c r="F30" s="52" t="s">
        <v>793</v>
      </c>
      <c r="G30" s="52" t="s">
        <v>319</v>
      </c>
      <c r="H30" s="52" t="s">
        <v>320</v>
      </c>
      <c r="I30" s="52" t="s">
        <v>794</v>
      </c>
      <c r="J30" s="53">
        <v>3883.29</v>
      </c>
      <c r="K30" s="56">
        <v>43466.000694444447</v>
      </c>
      <c r="L30" s="57">
        <v>43830.500694444447</v>
      </c>
      <c r="M30" s="50" t="str">
        <f>VLOOKUP(G30,'Listado General'!$E$2:$K$167,7,FALSE)</f>
        <v>93CCL8002FB110067</v>
      </c>
      <c r="N30" s="50" t="b">
        <f t="shared" si="0"/>
        <v>1</v>
      </c>
      <c r="O30" s="50" t="str">
        <f t="shared" si="1"/>
        <v>93CCL8002FB110067 JU11126</v>
      </c>
      <c r="P30" s="50" t="str">
        <f>IF(ISERROR(VLOOKUP(O30,'Listado General'!$Y$2:$Y$167,1,FALSE))=TRUE,"No coinciden","Si coinciden")</f>
        <v>Si coinciden</v>
      </c>
      <c r="Q30" s="50" t="str">
        <f>VLOOKUP(G30,'Listado General'!$E$2:$N$167,10,FALSE)</f>
        <v>CZ 07 Ciudad Guzmán</v>
      </c>
    </row>
    <row r="31" spans="1:17" x14ac:dyDescent="0.2">
      <c r="A31" s="50">
        <f>VLOOKUP(TRIM(G31),'Listado General'!$A$2:$D$167,4,FALSE)</f>
        <v>136</v>
      </c>
      <c r="B31" s="50" t="s">
        <v>800</v>
      </c>
      <c r="C31" s="50" t="s">
        <v>820</v>
      </c>
      <c r="D31" s="59">
        <v>30</v>
      </c>
      <c r="E31" s="52">
        <v>2015</v>
      </c>
      <c r="F31" s="52" t="s">
        <v>793</v>
      </c>
      <c r="G31" s="52" t="s">
        <v>313</v>
      </c>
      <c r="H31" s="52" t="s">
        <v>314</v>
      </c>
      <c r="I31" s="52" t="s">
        <v>794</v>
      </c>
      <c r="J31" s="53">
        <v>3883.29</v>
      </c>
      <c r="K31" s="56">
        <v>43466.000694444447</v>
      </c>
      <c r="L31" s="57">
        <v>43830.500694444447</v>
      </c>
      <c r="M31" s="50" t="str">
        <f>VLOOKUP(G31,'Listado General'!$E$2:$K$167,7,FALSE)</f>
        <v>93CCL8004FB110023</v>
      </c>
      <c r="N31" s="50" t="b">
        <f t="shared" si="0"/>
        <v>1</v>
      </c>
      <c r="O31" s="50" t="str">
        <f t="shared" si="1"/>
        <v>93CCL8004FB110023 JU11129</v>
      </c>
      <c r="P31" s="50" t="str">
        <f>IF(ISERROR(VLOOKUP(O31,'Listado General'!$Y$2:$Y$167,1,FALSE))=TRUE,"No coinciden","Si coinciden")</f>
        <v>Si coinciden</v>
      </c>
      <c r="Q31" s="50" t="str">
        <f>VLOOKUP(G31,'Listado General'!$E$2:$N$167,10,FALSE)</f>
        <v>CZ 13 Mascota</v>
      </c>
    </row>
    <row r="32" spans="1:17" x14ac:dyDescent="0.2">
      <c r="A32" s="50">
        <f>VLOOKUP(TRIM(G32),'Listado General'!$A$2:$D$167,4,FALSE)</f>
        <v>130</v>
      </c>
      <c r="B32" s="50" t="s">
        <v>800</v>
      </c>
      <c r="C32" s="50" t="s">
        <v>820</v>
      </c>
      <c r="D32" s="59">
        <v>31</v>
      </c>
      <c r="E32" s="52">
        <v>2015</v>
      </c>
      <c r="F32" s="52" t="s">
        <v>793</v>
      </c>
      <c r="G32" s="52" t="s">
        <v>298</v>
      </c>
      <c r="H32" s="52" t="s">
        <v>299</v>
      </c>
      <c r="I32" s="52" t="s">
        <v>794</v>
      </c>
      <c r="J32" s="53">
        <v>3883.29</v>
      </c>
      <c r="K32" s="56">
        <v>43466.000694444447</v>
      </c>
      <c r="L32" s="57">
        <v>43830.500694444447</v>
      </c>
      <c r="M32" s="50" t="str">
        <f>VLOOKUP(G32,'Listado General'!$E$2:$K$167,7,FALSE)</f>
        <v>93CCL8008FB109389</v>
      </c>
      <c r="N32" s="50" t="b">
        <f t="shared" si="0"/>
        <v>1</v>
      </c>
      <c r="O32" s="50" t="str">
        <f t="shared" si="1"/>
        <v>93CCL8008FB109389 JU11132</v>
      </c>
      <c r="P32" s="50" t="str">
        <f>IF(ISERROR(VLOOKUP(O32,'Listado General'!$Y$2:$Y$167,1,FALSE))=TRUE,"No coinciden","Si coinciden")</f>
        <v>Si coinciden</v>
      </c>
      <c r="Q32" s="50" t="str">
        <f>VLOOKUP(G32,'Listado General'!$E$2:$N$167,10,FALSE)</f>
        <v>CZ 15 Guadalajara Sur</v>
      </c>
    </row>
    <row r="33" spans="1:17" x14ac:dyDescent="0.2">
      <c r="A33" s="50">
        <f>VLOOKUP(TRIM(G33),'Listado General'!$A$2:$D$167,4,FALSE)</f>
        <v>114</v>
      </c>
      <c r="B33" s="50" t="s">
        <v>800</v>
      </c>
      <c r="C33" s="50" t="s">
        <v>820</v>
      </c>
      <c r="D33" s="59">
        <v>32</v>
      </c>
      <c r="E33" s="52">
        <v>2009</v>
      </c>
      <c r="F33" s="52" t="s">
        <v>796</v>
      </c>
      <c r="G33" s="52" t="s">
        <v>565</v>
      </c>
      <c r="H33" s="52" t="s">
        <v>264</v>
      </c>
      <c r="I33" s="52" t="s">
        <v>794</v>
      </c>
      <c r="J33" s="53">
        <v>17483.37</v>
      </c>
      <c r="K33" s="56">
        <v>43466.000694444447</v>
      </c>
      <c r="L33" s="57">
        <v>43830.500694444447</v>
      </c>
      <c r="M33" s="50" t="str">
        <f>VLOOKUP(G33,'Listado General'!$E$2:$K$167,7,FALSE)</f>
        <v>3ADBXBJN59S010288</v>
      </c>
      <c r="N33" s="50" t="b">
        <f t="shared" si="0"/>
        <v>1</v>
      </c>
      <c r="O33" s="50" t="str">
        <f t="shared" si="1"/>
        <v>3ADBXBJN59S010288 5GPC71</v>
      </c>
      <c r="P33" s="50" t="str">
        <f>IF(ISERROR(VLOOKUP(O33,'Listado General'!$Y$2:$Y$167,1,FALSE))=TRUE,"No coinciden","Si coinciden")</f>
        <v>Si coinciden</v>
      </c>
      <c r="Q33" s="50" t="str">
        <f>VLOOKUP(G33,'Listado General'!$E$2:$N$167,10,FALSE)</f>
        <v>Almacén General</v>
      </c>
    </row>
    <row r="34" spans="1:17" x14ac:dyDescent="0.2">
      <c r="A34" s="50">
        <f>VLOOKUP(TRIM(G34),'Listado General'!$A$2:$D$167,4,FALSE)</f>
        <v>113</v>
      </c>
      <c r="B34" s="50" t="s">
        <v>800</v>
      </c>
      <c r="C34" s="50" t="s">
        <v>820</v>
      </c>
      <c r="D34" s="59">
        <v>33</v>
      </c>
      <c r="E34" s="52">
        <v>2009</v>
      </c>
      <c r="F34" s="52" t="s">
        <v>797</v>
      </c>
      <c r="G34" s="52" t="s">
        <v>535</v>
      </c>
      <c r="H34" s="52" t="s">
        <v>261</v>
      </c>
      <c r="I34" s="52" t="s">
        <v>794</v>
      </c>
      <c r="J34" s="53">
        <v>1934.93</v>
      </c>
      <c r="K34" s="56">
        <v>43466.000694444447</v>
      </c>
      <c r="L34" s="57">
        <v>43830.500694444447</v>
      </c>
      <c r="M34" s="50" t="str">
        <f>VLOOKUP(G34,'Listado General'!$E$2:$K$167,7,FALSE)</f>
        <v>3AZAF202X9G3AZ144</v>
      </c>
      <c r="N34" s="50" t="b">
        <f t="shared" ref="N34:N65" si="2">H34=M34</f>
        <v>1</v>
      </c>
      <c r="O34" s="50" t="str">
        <f t="shared" si="1"/>
        <v>3AZAF202X9G3AZ144 6HG1673</v>
      </c>
      <c r="P34" s="50" t="str">
        <f>IF(ISERROR(VLOOKUP(O34,'Listado General'!$Y$2:$Y$167,1,FALSE))=TRUE,"No coinciden","Si coinciden")</f>
        <v>Si coinciden</v>
      </c>
      <c r="Q34" s="50" t="str">
        <f>VLOOKUP(G34,'Listado General'!$E$2:$N$167,10,FALSE)</f>
        <v>CZ 18 Zapopan</v>
      </c>
    </row>
    <row r="35" spans="1:17" x14ac:dyDescent="0.2">
      <c r="A35" s="50">
        <f>VLOOKUP(TRIM(G35),'Listado General'!$A$2:$D$167,4,FALSE)</f>
        <v>27</v>
      </c>
      <c r="B35" s="50" t="s">
        <v>800</v>
      </c>
      <c r="C35" s="50" t="s">
        <v>820</v>
      </c>
      <c r="D35" s="59">
        <v>34</v>
      </c>
      <c r="E35" s="52">
        <v>1998</v>
      </c>
      <c r="F35" s="52" t="s">
        <v>796</v>
      </c>
      <c r="G35" s="52" t="s">
        <v>549</v>
      </c>
      <c r="H35" s="52" t="s">
        <v>43</v>
      </c>
      <c r="I35" s="52" t="s">
        <v>794</v>
      </c>
      <c r="J35" s="53">
        <v>2050.65</v>
      </c>
      <c r="K35" s="56">
        <v>43466.000694444447</v>
      </c>
      <c r="L35" s="57">
        <v>43830.500694444447</v>
      </c>
      <c r="M35" s="50" t="str">
        <f>VLOOKUP(G35,'Listado General'!$E$2:$K$167,7,FALSE)</f>
        <v>3VWS1E1B6WM504624</v>
      </c>
      <c r="N35" s="50" t="b">
        <f t="shared" si="2"/>
        <v>1</v>
      </c>
      <c r="O35" s="50" t="str">
        <f t="shared" si="1"/>
        <v>3VWS1E1B6WM504624 JNB1546</v>
      </c>
      <c r="P35" s="50" t="str">
        <f>IF(ISERROR(VLOOKUP(O35,'Listado General'!$Y$2:$Y$167,1,FALSE))=TRUE,"No coinciden","Si coinciden")</f>
        <v>Si coinciden</v>
      </c>
      <c r="Q35" s="50" t="str">
        <f>VLOOKUP(G35,'Listado General'!$E$2:$N$167,10,FALSE)</f>
        <v>Departamento de Servicios Generales y Recursos Materiales</v>
      </c>
    </row>
    <row r="36" spans="1:17" x14ac:dyDescent="0.2">
      <c r="A36" s="50">
        <f>VLOOKUP(TRIM(G36),'Listado General'!$A$2:$D$167,4,FALSE)</f>
        <v>46</v>
      </c>
      <c r="B36" s="50" t="s">
        <v>800</v>
      </c>
      <c r="C36" s="50" t="s">
        <v>820</v>
      </c>
      <c r="D36" s="59">
        <v>35</v>
      </c>
      <c r="E36" s="52">
        <v>2003</v>
      </c>
      <c r="F36" s="52" t="s">
        <v>447</v>
      </c>
      <c r="G36" s="52" t="s">
        <v>407</v>
      </c>
      <c r="H36" s="52" t="s">
        <v>99</v>
      </c>
      <c r="I36" s="52" t="s">
        <v>794</v>
      </c>
      <c r="J36" s="53">
        <v>1357.86</v>
      </c>
      <c r="K36" s="56">
        <v>43466.000694444447</v>
      </c>
      <c r="L36" s="57">
        <v>43830.500694444447</v>
      </c>
      <c r="M36" s="50" t="str">
        <f>VLOOKUP(G36,'Listado General'!$E$2:$K$167,7,FALSE)</f>
        <v>3VWS1A1B53M912665</v>
      </c>
      <c r="N36" s="50" t="b">
        <f t="shared" si="2"/>
        <v>1</v>
      </c>
      <c r="O36" s="50" t="str">
        <f t="shared" si="1"/>
        <v>3VWS1A1B53M912665 JCL1186</v>
      </c>
      <c r="P36" s="50" t="str">
        <f>IF(ISERROR(VLOOKUP(O36,'Listado General'!$Y$2:$Y$167,1,FALSE))=TRUE,"No coinciden","Si coinciden")</f>
        <v>Si coinciden</v>
      </c>
      <c r="Q36" s="50" t="str">
        <f>VLOOKUP(G36,'Listado General'!$E$2:$N$167,10,FALSE)</f>
        <v>Departamento de Servicios Generales y Recursos Materiales</v>
      </c>
    </row>
    <row r="37" spans="1:17" x14ac:dyDescent="0.2">
      <c r="A37" s="50">
        <f>VLOOKUP(TRIM(G37),'Listado General'!$A$2:$D$167,4,FALSE)</f>
        <v>51</v>
      </c>
      <c r="B37" s="50" t="s">
        <v>800</v>
      </c>
      <c r="C37" s="50" t="s">
        <v>820</v>
      </c>
      <c r="D37" s="59">
        <v>36</v>
      </c>
      <c r="E37" s="52">
        <v>2003</v>
      </c>
      <c r="F37" s="52" t="s">
        <v>447</v>
      </c>
      <c r="G37" s="52" t="s">
        <v>588</v>
      </c>
      <c r="H37" s="52" t="s">
        <v>114</v>
      </c>
      <c r="I37" s="52" t="s">
        <v>794</v>
      </c>
      <c r="J37" s="53">
        <v>1357.86</v>
      </c>
      <c r="K37" s="56">
        <v>43466.000694444447</v>
      </c>
      <c r="L37" s="57">
        <v>43830.500694444447</v>
      </c>
      <c r="M37" s="50" t="str">
        <f>VLOOKUP(G37,'Listado General'!$E$2:$K$167,7,FALSE)</f>
        <v>3VWS1A1B33M912311</v>
      </c>
      <c r="N37" s="50" t="b">
        <f t="shared" si="2"/>
        <v>1</v>
      </c>
      <c r="O37" s="50" t="str">
        <f t="shared" si="1"/>
        <v>3VWS1A1B33M912311 JCP2506</v>
      </c>
      <c r="P37" s="50" t="str">
        <f>IF(ISERROR(VLOOKUP(O37,'Listado General'!$Y$2:$Y$167,1,FALSE))=TRUE,"No coinciden","Si coinciden")</f>
        <v>Si coinciden</v>
      </c>
      <c r="Q37" s="50" t="str">
        <f>VLOOKUP(G37,'Listado General'!$E$2:$N$167,10,FALSE)</f>
        <v>Departamento de Servicios Generales y Recursos Materiales</v>
      </c>
    </row>
    <row r="38" spans="1:17" x14ac:dyDescent="0.2">
      <c r="A38" s="50">
        <f>VLOOKUP(TRIM(G38),'Listado General'!$A$2:$D$167,4,FALSE)</f>
        <v>64</v>
      </c>
      <c r="B38" s="50" t="s">
        <v>800</v>
      </c>
      <c r="C38" s="50" t="s">
        <v>820</v>
      </c>
      <c r="D38" s="59">
        <v>37</v>
      </c>
      <c r="E38" s="52">
        <v>2004</v>
      </c>
      <c r="F38" s="52" t="s">
        <v>793</v>
      </c>
      <c r="G38" s="52" t="s">
        <v>598</v>
      </c>
      <c r="H38" s="52" t="s">
        <v>141</v>
      </c>
      <c r="I38" s="52" t="s">
        <v>794</v>
      </c>
      <c r="J38" s="53">
        <v>1530.74</v>
      </c>
      <c r="K38" s="56">
        <v>43466.000694444447</v>
      </c>
      <c r="L38" s="57">
        <v>43830.500694444447</v>
      </c>
      <c r="M38" s="50" t="str">
        <f>VLOOKUP(G38,'Listado General'!$E$2:$K$167,7,FALSE)</f>
        <v>3G1SF21624S135543</v>
      </c>
      <c r="N38" s="50" t="b">
        <f t="shared" si="2"/>
        <v>1</v>
      </c>
      <c r="O38" s="50" t="str">
        <f t="shared" si="1"/>
        <v>3G1SF21624S135543 JDD1754</v>
      </c>
      <c r="P38" s="50" t="str">
        <f>IF(ISERROR(VLOOKUP(O38,'Listado General'!$Y$2:$Y$167,1,FALSE))=TRUE,"No coinciden","Si coinciden")</f>
        <v>Si coinciden</v>
      </c>
      <c r="Q38" s="50" t="str">
        <f>VLOOKUP(G38,'Listado General'!$E$2:$N$167,10,FALSE)</f>
        <v>Departamento de Servicios Generales y Recursos Materiales</v>
      </c>
    </row>
    <row r="39" spans="1:17" x14ac:dyDescent="0.2">
      <c r="A39" s="50">
        <f>VLOOKUP(TRIM(G39),'Listado General'!$A$2:$D$167,4,FALSE)</f>
        <v>44</v>
      </c>
      <c r="B39" s="50" t="s">
        <v>800</v>
      </c>
      <c r="C39" s="50" t="s">
        <v>820</v>
      </c>
      <c r="D39" s="59">
        <v>38</v>
      </c>
      <c r="E39" s="52">
        <v>2003</v>
      </c>
      <c r="F39" s="52" t="s">
        <v>447</v>
      </c>
      <c r="G39" s="52" t="s">
        <v>539</v>
      </c>
      <c r="H39" s="52" t="s">
        <v>93</v>
      </c>
      <c r="I39" s="52" t="s">
        <v>794</v>
      </c>
      <c r="J39" s="53">
        <v>1357.86</v>
      </c>
      <c r="K39" s="56">
        <v>43466.000694444447</v>
      </c>
      <c r="L39" s="57">
        <v>43830.500694444447</v>
      </c>
      <c r="M39" s="50" t="str">
        <f>VLOOKUP(G39,'Listado General'!$E$2:$K$167,7,FALSE)</f>
        <v>3VWS1A1B93M912328</v>
      </c>
      <c r="N39" s="50" t="b">
        <f t="shared" si="2"/>
        <v>1</v>
      </c>
      <c r="O39" s="50" t="str">
        <f t="shared" si="1"/>
        <v>3VWS1A1B93M912328 JDV3801</v>
      </c>
      <c r="P39" s="50" t="str">
        <f>IF(ISERROR(VLOOKUP(O39,'Listado General'!$Y$2:$Y$167,1,FALSE))=TRUE,"No coinciden","Si coinciden")</f>
        <v>Si coinciden</v>
      </c>
      <c r="Q39" s="50" t="str">
        <f>VLOOKUP(G39,'Listado General'!$E$2:$N$167,10,FALSE)</f>
        <v>Departamento de Servicios Generales y Recursos Materiales</v>
      </c>
    </row>
    <row r="40" spans="1:17" x14ac:dyDescent="0.2">
      <c r="A40" s="50">
        <f>VLOOKUP(TRIM(G40),'Listado General'!$A$2:$D$167,4,FALSE)</f>
        <v>42</v>
      </c>
      <c r="B40" s="50" t="s">
        <v>800</v>
      </c>
      <c r="C40" s="50" t="s">
        <v>820</v>
      </c>
      <c r="D40" s="59">
        <v>39</v>
      </c>
      <c r="E40" s="52">
        <v>2003</v>
      </c>
      <c r="F40" s="52" t="s">
        <v>447</v>
      </c>
      <c r="G40" s="52" t="s">
        <v>584</v>
      </c>
      <c r="H40" s="52" t="s">
        <v>87</v>
      </c>
      <c r="I40" s="52" t="s">
        <v>794</v>
      </c>
      <c r="J40" s="53">
        <v>1357.86</v>
      </c>
      <c r="K40" s="56">
        <v>43466.000694444447</v>
      </c>
      <c r="L40" s="57">
        <v>43830.500694444447</v>
      </c>
      <c r="M40" s="50" t="str">
        <f>VLOOKUP(G40,'Listado General'!$E$2:$K$167,7,FALSE)</f>
        <v>3VWS1A1B83M912305</v>
      </c>
      <c r="N40" s="50" t="b">
        <f t="shared" si="2"/>
        <v>1</v>
      </c>
      <c r="O40" s="50" t="str">
        <f t="shared" si="1"/>
        <v>3VWS1A1B83M912305 JDV3821</v>
      </c>
      <c r="P40" s="50" t="str">
        <f>IF(ISERROR(VLOOKUP(O40,'Listado General'!$Y$2:$Y$167,1,FALSE))=TRUE,"No coinciden","Si coinciden")</f>
        <v>Si coinciden</v>
      </c>
      <c r="Q40" s="50" t="str">
        <f>VLOOKUP(G40,'Listado General'!$E$2:$N$167,10,FALSE)</f>
        <v>Departamento de Servicios Generales y Recursos Materiales</v>
      </c>
    </row>
    <row r="41" spans="1:17" x14ac:dyDescent="0.2">
      <c r="A41" s="50">
        <f>VLOOKUP(TRIM(G41),'Listado General'!$A$2:$D$167,4,FALSE)</f>
        <v>55</v>
      </c>
      <c r="B41" s="50" t="s">
        <v>800</v>
      </c>
      <c r="C41" s="50" t="s">
        <v>820</v>
      </c>
      <c r="D41" s="61">
        <v>40</v>
      </c>
      <c r="E41" s="52">
        <v>2003</v>
      </c>
      <c r="F41" s="52" t="s">
        <v>447</v>
      </c>
      <c r="G41" s="52" t="s">
        <v>123</v>
      </c>
      <c r="H41" s="52" t="s">
        <v>124</v>
      </c>
      <c r="I41" s="52" t="s">
        <v>794</v>
      </c>
      <c r="J41" s="53">
        <v>1357.86</v>
      </c>
      <c r="K41" s="56">
        <v>43466.000694444447</v>
      </c>
      <c r="L41" s="57">
        <v>43830.500694444447</v>
      </c>
      <c r="M41" s="50" t="str">
        <f>VLOOKUP(G41,'Listado General'!$E$2:$K$167,7,FALSE)</f>
        <v>3VWS1A1B53M912696</v>
      </c>
      <c r="N41" s="50" t="b">
        <f t="shared" si="2"/>
        <v>1</v>
      </c>
      <c r="O41" s="50" t="str">
        <f t="shared" si="1"/>
        <v>3VWS1A1B53M912696 JDV3822</v>
      </c>
      <c r="P41" s="50" t="str">
        <f>IF(ISERROR(VLOOKUP(O41,'Listado General'!$Y$2:$Y$167,1,FALSE))=TRUE,"No coinciden","Si coinciden")</f>
        <v>Si coinciden</v>
      </c>
      <c r="Q41" s="50" t="str">
        <f>VLOOKUP(G41,'Listado General'!$E$2:$N$167,10,FALSE)</f>
        <v>Departamento de Servicios Generales y Recursos Materiales</v>
      </c>
    </row>
    <row r="42" spans="1:17" x14ac:dyDescent="0.2">
      <c r="A42" s="50">
        <f>VLOOKUP(TRIM(G42),'Listado General'!$A$2:$D$167,4,FALSE)</f>
        <v>49</v>
      </c>
      <c r="B42" s="50" t="s">
        <v>800</v>
      </c>
      <c r="C42" s="50" t="s">
        <v>820</v>
      </c>
      <c r="D42" s="59">
        <v>41</v>
      </c>
      <c r="E42" s="52">
        <v>2003</v>
      </c>
      <c r="F42" s="52" t="s">
        <v>447</v>
      </c>
      <c r="G42" s="52" t="s">
        <v>528</v>
      </c>
      <c r="H42" s="52" t="s">
        <v>108</v>
      </c>
      <c r="I42" s="52" t="s">
        <v>794</v>
      </c>
      <c r="J42" s="53">
        <v>1357.86</v>
      </c>
      <c r="K42" s="56">
        <v>43466.000694444447</v>
      </c>
      <c r="L42" s="57">
        <v>43830.500694444447</v>
      </c>
      <c r="M42" s="50" t="str">
        <f>VLOOKUP(G42,'Listado General'!$E$2:$K$167,7,FALSE)</f>
        <v>3VWS1A1B53M912309</v>
      </c>
      <c r="N42" s="50" t="b">
        <f t="shared" si="2"/>
        <v>1</v>
      </c>
      <c r="O42" s="50" t="str">
        <f t="shared" si="1"/>
        <v>3VWS1A1B53M912309 JCL1189</v>
      </c>
      <c r="P42" s="50" t="str">
        <f>IF(ISERROR(VLOOKUP(O42,'Listado General'!$Y$2:$Y$167,1,FALSE))=TRUE,"No coinciden","Si coinciden")</f>
        <v>Si coinciden</v>
      </c>
      <c r="Q42" s="50" t="str">
        <f>VLOOKUP(G42,'Listado General'!$E$2:$N$167,10,FALSE)</f>
        <v>CZ 17 Guadalajara Norte</v>
      </c>
    </row>
    <row r="43" spans="1:17" x14ac:dyDescent="0.2">
      <c r="A43" s="50">
        <f>VLOOKUP(TRIM(G43),'Listado General'!$A$2:$D$167,4,FALSE)</f>
        <v>53</v>
      </c>
      <c r="B43" s="50" t="s">
        <v>800</v>
      </c>
      <c r="C43" s="50" t="s">
        <v>820</v>
      </c>
      <c r="D43" s="62">
        <v>42</v>
      </c>
      <c r="E43" s="52">
        <v>2003</v>
      </c>
      <c r="F43" s="52" t="s">
        <v>447</v>
      </c>
      <c r="G43" s="52" t="s">
        <v>522</v>
      </c>
      <c r="H43" s="52" t="s">
        <v>117</v>
      </c>
      <c r="I43" s="52" t="s">
        <v>794</v>
      </c>
      <c r="J43" s="53">
        <v>1357.86</v>
      </c>
      <c r="K43" s="56">
        <v>43466.000694444447</v>
      </c>
      <c r="L43" s="57">
        <v>43830.500694444447</v>
      </c>
      <c r="M43" s="50" t="str">
        <f>VLOOKUP(G43,'Listado General'!$E$2:$K$167,7,FALSE)</f>
        <v>3VWS1A1B43M912690</v>
      </c>
      <c r="N43" s="50" t="b">
        <f t="shared" si="2"/>
        <v>1</v>
      </c>
      <c r="O43" s="50" t="str">
        <f t="shared" si="1"/>
        <v>3VWS1A1B43M912690 JDY1151</v>
      </c>
      <c r="P43" s="50" t="str">
        <f>IF(ISERROR(VLOOKUP(O43,'Listado General'!$Y$2:$Y$167,1,FALSE))=TRUE,"No coinciden","Si coinciden")</f>
        <v>Si coinciden</v>
      </c>
      <c r="Q43" s="50" t="str">
        <f>VLOOKUP(G43,'Listado General'!$E$2:$N$167,10,FALSE)</f>
        <v>CZ 14 Puerto Vallarta</v>
      </c>
    </row>
    <row r="44" spans="1:17" x14ac:dyDescent="0.2">
      <c r="A44" s="50">
        <f>VLOOKUP(TRIM(G44),'Listado General'!$A$2:$D$167,4,FALSE)</f>
        <v>17</v>
      </c>
      <c r="B44" s="50" t="s">
        <v>800</v>
      </c>
      <c r="C44" s="50" t="s">
        <v>820</v>
      </c>
      <c r="D44" s="62">
        <v>43</v>
      </c>
      <c r="E44" s="52">
        <v>1997</v>
      </c>
      <c r="F44" s="52" t="s">
        <v>796</v>
      </c>
      <c r="G44" s="52" t="s">
        <v>402</v>
      </c>
      <c r="H44" s="52" t="s">
        <v>28</v>
      </c>
      <c r="I44" s="52" t="s">
        <v>794</v>
      </c>
      <c r="J44" s="53">
        <v>2054.41</v>
      </c>
      <c r="K44" s="56">
        <v>43466.000694444447</v>
      </c>
      <c r="L44" s="57">
        <v>43830.500694444447</v>
      </c>
      <c r="M44" s="50" t="str">
        <f>VLOOKUP(G44,'Listado General'!$E$2:$K$167,7,FALSE)</f>
        <v>3N1UCAD21VK00111</v>
      </c>
      <c r="N44" s="50" t="b">
        <f t="shared" si="2"/>
        <v>1</v>
      </c>
      <c r="O44" s="50" t="str">
        <f t="shared" si="1"/>
        <v>3N1UCAD21VK00111 JF47318</v>
      </c>
      <c r="P44" s="50" t="str">
        <f>IF(ISERROR(VLOOKUP(O44,'Listado General'!$Y$2:$Y$167,1,FALSE))=TRUE,"No coinciden","Si coinciden")</f>
        <v>Si coinciden</v>
      </c>
      <c r="Q44" s="50" t="str">
        <f>VLOOKUP(G44,'Listado General'!$E$2:$N$167,10,FALSE)</f>
        <v>Almacén General</v>
      </c>
    </row>
    <row r="45" spans="1:17" x14ac:dyDescent="0.2">
      <c r="A45" s="50">
        <f>VLOOKUP(TRIM(G45),'Listado General'!$A$2:$D$167,4,FALSE)</f>
        <v>82</v>
      </c>
      <c r="B45" s="50" t="s">
        <v>800</v>
      </c>
      <c r="C45" s="50" t="s">
        <v>820</v>
      </c>
      <c r="D45" s="62">
        <v>44</v>
      </c>
      <c r="E45" s="52">
        <v>2008</v>
      </c>
      <c r="F45" s="52" t="s">
        <v>793</v>
      </c>
      <c r="G45" s="52" t="s">
        <v>554</v>
      </c>
      <c r="H45" s="52" t="s">
        <v>184</v>
      </c>
      <c r="I45" s="52" t="s">
        <v>794</v>
      </c>
      <c r="J45" s="53">
        <v>1714.6</v>
      </c>
      <c r="K45" s="56">
        <v>43466.000694444447</v>
      </c>
      <c r="L45" s="57">
        <v>43830.500694444447</v>
      </c>
      <c r="M45" s="50" t="str">
        <f>VLOOKUP(G45,'Listado General'!$E$2:$K$167,7,FALSE)</f>
        <v>3G1SE51X78S100595</v>
      </c>
      <c r="N45" s="50" t="b">
        <f t="shared" si="2"/>
        <v>1</v>
      </c>
      <c r="O45" s="50" t="str">
        <f t="shared" si="1"/>
        <v>3G1SE51X78S100595 JFX1631</v>
      </c>
      <c r="P45" s="50" t="str">
        <f>IF(ISERROR(VLOOKUP(O45,'Listado General'!$Y$2:$Y$167,1,FALSE))=TRUE,"No coinciden","Si coinciden")</f>
        <v>Si coinciden</v>
      </c>
      <c r="Q45" s="50" t="str">
        <f>VLOOKUP(G45,'Listado General'!$E$2:$N$167,10,FALSE)</f>
        <v>Departamento de Servicios Generales y Recursos Materiales</v>
      </c>
    </row>
    <row r="46" spans="1:17" x14ac:dyDescent="0.2">
      <c r="A46" s="50">
        <f>VLOOKUP(TRIM(G46),'Listado General'!$A$2:$D$167,4,FALSE)</f>
        <v>54</v>
      </c>
      <c r="B46" s="50" t="s">
        <v>800</v>
      </c>
      <c r="C46" s="50" t="s">
        <v>820</v>
      </c>
      <c r="D46" s="62">
        <v>45</v>
      </c>
      <c r="E46" s="52">
        <v>2003</v>
      </c>
      <c r="F46" s="52" t="s">
        <v>447</v>
      </c>
      <c r="G46" s="52" t="s">
        <v>589</v>
      </c>
      <c r="H46" s="52" t="s">
        <v>120</v>
      </c>
      <c r="I46" s="52" t="s">
        <v>794</v>
      </c>
      <c r="J46" s="53">
        <v>1357.86</v>
      </c>
      <c r="K46" s="56">
        <v>43466.000694444447</v>
      </c>
      <c r="L46" s="57">
        <v>43830.500694444447</v>
      </c>
      <c r="M46" s="50" t="str">
        <f>VLOOKUP(G46,'Listado General'!$E$2:$K$167,7,FALSE)</f>
        <v>3VWS1A1B53M912679</v>
      </c>
      <c r="N46" s="50" t="b">
        <f t="shared" si="2"/>
        <v>1</v>
      </c>
      <c r="O46" s="50" t="str">
        <f t="shared" si="1"/>
        <v>3VWS1A1B53M912679 JGP3772</v>
      </c>
      <c r="P46" s="50" t="str">
        <f>IF(ISERROR(VLOOKUP(O46,'Listado General'!$Y$2:$Y$167,1,FALSE))=TRUE,"No coinciden","Si coinciden")</f>
        <v>Si coinciden</v>
      </c>
      <c r="Q46" s="50" t="str">
        <f>VLOOKUP(G46,'Listado General'!$E$2:$N$167,10,FALSE)</f>
        <v>Departamento de Servicios Generales y Recursos Materiales</v>
      </c>
    </row>
    <row r="47" spans="1:17" ht="15" x14ac:dyDescent="0.25">
      <c r="A47" s="66">
        <f>VLOOKUP(TRIM(G47),'Listado General'!$A$2:$D$167,4,FALSE)</f>
        <v>43</v>
      </c>
      <c r="B47" s="66" t="s">
        <v>800</v>
      </c>
      <c r="C47" s="66" t="s">
        <v>820</v>
      </c>
      <c r="D47" s="67">
        <v>46</v>
      </c>
      <c r="E47" s="67">
        <v>2003</v>
      </c>
      <c r="F47" s="67" t="s">
        <v>447</v>
      </c>
      <c r="G47" s="67" t="s">
        <v>548</v>
      </c>
      <c r="H47" s="67" t="s">
        <v>90</v>
      </c>
      <c r="I47" s="67" t="s">
        <v>794</v>
      </c>
      <c r="J47" s="68">
        <v>1357.86</v>
      </c>
      <c r="K47" s="69">
        <v>43466.000694444447</v>
      </c>
      <c r="L47" s="70">
        <v>43830.500694444447</v>
      </c>
      <c r="M47" s="66" t="str">
        <f>VLOOKUP(G47,'Listado General'!$E$2:$K$167,7,FALSE)</f>
        <v>3VWS1A1BX3M912306</v>
      </c>
      <c r="N47" s="66" t="b">
        <f t="shared" si="2"/>
        <v>1</v>
      </c>
      <c r="O47" s="50" t="str">
        <f t="shared" si="1"/>
        <v>3VWS1A1BX3M912306 JGS2620</v>
      </c>
      <c r="P47" s="50" t="str">
        <f>IF(ISERROR(VLOOKUP(O47,'Listado General'!$Y$2:$Y$167,1,FALSE))=TRUE,"No coinciden","Si coinciden")</f>
        <v>Si coinciden</v>
      </c>
      <c r="Q47" s="50" t="str">
        <f>VLOOKUP(G47,'Listado General'!$E$2:$N$167,10,FALSE)</f>
        <v>Departamento de Servicios Generales y Recursos Materiales</v>
      </c>
    </row>
    <row r="48" spans="1:17" x14ac:dyDescent="0.2">
      <c r="A48" s="50">
        <f>VLOOKUP(TRIM(G48),'Listado General'!$A$2:$D$167,4,FALSE)</f>
        <v>32</v>
      </c>
      <c r="B48" s="50" t="s">
        <v>800</v>
      </c>
      <c r="C48" s="50" t="s">
        <v>820</v>
      </c>
      <c r="D48" s="62">
        <v>47</v>
      </c>
      <c r="E48" s="52">
        <v>2003</v>
      </c>
      <c r="F48" s="52" t="s">
        <v>426</v>
      </c>
      <c r="G48" s="52" t="s">
        <v>498</v>
      </c>
      <c r="H48" s="52" t="s">
        <v>57</v>
      </c>
      <c r="I48" s="52" t="s">
        <v>794</v>
      </c>
      <c r="J48" s="53">
        <v>2589.7800000000002</v>
      </c>
      <c r="K48" s="56">
        <v>43466.000694444447</v>
      </c>
      <c r="L48" s="57">
        <v>43830.500694444447</v>
      </c>
      <c r="M48" s="50" t="str">
        <f>VLOOKUP(G48,'Listado General'!$E$2:$K$167,7,FALSE)</f>
        <v>3N6CD13S13K048010</v>
      </c>
      <c r="N48" s="50" t="b">
        <f t="shared" si="2"/>
        <v>1</v>
      </c>
      <c r="O48" s="50" t="str">
        <f t="shared" si="1"/>
        <v>3N6CD13S13K048010 JH99594</v>
      </c>
      <c r="P48" s="50" t="str">
        <f>IF(ISERROR(VLOOKUP(O48,'Listado General'!$Y$2:$Y$167,1,FALSE))=TRUE,"No coinciden","Si coinciden")</f>
        <v>Si coinciden</v>
      </c>
      <c r="Q48" s="50" t="str">
        <f>VLOOKUP(G48,'Listado General'!$E$2:$N$167,10,FALSE)</f>
        <v>Departamento de Servicios Generales y Recursos Materiales</v>
      </c>
    </row>
    <row r="49" spans="1:17" x14ac:dyDescent="0.2">
      <c r="A49" s="50">
        <f>VLOOKUP(TRIM(G49),'Listado General'!$A$2:$D$167,4,FALSE)</f>
        <v>39</v>
      </c>
      <c r="B49" s="50" t="s">
        <v>800</v>
      </c>
      <c r="C49" s="50" t="s">
        <v>820</v>
      </c>
      <c r="D49" s="62">
        <v>48</v>
      </c>
      <c r="E49" s="52">
        <v>2003</v>
      </c>
      <c r="F49" s="52" t="s">
        <v>426</v>
      </c>
      <c r="G49" s="52" t="s">
        <v>546</v>
      </c>
      <c r="H49" s="52" t="s">
        <v>78</v>
      </c>
      <c r="I49" s="52" t="s">
        <v>794</v>
      </c>
      <c r="J49" s="53">
        <v>2589.7800000000002</v>
      </c>
      <c r="K49" s="56">
        <v>43466.000694444447</v>
      </c>
      <c r="L49" s="57">
        <v>43830.500694444447</v>
      </c>
      <c r="M49" s="50" t="str">
        <f>VLOOKUP(G49,'Listado General'!$E$2:$K$167,7,FALSE)</f>
        <v>3N6CD13S23K047836</v>
      </c>
      <c r="N49" s="50" t="b">
        <f t="shared" si="2"/>
        <v>1</v>
      </c>
      <c r="O49" s="50" t="str">
        <f t="shared" si="1"/>
        <v>3N6CD13S23K047836 JH99605</v>
      </c>
      <c r="P49" s="50" t="str">
        <f>IF(ISERROR(VLOOKUP(O49,'Listado General'!$Y$2:$Y$167,1,FALSE))=TRUE,"No coinciden","Si coinciden")</f>
        <v>Si coinciden</v>
      </c>
      <c r="Q49" s="50" t="str">
        <f>VLOOKUP(G49,'Listado General'!$E$2:$N$167,10,FALSE)</f>
        <v>CZ 23 Tlajomulco</v>
      </c>
    </row>
    <row r="50" spans="1:17" x14ac:dyDescent="0.2">
      <c r="A50" s="50">
        <f>VLOOKUP(TRIM(G50),'Listado General'!$A$2:$D$167,4,FALSE)</f>
        <v>19</v>
      </c>
      <c r="B50" s="50" t="s">
        <v>800</v>
      </c>
      <c r="C50" s="50" t="s">
        <v>820</v>
      </c>
      <c r="D50" s="62">
        <v>49</v>
      </c>
      <c r="E50" s="52">
        <v>1998</v>
      </c>
      <c r="F50" s="52" t="s">
        <v>796</v>
      </c>
      <c r="G50" s="52" t="s">
        <v>534</v>
      </c>
      <c r="H50" s="52" t="s">
        <v>31</v>
      </c>
      <c r="I50" s="52" t="s">
        <v>794</v>
      </c>
      <c r="J50" s="53">
        <v>2130.11</v>
      </c>
      <c r="K50" s="56">
        <v>43466.000694444447</v>
      </c>
      <c r="L50" s="57">
        <v>43830.500694444447</v>
      </c>
      <c r="M50" s="50" t="str">
        <f>VLOOKUP(G50,'Listado General'!$E$2:$K$167,7,FALSE)</f>
        <v>3N1CD13S7WK004507</v>
      </c>
      <c r="N50" s="50" t="b">
        <f t="shared" si="2"/>
        <v>1</v>
      </c>
      <c r="O50" s="50" t="str">
        <f t="shared" si="1"/>
        <v>3N1CD13S7WK004507 JJ88303</v>
      </c>
      <c r="P50" s="50" t="str">
        <f>IF(ISERROR(VLOOKUP(O50,'Listado General'!$Y$2:$Y$167,1,FALSE))=TRUE,"No coinciden","Si coinciden")</f>
        <v>Si coinciden</v>
      </c>
      <c r="Q50" s="50" t="str">
        <f>VLOOKUP(G50,'Listado General'!$E$2:$N$167,10,FALSE)</f>
        <v>CZ 18 Zapopan</v>
      </c>
    </row>
    <row r="51" spans="1:17" x14ac:dyDescent="0.2">
      <c r="A51" s="50">
        <f>VLOOKUP(TRIM(G51),'Listado General'!$A$2:$D$167,4,FALSE)</f>
        <v>88</v>
      </c>
      <c r="B51" s="50" t="s">
        <v>800</v>
      </c>
      <c r="C51" s="50" t="s">
        <v>820</v>
      </c>
      <c r="D51" s="62">
        <v>50</v>
      </c>
      <c r="E51" s="52">
        <v>2008</v>
      </c>
      <c r="F51" s="52" t="s">
        <v>426</v>
      </c>
      <c r="G51" s="52" t="s">
        <v>538</v>
      </c>
      <c r="H51" s="52" t="s">
        <v>198</v>
      </c>
      <c r="I51" s="52" t="s">
        <v>794</v>
      </c>
      <c r="J51" s="53">
        <v>3307.35</v>
      </c>
      <c r="K51" s="56">
        <v>43466.000694444447</v>
      </c>
      <c r="L51" s="57">
        <v>43830.500694444447</v>
      </c>
      <c r="M51" s="50" t="str">
        <f>VLOOKUP(G51,'Listado General'!$E$2:$K$167,7,FALSE)</f>
        <v>3N6DD13S18K002043</v>
      </c>
      <c r="N51" s="50" t="b">
        <f t="shared" si="2"/>
        <v>1</v>
      </c>
      <c r="O51" s="50" t="str">
        <f t="shared" si="1"/>
        <v>3N6DD13S18K002043 JN93824</v>
      </c>
      <c r="P51" s="50" t="str">
        <f>IF(ISERROR(VLOOKUP(O51,'Listado General'!$Y$2:$Y$167,1,FALSE))=TRUE,"No coinciden","Si coinciden")</f>
        <v>Si coinciden</v>
      </c>
      <c r="Q51" s="50" t="str">
        <f>VLOOKUP(G51,'Listado General'!$E$2:$N$167,10,FALSE)</f>
        <v>Almacén General</v>
      </c>
    </row>
    <row r="52" spans="1:17" x14ac:dyDescent="0.2">
      <c r="A52" s="50">
        <f>VLOOKUP(TRIM(G52),'Listado General'!$A$2:$D$167,4,FALSE)</f>
        <v>91</v>
      </c>
      <c r="B52" s="50" t="s">
        <v>800</v>
      </c>
      <c r="C52" s="50" t="s">
        <v>820</v>
      </c>
      <c r="D52" s="62">
        <v>51</v>
      </c>
      <c r="E52" s="52">
        <v>2008</v>
      </c>
      <c r="F52" s="52" t="s">
        <v>426</v>
      </c>
      <c r="G52" s="52" t="s">
        <v>532</v>
      </c>
      <c r="H52" s="52" t="s">
        <v>207</v>
      </c>
      <c r="I52" s="52" t="s">
        <v>794</v>
      </c>
      <c r="J52" s="53">
        <v>3307.35</v>
      </c>
      <c r="K52" s="56">
        <v>43466.000694444447</v>
      </c>
      <c r="L52" s="57">
        <v>43830.500694444447</v>
      </c>
      <c r="M52" s="50" t="str">
        <f>VLOOKUP(G52,'Listado General'!$E$2:$K$167,7,FALSE)</f>
        <v>3N6DD13S58K014535</v>
      </c>
      <c r="N52" s="50" t="b">
        <f t="shared" si="2"/>
        <v>1</v>
      </c>
      <c r="O52" s="50" t="str">
        <f t="shared" si="1"/>
        <v>3N6DD13S58K014535 JN93904</v>
      </c>
      <c r="P52" s="50" t="str">
        <f>IF(ISERROR(VLOOKUP(O52,'Listado General'!$Y$2:$Y$167,1,FALSE))=TRUE,"No coinciden","Si coinciden")</f>
        <v>Si coinciden</v>
      </c>
      <c r="Q52" s="50" t="str">
        <f>VLOOKUP(G52,'Listado General'!$E$2:$N$167,10,FALSE)</f>
        <v>CZ 18 Zapopan</v>
      </c>
    </row>
    <row r="53" spans="1:17" x14ac:dyDescent="0.2">
      <c r="A53" s="50">
        <f>VLOOKUP(TRIM(G53),'Listado General'!$A$2:$D$167,4,FALSE)</f>
        <v>95</v>
      </c>
      <c r="B53" s="50" t="s">
        <v>800</v>
      </c>
      <c r="C53" s="50" t="s">
        <v>820</v>
      </c>
      <c r="D53" s="62">
        <v>52</v>
      </c>
      <c r="E53" s="52">
        <v>2009</v>
      </c>
      <c r="F53" s="52" t="s">
        <v>434</v>
      </c>
      <c r="G53" s="52" t="s">
        <v>495</v>
      </c>
      <c r="H53" s="52" t="s">
        <v>217</v>
      </c>
      <c r="I53" s="52" t="s">
        <v>794</v>
      </c>
      <c r="J53" s="53">
        <v>2941.86</v>
      </c>
      <c r="K53" s="56">
        <v>43466.000694444447</v>
      </c>
      <c r="L53" s="57">
        <v>43830.500694444447</v>
      </c>
      <c r="M53" s="50" t="str">
        <f>VLOOKUP(G53,'Listado General'!$E$2:$K$167,7,FALSE)</f>
        <v>8AFDT50D496202318</v>
      </c>
      <c r="N53" s="50" t="b">
        <f t="shared" si="2"/>
        <v>1</v>
      </c>
      <c r="O53" s="50" t="str">
        <f t="shared" si="1"/>
        <v>8AFDT50D496202318 JP62281</v>
      </c>
      <c r="P53" s="50" t="str">
        <f>IF(ISERROR(VLOOKUP(O53,'Listado General'!$Y$2:$Y$167,1,FALSE))=TRUE,"No coinciden","Si coinciden")</f>
        <v>Si coinciden</v>
      </c>
      <c r="Q53" s="50" t="str">
        <f>VLOOKUP(G53,'Listado General'!$E$2:$N$167,10,FALSE)</f>
        <v>CZ 01 Colotlán</v>
      </c>
    </row>
    <row r="54" spans="1:17" x14ac:dyDescent="0.2">
      <c r="A54" s="50">
        <f>VLOOKUP(TRIM(G54),'Listado General'!$A$2:$D$167,4,FALSE)</f>
        <v>99</v>
      </c>
      <c r="B54" s="50" t="s">
        <v>800</v>
      </c>
      <c r="C54" s="50" t="s">
        <v>820</v>
      </c>
      <c r="D54" s="62">
        <v>53</v>
      </c>
      <c r="E54" s="52">
        <v>2009</v>
      </c>
      <c r="F54" s="52" t="s">
        <v>434</v>
      </c>
      <c r="G54" s="52" t="s">
        <v>506</v>
      </c>
      <c r="H54" s="52" t="s">
        <v>225</v>
      </c>
      <c r="I54" s="52" t="s">
        <v>794</v>
      </c>
      <c r="J54" s="53">
        <v>2941.86</v>
      </c>
      <c r="K54" s="56">
        <v>43466.000694444447</v>
      </c>
      <c r="L54" s="57">
        <v>43830.500694444447</v>
      </c>
      <c r="M54" s="50" t="str">
        <f>VLOOKUP(G54,'Listado General'!$E$2:$K$167,7,FALSE)</f>
        <v>8AFDT50D496202321</v>
      </c>
      <c r="N54" s="50" t="b">
        <f t="shared" si="2"/>
        <v>1</v>
      </c>
      <c r="O54" s="50" t="str">
        <f t="shared" si="1"/>
        <v>8AFDT50D496202321 JP62284</v>
      </c>
      <c r="P54" s="50" t="str">
        <f>IF(ISERROR(VLOOKUP(O54,'Listado General'!$Y$2:$Y$167,1,FALSE))=TRUE,"No coinciden","Si coinciden")</f>
        <v>Si coinciden</v>
      </c>
      <c r="Q54" s="50" t="str">
        <f>VLOOKUP(G54,'Listado General'!$E$2:$N$167,10,FALSE)</f>
        <v>CZ 09 Autlán</v>
      </c>
    </row>
    <row r="55" spans="1:17" x14ac:dyDescent="0.2">
      <c r="A55" s="50">
        <f>VLOOKUP(TRIM(G55),'Listado General'!$A$2:$D$167,4,FALSE)</f>
        <v>93</v>
      </c>
      <c r="B55" s="50" t="s">
        <v>800</v>
      </c>
      <c r="C55" s="50" t="s">
        <v>820</v>
      </c>
      <c r="D55" s="62">
        <v>54</v>
      </c>
      <c r="E55" s="52">
        <v>2009</v>
      </c>
      <c r="F55" s="52" t="s">
        <v>434</v>
      </c>
      <c r="G55" s="52" t="s">
        <v>571</v>
      </c>
      <c r="H55" s="52" t="s">
        <v>212</v>
      </c>
      <c r="I55" s="52" t="s">
        <v>794</v>
      </c>
      <c r="J55" s="53">
        <v>2941.86</v>
      </c>
      <c r="K55" s="56">
        <v>43466.000694444447</v>
      </c>
      <c r="L55" s="57">
        <v>43830.500694444447</v>
      </c>
      <c r="M55" s="50" t="str">
        <f>VLOOKUP(G55,'Listado General'!$E$2:$K$167,7,FALSE)</f>
        <v>8AFDT50D796202328</v>
      </c>
      <c r="N55" s="50" t="b">
        <f t="shared" si="2"/>
        <v>1</v>
      </c>
      <c r="O55" s="50" t="str">
        <f t="shared" si="1"/>
        <v>8AFDT50D796202328 JP62285</v>
      </c>
      <c r="P55" s="50" t="str">
        <f>IF(ISERROR(VLOOKUP(O55,'Listado General'!$Y$2:$Y$167,1,FALSE))=TRUE,"No coinciden","Si coinciden")</f>
        <v>Si coinciden</v>
      </c>
      <c r="Q55" s="50" t="str">
        <f>VLOOKUP(G55,'Listado General'!$E$2:$N$167,10,FALSE)</f>
        <v>Departamento de Servicios Generales y Recursos Materiales</v>
      </c>
    </row>
    <row r="56" spans="1:17" x14ac:dyDescent="0.2">
      <c r="A56" s="50">
        <f>VLOOKUP(TRIM(G56),'Listado General'!$A$2:$D$167,4,FALSE)</f>
        <v>98</v>
      </c>
      <c r="B56" s="50" t="s">
        <v>800</v>
      </c>
      <c r="C56" s="50" t="s">
        <v>820</v>
      </c>
      <c r="D56" s="62">
        <v>55</v>
      </c>
      <c r="E56" s="52">
        <v>2009</v>
      </c>
      <c r="F56" s="52" t="s">
        <v>434</v>
      </c>
      <c r="G56" s="52" t="s">
        <v>526</v>
      </c>
      <c r="H56" s="52" t="s">
        <v>223</v>
      </c>
      <c r="I56" s="52" t="s">
        <v>794</v>
      </c>
      <c r="J56" s="53">
        <v>2941.86</v>
      </c>
      <c r="K56" s="56">
        <v>43466.000694444447</v>
      </c>
      <c r="L56" s="57">
        <v>43830.500694444447</v>
      </c>
      <c r="M56" s="50" t="str">
        <f>VLOOKUP(G56,'Listado General'!$E$2:$K$167,7,FALSE)</f>
        <v>8AFDT50D396199413</v>
      </c>
      <c r="N56" s="50" t="b">
        <f t="shared" si="2"/>
        <v>1</v>
      </c>
      <c r="O56" s="50" t="str">
        <f t="shared" si="1"/>
        <v>8AFDT50D396199413 JP62286</v>
      </c>
      <c r="P56" s="50" t="str">
        <f>IF(ISERROR(VLOOKUP(O56,'Listado General'!$Y$2:$Y$167,1,FALSE))=TRUE,"No coinciden","Si coinciden")</f>
        <v>Si coinciden</v>
      </c>
      <c r="Q56" s="50" t="str">
        <f>VLOOKUP(G56,'Listado General'!$E$2:$N$167,10,FALSE)</f>
        <v>CZ 17 Guadalajara Norte</v>
      </c>
    </row>
    <row r="57" spans="1:17" x14ac:dyDescent="0.2">
      <c r="A57" s="50">
        <f>VLOOKUP(TRIM(G57),'Listado General'!$A$2:$D$167,4,FALSE)</f>
        <v>87</v>
      </c>
      <c r="B57" s="50" t="s">
        <v>800</v>
      </c>
      <c r="C57" s="50" t="s">
        <v>820</v>
      </c>
      <c r="D57" s="62">
        <v>56</v>
      </c>
      <c r="E57" s="52">
        <v>2008</v>
      </c>
      <c r="F57" s="52" t="s">
        <v>426</v>
      </c>
      <c r="G57" s="52" t="s">
        <v>520</v>
      </c>
      <c r="H57" s="52" t="s">
        <v>195</v>
      </c>
      <c r="I57" s="52" t="s">
        <v>794</v>
      </c>
      <c r="J57" s="53">
        <v>3307.35</v>
      </c>
      <c r="K57" s="56">
        <v>43466.000694444447</v>
      </c>
      <c r="L57" s="57">
        <v>43830.500694444447</v>
      </c>
      <c r="M57" s="50" t="str">
        <f>VLOOKUP(G57,'Listado General'!$E$2:$K$167,7,FALSE)</f>
        <v>3N6DD13S68K009814</v>
      </c>
      <c r="N57" s="50" t="b">
        <f t="shared" si="2"/>
        <v>1</v>
      </c>
      <c r="O57" s="50" t="str">
        <f t="shared" si="1"/>
        <v>3N6DD13S68K009814 JP82742</v>
      </c>
      <c r="P57" s="50" t="str">
        <f>IF(ISERROR(VLOOKUP(O57,'Listado General'!$Y$2:$Y$167,1,FALSE))=TRUE,"No coinciden","Si coinciden")</f>
        <v>Si coinciden</v>
      </c>
      <c r="Q57" s="50" t="str">
        <f>VLOOKUP(G57,'Listado General'!$E$2:$N$167,10,FALSE)</f>
        <v>CZ 13 Mascota</v>
      </c>
    </row>
    <row r="58" spans="1:17" x14ac:dyDescent="0.2">
      <c r="A58" s="50">
        <f>VLOOKUP(TRIM(G58),'Listado General'!$A$2:$D$167,4,FALSE)</f>
        <v>109</v>
      </c>
      <c r="B58" s="50" t="s">
        <v>800</v>
      </c>
      <c r="C58" s="50" t="s">
        <v>820</v>
      </c>
      <c r="D58" s="62">
        <v>57</v>
      </c>
      <c r="E58" s="52">
        <v>2009</v>
      </c>
      <c r="F58" s="52" t="s">
        <v>426</v>
      </c>
      <c r="G58" s="52" t="s">
        <v>399</v>
      </c>
      <c r="H58" s="52" t="s">
        <v>249</v>
      </c>
      <c r="I58" s="52" t="s">
        <v>794</v>
      </c>
      <c r="J58" s="53">
        <v>3589.25</v>
      </c>
      <c r="K58" s="56">
        <v>43466.000694444447</v>
      </c>
      <c r="L58" s="57">
        <v>43830.500694444447</v>
      </c>
      <c r="M58" s="50" t="str">
        <f>VLOOKUP(G58,'Listado General'!$E$2:$K$167,7,FALSE)</f>
        <v>3N6DD23T19K016332</v>
      </c>
      <c r="N58" s="50" t="b">
        <f t="shared" si="2"/>
        <v>1</v>
      </c>
      <c r="O58" s="50" t="str">
        <f t="shared" si="1"/>
        <v>3N6DD23T19K016332 JP82753</v>
      </c>
      <c r="P58" s="50" t="str">
        <f>IF(ISERROR(VLOOKUP(O58,'Listado General'!$Y$2:$Y$167,1,FALSE))=TRUE,"No coinciden","Si coinciden")</f>
        <v>Si coinciden</v>
      </c>
      <c r="Q58" s="50" t="str">
        <f>VLOOKUP(G58,'Listado General'!$E$2:$N$167,10,FALSE)</f>
        <v>CZ 05 Ocotlán</v>
      </c>
    </row>
    <row r="59" spans="1:17" x14ac:dyDescent="0.2">
      <c r="A59" s="50">
        <f>VLOOKUP(TRIM(G59),'Listado General'!$A$2:$D$167,4,FALSE)</f>
        <v>110</v>
      </c>
      <c r="B59" s="50" t="s">
        <v>800</v>
      </c>
      <c r="C59" s="50" t="s">
        <v>820</v>
      </c>
      <c r="D59" s="62">
        <v>58</v>
      </c>
      <c r="E59" s="52">
        <v>2009</v>
      </c>
      <c r="F59" s="52" t="s">
        <v>426</v>
      </c>
      <c r="G59" s="52" t="s">
        <v>536</v>
      </c>
      <c r="H59" s="52" t="s">
        <v>251</v>
      </c>
      <c r="I59" s="52" t="s">
        <v>794</v>
      </c>
      <c r="J59" s="53">
        <v>3589.25</v>
      </c>
      <c r="K59" s="56">
        <v>43466.000694444447</v>
      </c>
      <c r="L59" s="57">
        <v>43830.500694444447</v>
      </c>
      <c r="M59" s="50" t="str">
        <f>VLOOKUP(G59,'Listado General'!$E$2:$K$167,7,FALSE)</f>
        <v>3N6DD23T99K024047</v>
      </c>
      <c r="N59" s="50" t="b">
        <f t="shared" si="2"/>
        <v>1</v>
      </c>
      <c r="O59" s="50" t="str">
        <f t="shared" si="1"/>
        <v>3N6DD23T99K024047 JP82754</v>
      </c>
      <c r="P59" s="50" t="str">
        <f>IF(ISERROR(VLOOKUP(O59,'Listado General'!$Y$2:$Y$167,1,FALSE))=TRUE,"No coinciden","Si coinciden")</f>
        <v>Si coinciden</v>
      </c>
      <c r="Q59" s="50" t="str">
        <f>VLOOKUP(G59,'Listado General'!$E$2:$N$167,10,FALSE)</f>
        <v>CZ 19 Tlaquepaque</v>
      </c>
    </row>
    <row r="60" spans="1:17" x14ac:dyDescent="0.2">
      <c r="A60" s="50">
        <f>VLOOKUP(TRIM(G60),'Listado General'!$A$2:$D$167,4,FALSE)</f>
        <v>112</v>
      </c>
      <c r="B60" s="50" t="s">
        <v>800</v>
      </c>
      <c r="C60" s="50" t="s">
        <v>820</v>
      </c>
      <c r="D60" s="62">
        <v>59</v>
      </c>
      <c r="E60" s="52">
        <v>2009</v>
      </c>
      <c r="F60" s="52" t="s">
        <v>426</v>
      </c>
      <c r="G60" s="52" t="s">
        <v>540</v>
      </c>
      <c r="H60" s="52" t="s">
        <v>257</v>
      </c>
      <c r="I60" s="52" t="s">
        <v>794</v>
      </c>
      <c r="J60" s="53">
        <v>3589.25</v>
      </c>
      <c r="K60" s="56">
        <v>43466.000694444447</v>
      </c>
      <c r="L60" s="57">
        <v>43830.500694444447</v>
      </c>
      <c r="M60" s="50" t="str">
        <f>VLOOKUP(G60,'Listado General'!$E$2:$K$167,7,FALSE)</f>
        <v>3N6DD23T49K024196</v>
      </c>
      <c r="N60" s="50" t="b">
        <f t="shared" si="2"/>
        <v>1</v>
      </c>
      <c r="O60" s="50" t="str">
        <f t="shared" si="1"/>
        <v>3N6DD23T49K024196 JP82756</v>
      </c>
      <c r="P60" s="50" t="str">
        <f>IF(ISERROR(VLOOKUP(O60,'Listado General'!$Y$2:$Y$167,1,FALSE))=TRUE,"No coinciden","Si coinciden")</f>
        <v>Si coinciden</v>
      </c>
      <c r="Q60" s="50" t="str">
        <f>VLOOKUP(G60,'Listado General'!$E$2:$N$167,10,FALSE)</f>
        <v>Departamento de Servicios Generales y Recursos Materiales</v>
      </c>
    </row>
    <row r="61" spans="1:17" x14ac:dyDescent="0.2">
      <c r="A61" s="50">
        <f>VLOOKUP(TRIM(G61),'Listado General'!$A$2:$D$167,4,FALSE)</f>
        <v>21</v>
      </c>
      <c r="B61" s="50" t="s">
        <v>800</v>
      </c>
      <c r="C61" s="50" t="s">
        <v>820</v>
      </c>
      <c r="D61" s="62">
        <v>60</v>
      </c>
      <c r="E61" s="52">
        <v>1998</v>
      </c>
      <c r="F61" s="52" t="s">
        <v>796</v>
      </c>
      <c r="G61" s="52" t="s">
        <v>527</v>
      </c>
      <c r="H61" s="52" t="s">
        <v>37</v>
      </c>
      <c r="I61" s="52" t="s">
        <v>794</v>
      </c>
      <c r="J61" s="53">
        <v>2130.11</v>
      </c>
      <c r="K61" s="56">
        <v>43466.000694444447</v>
      </c>
      <c r="L61" s="57">
        <v>43830.500694444447</v>
      </c>
      <c r="M61" s="50" t="str">
        <f>VLOOKUP(G61,'Listado General'!$E$2:$K$167,7,FALSE)</f>
        <v>3N1CD13S9WK004637</v>
      </c>
      <c r="N61" s="50" t="b">
        <f t="shared" si="2"/>
        <v>1</v>
      </c>
      <c r="O61" s="50" t="str">
        <f t="shared" si="1"/>
        <v>3N1CD13S9WK004637 JR49550</v>
      </c>
      <c r="P61" s="50" t="str">
        <f>IF(ISERROR(VLOOKUP(O61,'Listado General'!$Y$2:$Y$167,1,FALSE))=TRUE,"No coinciden","Si coinciden")</f>
        <v>Si coinciden</v>
      </c>
      <c r="Q61" s="50" t="str">
        <f>VLOOKUP(G61,'Listado General'!$E$2:$N$167,10,FALSE)</f>
        <v>CZ 17 Guadalajara Norte</v>
      </c>
    </row>
    <row r="62" spans="1:17" x14ac:dyDescent="0.2">
      <c r="A62" s="50">
        <f>VLOOKUP(TRIM(G62),'Listado General'!$A$2:$D$167,4,FALSE)</f>
        <v>96</v>
      </c>
      <c r="B62" s="50" t="s">
        <v>800</v>
      </c>
      <c r="C62" s="50" t="s">
        <v>820</v>
      </c>
      <c r="D62" s="62">
        <v>61</v>
      </c>
      <c r="E62" s="52">
        <v>2009</v>
      </c>
      <c r="F62" s="52" t="s">
        <v>434</v>
      </c>
      <c r="G62" s="52" t="s">
        <v>515</v>
      </c>
      <c r="H62" s="52" t="s">
        <v>218</v>
      </c>
      <c r="I62" s="52" t="s">
        <v>794</v>
      </c>
      <c r="J62" s="53">
        <v>2941.86</v>
      </c>
      <c r="K62" s="56">
        <v>43466.000694444447</v>
      </c>
      <c r="L62" s="57">
        <v>43830.500694444447</v>
      </c>
      <c r="M62" s="50" t="str">
        <f>VLOOKUP(G62,'Listado General'!$E$2:$K$167,7,FALSE)</f>
        <v>8AFDT50D596202330</v>
      </c>
      <c r="N62" s="50" t="b">
        <f t="shared" si="2"/>
        <v>1</v>
      </c>
      <c r="O62" s="50" t="str">
        <f t="shared" si="1"/>
        <v>8AFDT50D596202330 JR71675</v>
      </c>
      <c r="P62" s="50" t="str">
        <f>IF(ISERROR(VLOOKUP(O62,'Listado General'!$Y$2:$Y$167,1,FALSE))=TRUE,"No coinciden","Si coinciden")</f>
        <v>Si coinciden</v>
      </c>
      <c r="Q62" s="50" t="str">
        <f>VLOOKUP(G62,'Listado General'!$E$2:$N$167,10,FALSE)</f>
        <v>CZ 12 Ameca</v>
      </c>
    </row>
    <row r="63" spans="1:17" x14ac:dyDescent="0.2">
      <c r="A63" s="50">
        <f>VLOOKUP(TRIM(G63),'Listado General'!$A$2:$D$167,4,FALSE)</f>
        <v>144</v>
      </c>
      <c r="B63" s="50" t="s">
        <v>800</v>
      </c>
      <c r="C63" s="50" t="s">
        <v>820</v>
      </c>
      <c r="D63" s="62">
        <v>62</v>
      </c>
      <c r="E63" s="52">
        <v>2014</v>
      </c>
      <c r="F63" s="52" t="s">
        <v>445</v>
      </c>
      <c r="G63" s="52" t="s">
        <v>286</v>
      </c>
      <c r="H63" s="52" t="s">
        <v>287</v>
      </c>
      <c r="I63" s="52" t="s">
        <v>794</v>
      </c>
      <c r="J63" s="53">
        <v>4195.07</v>
      </c>
      <c r="K63" s="56">
        <v>43466.000694444447</v>
      </c>
      <c r="L63" s="57">
        <v>43830.500694444447</v>
      </c>
      <c r="M63" s="50" t="str">
        <f>VLOOKUP(G63,'Listado General'!$E$2:$K$167,7,FALSE)</f>
        <v>JTFPX22P0E0049987</v>
      </c>
      <c r="N63" s="50" t="b">
        <f t="shared" si="2"/>
        <v>1</v>
      </c>
      <c r="O63" s="50" t="str">
        <f t="shared" si="1"/>
        <v>JTFPX22P0E0049987 JU11109</v>
      </c>
      <c r="P63" s="50" t="str">
        <f>IF(ISERROR(VLOOKUP(O63,'Listado General'!$Y$2:$Y$167,1,FALSE))=TRUE,"No coinciden","Si coinciden")</f>
        <v>Si coinciden</v>
      </c>
      <c r="Q63" s="50" t="str">
        <f>VLOOKUP(G63,'Listado General'!$E$2:$N$167,10,FALSE)</f>
        <v>CZ 02 Lagos de Moreno</v>
      </c>
    </row>
    <row r="64" spans="1:17" x14ac:dyDescent="0.2">
      <c r="A64" s="50">
        <f>VLOOKUP(TRIM(G64),'Listado General'!$A$2:$D$167,4,FALSE)</f>
        <v>139</v>
      </c>
      <c r="B64" s="50" t="s">
        <v>800</v>
      </c>
      <c r="C64" s="50" t="s">
        <v>820</v>
      </c>
      <c r="D64" s="62">
        <v>63</v>
      </c>
      <c r="E64" s="52">
        <v>2014</v>
      </c>
      <c r="F64" s="52" t="s">
        <v>445</v>
      </c>
      <c r="G64" s="52" t="s">
        <v>322</v>
      </c>
      <c r="H64" s="52" t="s">
        <v>323</v>
      </c>
      <c r="I64" s="52" t="s">
        <v>794</v>
      </c>
      <c r="J64" s="53">
        <v>4195.07</v>
      </c>
      <c r="K64" s="56">
        <v>43466.000694444447</v>
      </c>
      <c r="L64" s="57">
        <v>43830.500694444447</v>
      </c>
      <c r="M64" s="50" t="str">
        <f>VLOOKUP(G64,'Listado General'!$E$2:$K$167,7,FALSE)</f>
        <v>JTFPX22P1E0049786</v>
      </c>
      <c r="N64" s="50" t="b">
        <f t="shared" si="2"/>
        <v>1</v>
      </c>
      <c r="O64" s="50" t="str">
        <f t="shared" si="1"/>
        <v>JTFPX22P1E0049786 JU11110</v>
      </c>
      <c r="P64" s="50" t="str">
        <f>IF(ISERROR(VLOOKUP(O64,'Listado General'!$Y$2:$Y$167,1,FALSE))=TRUE,"No coinciden","Si coinciden")</f>
        <v>Si coinciden</v>
      </c>
      <c r="Q64" s="50" t="str">
        <f>VLOOKUP(G64,'Listado General'!$E$2:$N$167,10,FALSE)</f>
        <v>CZ 05 Ocotlán</v>
      </c>
    </row>
    <row r="65" spans="1:17" x14ac:dyDescent="0.2">
      <c r="A65" s="50">
        <f>VLOOKUP(TRIM(G65),'Listado General'!$A$2:$D$167,4,FALSE)</f>
        <v>145</v>
      </c>
      <c r="B65" s="50" t="s">
        <v>800</v>
      </c>
      <c r="C65" s="50" t="s">
        <v>820</v>
      </c>
      <c r="D65" s="62">
        <v>64</v>
      </c>
      <c r="E65" s="52">
        <v>2014</v>
      </c>
      <c r="F65" s="52" t="s">
        <v>445</v>
      </c>
      <c r="G65" s="52" t="s">
        <v>342</v>
      </c>
      <c r="H65" s="52" t="s">
        <v>343</v>
      </c>
      <c r="I65" s="52" t="s">
        <v>794</v>
      </c>
      <c r="J65" s="53">
        <v>4195.07</v>
      </c>
      <c r="K65" s="56">
        <v>43466.000694444447</v>
      </c>
      <c r="L65" s="57">
        <v>43830.500694444447</v>
      </c>
      <c r="M65" s="50" t="str">
        <f>VLOOKUP(G65,'Listado General'!$E$2:$K$167,7,FALSE)</f>
        <v>JTFPX22P6E0049802</v>
      </c>
      <c r="N65" s="50" t="b">
        <f t="shared" si="2"/>
        <v>1</v>
      </c>
      <c r="O65" s="50" t="str">
        <f t="shared" si="1"/>
        <v>JTFPX22P6E0049802 JU11111</v>
      </c>
      <c r="P65" s="50" t="str">
        <f>IF(ISERROR(VLOOKUP(O65,'Listado General'!$Y$2:$Y$167,1,FALSE))=TRUE,"No coinciden","Si coinciden")</f>
        <v>Si coinciden</v>
      </c>
      <c r="Q65" s="50" t="str">
        <f>VLOOKUP(G65,'Listado General'!$E$2:$N$167,10,FALSE)</f>
        <v>CZ 01 Colotlán</v>
      </c>
    </row>
    <row r="66" spans="1:17" x14ac:dyDescent="0.2">
      <c r="A66" s="50">
        <f>VLOOKUP(TRIM(G66),'Listado General'!$A$2:$D$167,4,FALSE)</f>
        <v>142</v>
      </c>
      <c r="B66" s="50" t="s">
        <v>800</v>
      </c>
      <c r="C66" s="50" t="s">
        <v>820</v>
      </c>
      <c r="D66" s="62">
        <v>65</v>
      </c>
      <c r="E66" s="52">
        <v>2014</v>
      </c>
      <c r="F66" s="52" t="s">
        <v>445</v>
      </c>
      <c r="G66" s="52" t="s">
        <v>334</v>
      </c>
      <c r="H66" s="52" t="s">
        <v>335</v>
      </c>
      <c r="I66" s="52" t="s">
        <v>794</v>
      </c>
      <c r="J66" s="53">
        <v>4195.07</v>
      </c>
      <c r="K66" s="56">
        <v>43466.000694444447</v>
      </c>
      <c r="L66" s="57">
        <v>43830.500694444447</v>
      </c>
      <c r="M66" s="50" t="str">
        <f>VLOOKUP(G66,'Listado General'!$E$2:$K$167,7,FALSE)</f>
        <v>JTFPX22P4E0049474</v>
      </c>
      <c r="N66" s="50" t="b">
        <f t="shared" ref="N66:N82" si="3">H66=M66</f>
        <v>1</v>
      </c>
      <c r="O66" s="50" t="str">
        <f t="shared" si="1"/>
        <v>JTFPX22P4E0049474 JU11112</v>
      </c>
      <c r="P66" s="50" t="str">
        <f>IF(ISERROR(VLOOKUP(O66,'Listado General'!$Y$2:$Y$167,1,FALSE))=TRUE,"No coinciden","Si coinciden")</f>
        <v>Si coinciden</v>
      </c>
      <c r="Q66" s="50" t="str">
        <f>VLOOKUP(G66,'Listado General'!$E$2:$N$167,10,FALSE)</f>
        <v>Departamento de Servicios Generales y Recursos Materiales</v>
      </c>
    </row>
    <row r="67" spans="1:17" x14ac:dyDescent="0.2">
      <c r="A67" s="50">
        <f>VLOOKUP(TRIM(G67),'Listado General'!$A$2:$D$167,4,FALSE)</f>
        <v>141</v>
      </c>
      <c r="B67" s="50" t="s">
        <v>800</v>
      </c>
      <c r="C67" s="50" t="s">
        <v>820</v>
      </c>
      <c r="D67" s="62">
        <v>66</v>
      </c>
      <c r="E67" s="52">
        <v>2014</v>
      </c>
      <c r="F67" s="52" t="s">
        <v>445</v>
      </c>
      <c r="G67" s="52" t="s">
        <v>330</v>
      </c>
      <c r="H67" s="52" t="s">
        <v>331</v>
      </c>
      <c r="I67" s="52" t="s">
        <v>794</v>
      </c>
      <c r="J67" s="53">
        <v>4195.07</v>
      </c>
      <c r="K67" s="56">
        <v>43466.000694444447</v>
      </c>
      <c r="L67" s="57">
        <v>43830.500694444447</v>
      </c>
      <c r="M67" s="50" t="str">
        <f>VLOOKUP(G67,'Listado General'!$E$2:$K$167,7,FALSE)</f>
        <v>JTFPX22P0E0049889</v>
      </c>
      <c r="N67" s="50" t="b">
        <f t="shared" si="3"/>
        <v>1</v>
      </c>
      <c r="O67" s="50" t="str">
        <f t="shared" ref="O67:O82" si="4">CONCATENATE(TRIM(H67)," ",TRIM(G67))</f>
        <v>JTFPX22P0E0049889 JU11113</v>
      </c>
      <c r="P67" s="50" t="str">
        <f>IF(ISERROR(VLOOKUP(O67,'Listado General'!$Y$2:$Y$167,1,FALSE))=TRUE,"No coinciden","Si coinciden")</f>
        <v>Si coinciden</v>
      </c>
      <c r="Q67" s="50" t="str">
        <f>VLOOKUP(G67,'Listado General'!$E$2:$N$167,10,FALSE)</f>
        <v>CZ 12 Ameca</v>
      </c>
    </row>
    <row r="68" spans="1:17" x14ac:dyDescent="0.2">
      <c r="A68" s="50">
        <f>VLOOKUP(TRIM(G68),'Listado General'!$A$2:$D$167,4,FALSE)</f>
        <v>146</v>
      </c>
      <c r="B68" s="50" t="s">
        <v>800</v>
      </c>
      <c r="C68" s="50" t="s">
        <v>820</v>
      </c>
      <c r="D68" s="62">
        <v>67</v>
      </c>
      <c r="E68" s="52">
        <v>2014</v>
      </c>
      <c r="F68" s="52" t="s">
        <v>445</v>
      </c>
      <c r="G68" s="52" t="s">
        <v>346</v>
      </c>
      <c r="H68" s="52" t="s">
        <v>347</v>
      </c>
      <c r="I68" s="52" t="s">
        <v>794</v>
      </c>
      <c r="J68" s="53">
        <v>4195.07</v>
      </c>
      <c r="K68" s="56">
        <v>43466.000694444447</v>
      </c>
      <c r="L68" s="57">
        <v>43830.500694444447</v>
      </c>
      <c r="M68" s="50" t="str">
        <f>VLOOKUP(G68,'Listado General'!$E$2:$K$167,7,FALSE)</f>
        <v>JTFPX22P2E0049991</v>
      </c>
      <c r="N68" s="50" t="b">
        <f t="shared" si="3"/>
        <v>1</v>
      </c>
      <c r="O68" s="50" t="str">
        <f t="shared" si="4"/>
        <v>JTFPX22P2E0049991 JU11114</v>
      </c>
      <c r="P68" s="50" t="str">
        <f>IF(ISERROR(VLOOKUP(O68,'Listado General'!$Y$2:$Y$167,1,FALSE))=TRUE,"No coinciden","Si coinciden")</f>
        <v>Si coinciden</v>
      </c>
      <c r="Q68" s="50" t="str">
        <f>VLOOKUP(G68,'Listado General'!$E$2:$N$167,10,FALSE)</f>
        <v>CZ 07 Ciudad Guzmán</v>
      </c>
    </row>
    <row r="69" spans="1:17" x14ac:dyDescent="0.2">
      <c r="A69" s="50">
        <f>VLOOKUP(TRIM(G69),'Listado General'!$A$2:$D$167,4,FALSE)</f>
        <v>140</v>
      </c>
      <c r="B69" s="50" t="s">
        <v>800</v>
      </c>
      <c r="C69" s="50" t="s">
        <v>820</v>
      </c>
      <c r="D69" s="62">
        <v>68</v>
      </c>
      <c r="E69" s="52">
        <v>2014</v>
      </c>
      <c r="F69" s="52" t="s">
        <v>445</v>
      </c>
      <c r="G69" s="52" t="s">
        <v>326</v>
      </c>
      <c r="H69" s="52" t="s">
        <v>327</v>
      </c>
      <c r="I69" s="52" t="s">
        <v>794</v>
      </c>
      <c r="J69" s="53">
        <v>4195.07</v>
      </c>
      <c r="K69" s="56">
        <v>43466.000694444447</v>
      </c>
      <c r="L69" s="57">
        <v>43830.500694444447</v>
      </c>
      <c r="M69" s="50" t="str">
        <f>VLOOKUP(G69,'Listado General'!$E$2:$K$167,7,FALSE)</f>
        <v>JTFPX22P1E0049383</v>
      </c>
      <c r="N69" s="50" t="b">
        <f t="shared" si="3"/>
        <v>1</v>
      </c>
      <c r="O69" s="50" t="str">
        <f t="shared" si="4"/>
        <v>JTFPX22P1E0049383 JU11116</v>
      </c>
      <c r="P69" s="50" t="str">
        <f>IF(ISERROR(VLOOKUP(O69,'Listado General'!$Y$2:$Y$167,1,FALSE))=TRUE,"No coinciden","Si coinciden")</f>
        <v>Si coinciden</v>
      </c>
      <c r="Q69" s="50" t="str">
        <f>VLOOKUP(G69,'Listado General'!$E$2:$N$167,10,FALSE)</f>
        <v>CZ 14 Puerto Vallarta</v>
      </c>
    </row>
    <row r="70" spans="1:17" x14ac:dyDescent="0.2">
      <c r="A70" s="50">
        <f>VLOOKUP(TRIM(G70),'Listado General'!$A$2:$D$167,4,FALSE)</f>
        <v>147</v>
      </c>
      <c r="B70" s="50" t="s">
        <v>800</v>
      </c>
      <c r="C70" s="50" t="s">
        <v>820</v>
      </c>
      <c r="D70" s="62">
        <v>69</v>
      </c>
      <c r="E70" s="52">
        <v>2014</v>
      </c>
      <c r="F70" s="52" t="s">
        <v>445</v>
      </c>
      <c r="G70" s="52" t="s">
        <v>350</v>
      </c>
      <c r="H70" s="52" t="s">
        <v>351</v>
      </c>
      <c r="I70" s="52" t="s">
        <v>794</v>
      </c>
      <c r="J70" s="53">
        <v>4195.07</v>
      </c>
      <c r="K70" s="56">
        <v>43466.000694444447</v>
      </c>
      <c r="L70" s="57">
        <v>43830.500694444447</v>
      </c>
      <c r="M70" s="50" t="str">
        <f>VLOOKUP(G70,'Listado General'!$E$2:$K$167,7,FALSE)</f>
        <v>JTFPX22P5E0048544</v>
      </c>
      <c r="N70" s="50" t="b">
        <f t="shared" si="3"/>
        <v>1</v>
      </c>
      <c r="O70" s="50" t="str">
        <f t="shared" si="4"/>
        <v>JTFPX22P5E0048544 JU11117</v>
      </c>
      <c r="P70" s="50" t="str">
        <f>IF(ISERROR(VLOOKUP(O70,'Listado General'!$Y$2:$Y$167,1,FALSE))=TRUE,"No coinciden","Si coinciden")</f>
        <v>Si coinciden</v>
      </c>
      <c r="Q70" s="50" t="str">
        <f>VLOOKUP(G70,'Listado General'!$E$2:$N$167,10,FALSE)</f>
        <v>CZ 06 Mazamitla</v>
      </c>
    </row>
    <row r="71" spans="1:17" x14ac:dyDescent="0.2">
      <c r="A71" s="50">
        <f>VLOOKUP(TRIM(G71),'Listado General'!$A$2:$D$167,4,FALSE)</f>
        <v>135</v>
      </c>
      <c r="B71" s="50" t="s">
        <v>800</v>
      </c>
      <c r="C71" s="50" t="s">
        <v>820</v>
      </c>
      <c r="D71" s="62">
        <v>70</v>
      </c>
      <c r="E71" s="52">
        <v>2014</v>
      </c>
      <c r="F71" s="52" t="s">
        <v>793</v>
      </c>
      <c r="G71" s="52" t="s">
        <v>514</v>
      </c>
      <c r="H71" s="52" t="s">
        <v>311</v>
      </c>
      <c r="I71" s="52" t="s">
        <v>794</v>
      </c>
      <c r="J71" s="53">
        <v>3535.68</v>
      </c>
      <c r="K71" s="56">
        <v>43466.000694444447</v>
      </c>
      <c r="L71" s="57">
        <v>43830.500694444447</v>
      </c>
      <c r="M71" s="50" t="str">
        <f>VLOOKUP(G71,'Listado General'!$E$2:$K$167,7,FALSE)</f>
        <v>93CCL8006EB243932</v>
      </c>
      <c r="N71" s="50" t="b">
        <f t="shared" si="3"/>
        <v>1</v>
      </c>
      <c r="O71" s="50" t="str">
        <f t="shared" si="4"/>
        <v>93CCL8006EB243932 JU11120</v>
      </c>
      <c r="P71" s="50" t="str">
        <f>IF(ISERROR(VLOOKUP(O71,'Listado General'!$Y$2:$Y$167,1,FALSE))=TRUE,"No coinciden","Si coinciden")</f>
        <v>Si coinciden</v>
      </c>
      <c r="Q71" s="50" t="str">
        <f>VLOOKUP(G71,'Listado General'!$E$2:$N$167,10,FALSE)</f>
        <v>CZ 23 Tlajomulco</v>
      </c>
    </row>
    <row r="72" spans="1:17" x14ac:dyDescent="0.2">
      <c r="A72" s="50">
        <f>VLOOKUP(TRIM(G72),'Listado General'!$A$2:$D$167,4,FALSE)</f>
        <v>133</v>
      </c>
      <c r="B72" s="50" t="s">
        <v>800</v>
      </c>
      <c r="C72" s="50" t="s">
        <v>820</v>
      </c>
      <c r="D72" s="64">
        <v>71</v>
      </c>
      <c r="E72" s="52">
        <v>2014</v>
      </c>
      <c r="F72" s="52" t="s">
        <v>793</v>
      </c>
      <c r="G72" s="52" t="s">
        <v>544</v>
      </c>
      <c r="H72" s="52" t="s">
        <v>307</v>
      </c>
      <c r="I72" s="52" t="s">
        <v>794</v>
      </c>
      <c r="J72" s="53">
        <v>3535.68</v>
      </c>
      <c r="K72" s="56">
        <v>43466.000694444447</v>
      </c>
      <c r="L72" s="57">
        <v>43830.500694444447</v>
      </c>
      <c r="M72" s="50" t="str">
        <f>VLOOKUP(G72,'Listado General'!$E$2:$K$167,7,FALSE)</f>
        <v>93CCL8006EB243865</v>
      </c>
      <c r="N72" s="50" t="b">
        <f t="shared" si="3"/>
        <v>1</v>
      </c>
      <c r="O72" s="50" t="str">
        <f t="shared" si="4"/>
        <v>93CCL8006EB243865 JU11121</v>
      </c>
      <c r="P72" s="50" t="str">
        <f>IF(ISERROR(VLOOKUP(O72,'Listado General'!$Y$2:$Y$167,1,FALSE))=TRUE,"No coinciden","Si coinciden")</f>
        <v>Si coinciden</v>
      </c>
      <c r="Q72" s="50" t="str">
        <f>VLOOKUP(G72,'Listado General'!$E$2:$N$167,10,FALSE)</f>
        <v>CZ 21 Tonalá</v>
      </c>
    </row>
    <row r="73" spans="1:17" x14ac:dyDescent="0.2">
      <c r="A73" s="50">
        <f>VLOOKUP(TRIM(G73),'Listado General'!$A$2:$D$167,4,FALSE)</f>
        <v>123</v>
      </c>
      <c r="B73" s="50" t="s">
        <v>800</v>
      </c>
      <c r="C73" s="50" t="s">
        <v>820</v>
      </c>
      <c r="D73" s="64">
        <v>72</v>
      </c>
      <c r="E73" s="52">
        <v>2014</v>
      </c>
      <c r="F73" s="52" t="s">
        <v>793</v>
      </c>
      <c r="G73" s="52" t="s">
        <v>563</v>
      </c>
      <c r="H73" s="52" t="s">
        <v>277</v>
      </c>
      <c r="I73" s="52" t="s">
        <v>794</v>
      </c>
      <c r="J73" s="53">
        <v>3535.68</v>
      </c>
      <c r="K73" s="56">
        <v>43466.000694444447</v>
      </c>
      <c r="L73" s="57">
        <v>43830.500694444447</v>
      </c>
      <c r="M73" s="50" t="str">
        <f>VLOOKUP(G73,'Listado General'!$E$2:$K$167,7,FALSE)</f>
        <v>93CCL8004EB243847</v>
      </c>
      <c r="N73" s="50" t="b">
        <f t="shared" si="3"/>
        <v>1</v>
      </c>
      <c r="O73" s="50" t="str">
        <f t="shared" si="4"/>
        <v>93CCL8004EB243847 JU11122</v>
      </c>
      <c r="P73" s="50" t="str">
        <f>IF(ISERROR(VLOOKUP(O73,'Listado General'!$Y$2:$Y$167,1,FALSE))=TRUE,"No coinciden","Si coinciden")</f>
        <v>Si coinciden</v>
      </c>
      <c r="Q73" s="50" t="str">
        <f>VLOOKUP(G73,'Listado General'!$E$2:$N$167,10,FALSE)</f>
        <v>Dirección de Planeación</v>
      </c>
    </row>
    <row r="74" spans="1:17" x14ac:dyDescent="0.2">
      <c r="A74" s="50">
        <f>VLOOKUP(TRIM(G74),'Listado General'!$A$2:$D$167,4,FALSE)</f>
        <v>134</v>
      </c>
      <c r="B74" s="50" t="s">
        <v>800</v>
      </c>
      <c r="C74" s="50" t="s">
        <v>820</v>
      </c>
      <c r="D74" s="64">
        <v>73</v>
      </c>
      <c r="E74" s="52">
        <v>2014</v>
      </c>
      <c r="F74" s="52" t="s">
        <v>793</v>
      </c>
      <c r="G74" s="52" t="s">
        <v>537</v>
      </c>
      <c r="H74" s="52" t="s">
        <v>309</v>
      </c>
      <c r="I74" s="52" t="s">
        <v>794</v>
      </c>
      <c r="J74" s="53">
        <v>3535.68</v>
      </c>
      <c r="K74" s="56">
        <v>43466.000694444447</v>
      </c>
      <c r="L74" s="57">
        <v>43830.500694444447</v>
      </c>
      <c r="M74" s="50" t="str">
        <f>VLOOKUP(G74,'Listado General'!$E$2:$K$167,7,FALSE)</f>
        <v>93CCL8002EB243880</v>
      </c>
      <c r="N74" s="50" t="b">
        <f t="shared" si="3"/>
        <v>1</v>
      </c>
      <c r="O74" s="50" t="str">
        <f t="shared" si="4"/>
        <v>93CCL8002EB243880 JU11123</v>
      </c>
      <c r="P74" s="50" t="str">
        <f>IF(ISERROR(VLOOKUP(O74,'Listado General'!$Y$2:$Y$167,1,FALSE))=TRUE,"No coinciden","Si coinciden")</f>
        <v>Si coinciden</v>
      </c>
      <c r="Q74" s="50" t="str">
        <f>VLOOKUP(G74,'Listado General'!$E$2:$N$167,10,FALSE)</f>
        <v>CZ 19 Tlaquepaque</v>
      </c>
    </row>
    <row r="75" spans="1:17" ht="15" x14ac:dyDescent="0.25">
      <c r="A75" s="66">
        <f>VLOOKUP(TRIM(G75),'Listado General'!$A$2:$D$167,4,FALSE)</f>
        <v>126</v>
      </c>
      <c r="B75" s="66" t="s">
        <v>800</v>
      </c>
      <c r="C75" s="66" t="s">
        <v>820</v>
      </c>
      <c r="D75" s="67">
        <v>74</v>
      </c>
      <c r="E75" s="67">
        <v>2015</v>
      </c>
      <c r="F75" s="67" t="s">
        <v>793</v>
      </c>
      <c r="G75" s="67" t="s">
        <v>318</v>
      </c>
      <c r="H75" s="67" t="s">
        <v>400</v>
      </c>
      <c r="I75" s="67" t="s">
        <v>794</v>
      </c>
      <c r="J75" s="68">
        <v>3883.29</v>
      </c>
      <c r="K75" s="69">
        <v>43466.000694444447</v>
      </c>
      <c r="L75" s="70">
        <v>43830.500694444447</v>
      </c>
      <c r="M75" s="66" t="str">
        <f>VLOOKUP(G75,'Listado General'!$E$2:$K$167,7,FALSE)</f>
        <v>93CCL8000FB109449</v>
      </c>
      <c r="N75" s="66" t="b">
        <f t="shared" si="3"/>
        <v>1</v>
      </c>
      <c r="O75" s="50" t="str">
        <f t="shared" si="4"/>
        <v>93CCL8000FB109449 JU11124</v>
      </c>
      <c r="P75" s="50" t="str">
        <f>IF(ISERROR(VLOOKUP(O75,'Listado General'!$Y$2:$Y$167,1,FALSE))=TRUE,"No coinciden","Si coinciden")</f>
        <v>Si coinciden</v>
      </c>
      <c r="Q75" s="50" t="str">
        <f>VLOOKUP(G75,'Listado General'!$E$2:$N$167,10,FALSE)</f>
        <v>CZ 10 Grullo</v>
      </c>
    </row>
    <row r="76" spans="1:17" x14ac:dyDescent="0.2">
      <c r="A76" s="50">
        <f>VLOOKUP(TRIM(G76),'Listado General'!$A$2:$D$167,4,FALSE)</f>
        <v>131</v>
      </c>
      <c r="B76" s="50" t="s">
        <v>800</v>
      </c>
      <c r="C76" s="50" t="s">
        <v>820</v>
      </c>
      <c r="D76" s="64">
        <v>75</v>
      </c>
      <c r="E76" s="52">
        <v>2015</v>
      </c>
      <c r="F76" s="52" t="s">
        <v>793</v>
      </c>
      <c r="G76" s="52" t="s">
        <v>301</v>
      </c>
      <c r="H76" s="52" t="s">
        <v>302</v>
      </c>
      <c r="I76" s="52" t="s">
        <v>794</v>
      </c>
      <c r="J76" s="53">
        <v>3883.29</v>
      </c>
      <c r="K76" s="56">
        <v>43466.000694444447</v>
      </c>
      <c r="L76" s="57">
        <v>43830.500694444447</v>
      </c>
      <c r="M76" s="50" t="str">
        <f>VLOOKUP(G76,'Listado General'!$E$2:$K$167,7,FALSE)</f>
        <v>93CCL8000FB109905</v>
      </c>
      <c r="N76" s="50" t="b">
        <f t="shared" si="3"/>
        <v>1</v>
      </c>
      <c r="O76" s="50" t="str">
        <f t="shared" si="4"/>
        <v>93CCL8000FB109905 JU11125</v>
      </c>
      <c r="P76" s="50" t="str">
        <f>IF(ISERROR(VLOOKUP(O76,'Listado General'!$Y$2:$Y$167,1,FALSE))=TRUE,"No coinciden","Si coinciden")</f>
        <v>Si coinciden</v>
      </c>
      <c r="Q76" s="50" t="str">
        <f>VLOOKUP(G76,'Listado General'!$E$2:$N$167,10,FALSE)</f>
        <v>CZ 05 Ocotlán</v>
      </c>
    </row>
    <row r="77" spans="1:17" x14ac:dyDescent="0.2">
      <c r="A77" s="50">
        <f>VLOOKUP(TRIM(G77),'Listado General'!$A$2:$D$167,4,FALSE)</f>
        <v>124</v>
      </c>
      <c r="B77" s="50" t="s">
        <v>800</v>
      </c>
      <c r="C77" s="50" t="s">
        <v>820</v>
      </c>
      <c r="D77" s="64">
        <v>76</v>
      </c>
      <c r="E77" s="52">
        <v>2015</v>
      </c>
      <c r="F77" s="52" t="s">
        <v>793</v>
      </c>
      <c r="G77" s="52" t="s">
        <v>280</v>
      </c>
      <c r="H77" s="52" t="s">
        <v>281</v>
      </c>
      <c r="I77" s="52" t="s">
        <v>794</v>
      </c>
      <c r="J77" s="53">
        <v>3883.29</v>
      </c>
      <c r="K77" s="56">
        <v>43466.000694444447</v>
      </c>
      <c r="L77" s="57">
        <v>43830.500694444447</v>
      </c>
      <c r="M77" s="50" t="str">
        <f>VLOOKUP(G77,'Listado General'!$E$2:$K$167,7,FALSE)</f>
        <v>93CCL8003FB109249</v>
      </c>
      <c r="N77" s="50" t="b">
        <f t="shared" si="3"/>
        <v>1</v>
      </c>
      <c r="O77" s="50" t="str">
        <f t="shared" si="4"/>
        <v>93CCL8003FB109249 JU11127</v>
      </c>
      <c r="P77" s="50" t="str">
        <f>IF(ISERROR(VLOOKUP(O77,'Listado General'!$Y$2:$Y$167,1,FALSE))=TRUE,"No coinciden","Si coinciden")</f>
        <v>Si coinciden</v>
      </c>
      <c r="Q77" s="50" t="str">
        <f>VLOOKUP(G77,'Listado General'!$E$2:$N$167,10,FALSE)</f>
        <v>CZ 09 Autlán</v>
      </c>
    </row>
    <row r="78" spans="1:17" x14ac:dyDescent="0.2">
      <c r="A78" s="50">
        <f>VLOOKUP(TRIM(G78),'Listado General'!$A$2:$D$167,4,FALSE)</f>
        <v>128</v>
      </c>
      <c r="B78" s="50" t="s">
        <v>800</v>
      </c>
      <c r="C78" s="50" t="s">
        <v>820</v>
      </c>
      <c r="D78" s="64">
        <v>77</v>
      </c>
      <c r="E78" s="52">
        <v>2015</v>
      </c>
      <c r="F78" s="52" t="s">
        <v>793</v>
      </c>
      <c r="G78" s="52" t="s">
        <v>292</v>
      </c>
      <c r="H78" s="52" t="s">
        <v>293</v>
      </c>
      <c r="I78" s="52" t="s">
        <v>794</v>
      </c>
      <c r="J78" s="53">
        <v>3883.29</v>
      </c>
      <c r="K78" s="56">
        <v>43466.000694444447</v>
      </c>
      <c r="L78" s="57">
        <v>43830.500694444447</v>
      </c>
      <c r="M78" s="50" t="str">
        <f>VLOOKUP(G78,'Listado General'!$E$2:$K$167,7,FALSE)</f>
        <v>93CCL8004FB109681</v>
      </c>
      <c r="N78" s="50" t="b">
        <f t="shared" si="3"/>
        <v>1</v>
      </c>
      <c r="O78" s="50" t="str">
        <f t="shared" si="4"/>
        <v>93CCL8004FB109681 JU11128</v>
      </c>
      <c r="P78" s="50" t="str">
        <f>IF(ISERROR(VLOOKUP(O78,'Listado General'!$Y$2:$Y$167,1,FALSE))=TRUE,"No coinciden","Si coinciden")</f>
        <v>Si coinciden</v>
      </c>
      <c r="Q78" s="50" t="str">
        <f>VLOOKUP(G78,'Listado General'!$E$2:$N$167,10,FALSE)</f>
        <v>CZ 12 Ameca</v>
      </c>
    </row>
    <row r="79" spans="1:17" x14ac:dyDescent="0.2">
      <c r="A79" s="50">
        <f>VLOOKUP(TRIM(G79),'Listado General'!$A$2:$D$167,4,FALSE)</f>
        <v>125</v>
      </c>
      <c r="B79" s="50" t="s">
        <v>800</v>
      </c>
      <c r="C79" s="50" t="s">
        <v>820</v>
      </c>
      <c r="D79" s="64">
        <v>78</v>
      </c>
      <c r="E79" s="52">
        <v>2015</v>
      </c>
      <c r="F79" s="52" t="s">
        <v>793</v>
      </c>
      <c r="G79" s="52" t="s">
        <v>283</v>
      </c>
      <c r="H79" s="52" t="s">
        <v>284</v>
      </c>
      <c r="I79" s="52" t="s">
        <v>794</v>
      </c>
      <c r="J79" s="53">
        <v>3883.29</v>
      </c>
      <c r="K79" s="56">
        <v>43466.000694444447</v>
      </c>
      <c r="L79" s="57">
        <v>43830.500694444447</v>
      </c>
      <c r="M79" s="50" t="str">
        <f>VLOOKUP(G79,'Listado General'!$E$2:$K$167,7,FALSE)</f>
        <v>93CCL8005FB109950</v>
      </c>
      <c r="N79" s="50" t="b">
        <f t="shared" si="3"/>
        <v>1</v>
      </c>
      <c r="O79" s="50" t="str">
        <f t="shared" si="4"/>
        <v>93CCL8005FB109950 JU11130</v>
      </c>
      <c r="P79" s="50" t="str">
        <f>IF(ISERROR(VLOOKUP(O79,'Listado General'!$Y$2:$Y$167,1,FALSE))=TRUE,"No coinciden","Si coinciden")</f>
        <v>Si coinciden</v>
      </c>
      <c r="Q79" s="50" t="str">
        <f>VLOOKUP(G79,'Listado General'!$E$2:$N$167,10,FALSE)</f>
        <v>CZ 14 Puerto Vallarta</v>
      </c>
    </row>
    <row r="80" spans="1:17" x14ac:dyDescent="0.2">
      <c r="A80" s="50">
        <f>VLOOKUP(TRIM(G80),'Listado General'!$A$2:$D$167,4,FALSE)</f>
        <v>127</v>
      </c>
      <c r="B80" s="50" t="s">
        <v>800</v>
      </c>
      <c r="C80" s="50" t="s">
        <v>820</v>
      </c>
      <c r="D80" s="64">
        <v>79</v>
      </c>
      <c r="E80" s="52">
        <v>2015</v>
      </c>
      <c r="F80" s="52" t="s">
        <v>793</v>
      </c>
      <c r="G80" s="52" t="s">
        <v>289</v>
      </c>
      <c r="H80" s="52" t="s">
        <v>290</v>
      </c>
      <c r="I80" s="52" t="s">
        <v>794</v>
      </c>
      <c r="J80" s="53">
        <v>3883.29</v>
      </c>
      <c r="K80" s="56">
        <v>43466.000694444447</v>
      </c>
      <c r="L80" s="57">
        <v>43830.500694444447</v>
      </c>
      <c r="M80" s="50" t="str">
        <f>VLOOKUP(G80,'Listado General'!$E$2:$K$167,7,FALSE)</f>
        <v>93CCL8007FB109268</v>
      </c>
      <c r="N80" s="50" t="b">
        <f t="shared" si="3"/>
        <v>1</v>
      </c>
      <c r="O80" s="50" t="str">
        <f t="shared" si="4"/>
        <v>93CCL8007FB109268 JU11131</v>
      </c>
      <c r="P80" s="50" t="str">
        <f>IF(ISERROR(VLOOKUP(O80,'Listado General'!$Y$2:$Y$167,1,FALSE))=TRUE,"No coinciden","Si coinciden")</f>
        <v>Si coinciden</v>
      </c>
      <c r="Q80" s="50" t="str">
        <f>VLOOKUP(G80,'Listado General'!$E$2:$N$167,10,FALSE)</f>
        <v>CZ 20 Tepatitlán</v>
      </c>
    </row>
    <row r="81" spans="1:17" x14ac:dyDescent="0.2">
      <c r="A81" s="50">
        <f>VLOOKUP(TRIM(G81),'Listado General'!$A$2:$D$167,4,FALSE)</f>
        <v>129</v>
      </c>
      <c r="B81" s="50" t="s">
        <v>800</v>
      </c>
      <c r="C81" s="50" t="s">
        <v>820</v>
      </c>
      <c r="D81" s="64">
        <v>80</v>
      </c>
      <c r="E81" s="52">
        <v>2015</v>
      </c>
      <c r="F81" s="52" t="s">
        <v>793</v>
      </c>
      <c r="G81" s="52" t="s">
        <v>295</v>
      </c>
      <c r="H81" s="52" t="s">
        <v>296</v>
      </c>
      <c r="I81" s="52" t="s">
        <v>794</v>
      </c>
      <c r="J81" s="53">
        <v>3883.29</v>
      </c>
      <c r="K81" s="56">
        <v>43466.000694444447</v>
      </c>
      <c r="L81" s="57">
        <v>43830.500694444447</v>
      </c>
      <c r="M81" s="50" t="str">
        <f>VLOOKUP(G81,'Listado General'!$E$2:$K$167,7,FALSE)</f>
        <v>93CCL8008FB109943</v>
      </c>
      <c r="N81" s="50" t="b">
        <f t="shared" si="3"/>
        <v>1</v>
      </c>
      <c r="O81" s="50" t="str">
        <f t="shared" si="4"/>
        <v>93CCL8008FB109943 JU11133</v>
      </c>
      <c r="P81" s="50" t="str">
        <f>IF(ISERROR(VLOOKUP(O81,'Listado General'!$Y$2:$Y$167,1,FALSE))=TRUE,"No coinciden","Si coinciden")</f>
        <v>Si coinciden</v>
      </c>
      <c r="Q81" s="50" t="str">
        <f>VLOOKUP(G81,'Listado General'!$E$2:$N$167,10,FALSE)</f>
        <v>CZ 17 Guadalajara Norte</v>
      </c>
    </row>
    <row r="82" spans="1:17" x14ac:dyDescent="0.2">
      <c r="A82" s="50">
        <f>VLOOKUP(TRIM(G82),'Listado General'!$A$2:$D$167,4,FALSE)</f>
        <v>148</v>
      </c>
      <c r="B82" s="50" t="s">
        <v>800</v>
      </c>
      <c r="C82" s="50" t="s">
        <v>820</v>
      </c>
      <c r="D82" s="64">
        <v>81</v>
      </c>
      <c r="E82" s="52">
        <v>2014</v>
      </c>
      <c r="F82" s="52" t="s">
        <v>445</v>
      </c>
      <c r="G82" s="52" t="s">
        <v>354</v>
      </c>
      <c r="H82" s="52" t="s">
        <v>355</v>
      </c>
      <c r="I82" s="52" t="s">
        <v>794</v>
      </c>
      <c r="J82" s="53">
        <v>4195.07</v>
      </c>
      <c r="K82" s="56">
        <v>43466.000694444447</v>
      </c>
      <c r="L82" s="57">
        <v>43830.500694444447</v>
      </c>
      <c r="M82" s="50" t="str">
        <f>VLOOKUP(G82,'Listado General'!$E$2:$K$167,7,FALSE)</f>
        <v>JTFPX22P1E0050033</v>
      </c>
      <c r="N82" s="50" t="b">
        <f t="shared" si="3"/>
        <v>1</v>
      </c>
      <c r="O82" s="50" t="str">
        <f t="shared" si="4"/>
        <v>JTFPX22P1E0050033 JU13098</v>
      </c>
      <c r="P82" s="50" t="str">
        <f>IF(ISERROR(VLOOKUP(O82,'Listado General'!$Y$2:$Y$167,1,FALSE))=TRUE,"No coinciden","Si coinciden")</f>
        <v>Si coinciden</v>
      </c>
      <c r="Q82" s="50" t="str">
        <f>VLOOKUP(G82,'Listado General'!$E$2:$N$167,10,FALSE)</f>
        <v>Almacén General</v>
      </c>
    </row>
  </sheetData>
  <autoFilter ref="A1:Q82"/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14870BBA-F4F8-4D92-A344-77B09CF4561D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10</vt:i4>
      </vt:variant>
    </vt:vector>
  </HeadingPairs>
  <TitlesOfParts>
    <vt:vector size="18" baseType="lpstr">
      <vt:lpstr>Listado General</vt:lpstr>
      <vt:lpstr>ResguardosXDir-CZ</vt:lpstr>
      <vt:lpstr>ListadoBajas@Dic2018</vt:lpstr>
      <vt:lpstr>ListadoProcesoBaja@Ene2019</vt:lpstr>
      <vt:lpstr>Of-DGO_DBMyC_0054_2019 Gas</vt:lpstr>
      <vt:lpstr>Of-DGO_DBMyC_0054_2019 Mant</vt:lpstr>
      <vt:lpstr>PólizasFederales</vt:lpstr>
      <vt:lpstr>PólizaEstatal</vt:lpstr>
      <vt:lpstr>'Listado General'!Criteria</vt:lpstr>
      <vt:lpstr>'Listado General'!Extract</vt:lpstr>
      <vt:lpstr>'Listado General'!Print_Area</vt:lpstr>
      <vt:lpstr>'ListadoBajas@Dic2018'!Print_Area</vt:lpstr>
      <vt:lpstr>'ListadoProcesoBaja@Ene2019'!Print_Area</vt:lpstr>
      <vt:lpstr>'Of-DGO_DBMyC_0054_2019 Gas'!Print_Area</vt:lpstr>
      <vt:lpstr>'Of-DGO_DBMyC_0054_2019 Mant'!Print_Area</vt:lpstr>
      <vt:lpstr>'Of-DGO_DBMyC_0054_2019 Gas'!Print_Titles</vt:lpstr>
      <vt:lpstr>'Of-DGO_DBMyC_0054_2019 Mant'!Print_Titles</vt:lpstr>
      <vt:lpstr>'ResguardosXDir-CZ'!Print_Titles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</dc:creator>
  <cp:lastModifiedBy>HECTOR</cp:lastModifiedBy>
  <cp:lastPrinted>2020-03-10T19:50:18Z</cp:lastPrinted>
  <dcterms:created xsi:type="dcterms:W3CDTF">2015-09-18T16:16:21Z</dcterms:created>
  <dcterms:modified xsi:type="dcterms:W3CDTF">2020-04-21T15:55:25Z</dcterms:modified>
</cp:coreProperties>
</file>