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1580" windowHeight="5340" tabRatio="867" activeTab="0"/>
  </bookViews>
  <sheets>
    <sheet name="FLUJO" sheetId="1" r:id="rId1"/>
  </sheets>
  <definedNames>
    <definedName name="_xlnm.Print_Area" localSheetId="0">'FLUJO'!$A$1:$N$60</definedName>
  </definedNames>
  <calcPr fullCalcOnLoad="1"/>
</workbook>
</file>

<file path=xl/sharedStrings.xml><?xml version="1.0" encoding="utf-8"?>
<sst xmlns="http://schemas.openxmlformats.org/spreadsheetml/2006/main" count="33" uniqueCount="33">
  <si>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</si>
  <si>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</si>
  <si>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</si>
  <si>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</si>
  <si>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</si>
  <si>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</si>
  <si>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</si>
  <si>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</si>
  <si>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</si>
  <si>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</si>
  <si>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</si>
  <si>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</si>
  <si>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</si>
  <si>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Efectivo al Inicio</t>
  </si>
  <si>
    <t>Aportaciones Adicionales</t>
  </si>
  <si>
    <t>Total de Ingresos</t>
  </si>
  <si>
    <t>Egresos</t>
  </si>
  <si>
    <t>3% Secretaría de Finanzas</t>
  </si>
  <si>
    <t>Honorarios al Fiduciario</t>
  </si>
  <si>
    <t>Promoción</t>
  </si>
  <si>
    <t>Honorarios Contables</t>
  </si>
  <si>
    <t>Total de Egresos</t>
  </si>
  <si>
    <t>Efectivo al final del mes</t>
  </si>
  <si>
    <t>Intereses generados por inversión</t>
  </si>
  <si>
    <t>FIDEICOMISO DE TURISMO DE LOS MUNICIPIOS DEL INTERIOR DEL ESTADO DE JALISCO</t>
  </si>
  <si>
    <t>Gastos 9% Administración</t>
  </si>
  <si>
    <t>Impuestos</t>
  </si>
  <si>
    <t>Campaña Paraguas</t>
  </si>
  <si>
    <t>BANSI, S.A. INSTITUCION DE BANCA MULTIPLE, DIVISION FIDUCIARIA</t>
  </si>
  <si>
    <t>Aportaciones 3% sobre Hospedaje</t>
  </si>
  <si>
    <t>Aportación Adicional</t>
  </si>
  <si>
    <t>ESTADO DE INGRESOS Y EGRESOS EJERCICIO 2014</t>
  </si>
  <si>
    <t>Honorarios Auditoría 2013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</si>
</sst>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??_);_(@_)"/>
    <numFmt numFmtId="174" formatCode="_-* #,##0_-;\-* #,##0_-;_-* &quot;-&quot;??_-;_-@_-"/>
    <numFmt numFmtId="175" formatCode="_-* #,##0.00000_-;\-* #,##0.00000_-;_-* &quot;-&quot;??_-;_-@_-"/>
    <numFmt numFmtId="176" formatCode="#,##0.0000000000;\-#,##0.0000000000"/>
    <numFmt numFmtId="177" formatCode="#,##0_ ;\-#,##0\ 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7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/>
    </xf>
    <xf numFmtId="173" fontId="0" fillId="0" borderId="0" xfId="49" applyNumberFormat="1" applyFont="1" applyAlignment="1">
      <alignment/>
    </xf>
    <xf numFmtId="173" fontId="1" fillId="0" borderId="0" xfId="49" applyNumberFormat="1" applyFont="1" applyAlignment="1">
      <alignment horizontal="center"/>
    </xf>
    <xf numFmtId="173" fontId="1" fillId="0" borderId="10" xfId="49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73" fontId="1" fillId="0" borderId="0" xfId="49" applyNumberFormat="1" applyFont="1" applyAlignment="1">
      <alignment/>
    </xf>
    <xf numFmtId="173" fontId="1" fillId="0" borderId="0" xfId="49" applyNumberFormat="1" applyFont="1" applyBorder="1" applyAlignment="1">
      <alignment/>
    </xf>
    <xf numFmtId="173" fontId="1" fillId="0" borderId="11" xfId="49" applyNumberFormat="1" applyFont="1" applyBorder="1" applyAlignment="1">
      <alignment/>
    </xf>
    <xf numFmtId="174" fontId="0" fillId="0" borderId="0" xfId="49" applyNumberFormat="1" applyFont="1" applyAlignment="1">
      <alignment/>
    </xf>
    <xf numFmtId="173" fontId="0" fillId="0" borderId="0" xfId="49" applyNumberFormat="1" applyFont="1" applyAlignment="1">
      <alignment/>
    </xf>
    <xf numFmtId="174" fontId="5" fillId="0" borderId="11" xfId="49" applyNumberFormat="1" applyFont="1" applyBorder="1" applyAlignment="1">
      <alignment/>
    </xf>
    <xf numFmtId="173" fontId="4" fillId="0" borderId="0" xfId="49" applyNumberFormat="1" applyFont="1" applyAlignment="1">
      <alignment horizontal="center"/>
    </xf>
    <xf numFmtId="172" fontId="0" fillId="0" borderId="0" xfId="49" applyNumberFormat="1" applyFont="1" applyAlignment="1">
      <alignment/>
    </xf>
    <xf numFmtId="173" fontId="7" fillId="0" borderId="0" xfId="49" applyNumberFormat="1" applyFont="1" applyAlignment="1">
      <alignment horizontal="center"/>
    </xf>
    <xf numFmtId="43" fontId="0" fillId="0" borderId="0" xfId="49" applyNumberFormat="1" applyFont="1" applyAlignment="1">
      <alignment/>
    </xf>
    <xf numFmtId="173" fontId="6" fillId="0" borderId="0" xfId="49" applyNumberFormat="1" applyFont="1" applyAlignment="1">
      <alignment/>
    </xf>
    <xf numFmtId="173" fontId="8" fillId="0" borderId="0" xfId="49" applyNumberFormat="1" applyFont="1" applyAlignment="1">
      <alignment/>
    </xf>
    <xf numFmtId="173" fontId="8" fillId="0" borderId="0" xfId="49" applyNumberFormat="1" applyFont="1" applyAlignment="1">
      <alignment horizontal="center"/>
    </xf>
    <xf numFmtId="173" fontId="8" fillId="0" borderId="0" xfId="49" applyNumberFormat="1" applyFont="1" applyAlignment="1">
      <alignment horizontal="center"/>
    </xf>
    <xf numFmtId="173" fontId="7" fillId="0" borderId="0" xfId="49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0"/>
  <sheetViews>
    <sheetView showGridLines="0" tabSelected="1" zoomScale="80" zoomScaleNormal="80" zoomScalePageLayoutView="0" workbookViewId="0" topLeftCell="A1">
      <selection activeCell="A2" sqref="A2:N2"/>
    </sheetView>
  </sheetViews>
  <sheetFormatPr defaultColWidth="11.421875" defaultRowHeight="12.75"/>
  <cols>
    <col min="1" max="1" width="32.8515625" style="1" customWidth="1"/>
    <col min="2" max="6" width="16.00390625" style="1" customWidth="1"/>
    <col min="7" max="8" width="11.140625" style="1" bestFit="1" customWidth="1"/>
    <col min="9" max="9" width="12.140625" style="1" bestFit="1" customWidth="1"/>
    <col min="10" max="10" width="12.8515625" style="1" customWidth="1"/>
    <col min="11" max="11" width="12.140625" style="1" customWidth="1"/>
    <col min="12" max="12" width="12.140625" style="1" bestFit="1" customWidth="1"/>
    <col min="13" max="13" width="11.57421875" style="1" bestFit="1" customWidth="1"/>
    <col min="14" max="14" width="13.8515625" style="1" bestFit="1" customWidth="1"/>
    <col min="15" max="16384" width="11.421875" style="1" customWidth="1"/>
  </cols>
  <sheetData>
    <row r="2" spans="1:14" ht="21.75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5" ht="21.75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1"/>
    </row>
    <row r="4" spans="1:14" ht="21.75">
      <c r="A4" s="19" t="s">
        <v>31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21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7" ht="21" customHeight="1"/>
    <row r="8" spans="2:14" ht="12.75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10" spans="1:14" ht="12.75">
      <c r="A10" s="1" t="s">
        <v>13</v>
      </c>
      <c r="B10" s="3">
        <v>9000729.31</v>
      </c>
      <c r="C10" s="4">
        <f aca="true" t="shared" si="0" ref="C10:I10">B43</f>
        <v>10402501.8</v>
      </c>
      <c r="D10" s="3">
        <f t="shared" si="0"/>
        <v>10819791.510000002</v>
      </c>
      <c r="E10" s="3">
        <f t="shared" si="0"/>
        <v>7991995.270000001</v>
      </c>
      <c r="F10" s="3">
        <f t="shared" si="0"/>
        <v>7091957.520000001</v>
      </c>
      <c r="G10" s="3">
        <f t="shared" si="0"/>
        <v>7669039.740000001</v>
      </c>
      <c r="H10" s="3">
        <f t="shared" si="0"/>
        <v>5044488.6000000015</v>
      </c>
      <c r="I10" s="3">
        <f t="shared" si="0"/>
        <v>8028844.100000001</v>
      </c>
      <c r="J10" s="3">
        <f>I43</f>
        <v>12334719.87</v>
      </c>
      <c r="K10" s="3">
        <f>J43</f>
        <v>11432919.45</v>
      </c>
      <c r="L10" s="3">
        <f>K43</f>
        <v>11051672.19</v>
      </c>
      <c r="M10" s="3">
        <f>L43</f>
        <v>9663752.29</v>
      </c>
      <c r="N10" s="3">
        <f>B10</f>
        <v>9000729.31</v>
      </c>
    </row>
    <row r="12" spans="1:14" ht="12.75">
      <c r="A12" s="1" t="s">
        <v>29</v>
      </c>
      <c r="B12" s="1">
        <f>193393+1767701</f>
        <v>1961094</v>
      </c>
      <c r="F12" s="1">
        <f>1680856+226953</f>
        <v>1907809</v>
      </c>
      <c r="H12" s="1">
        <f>1632143+228295+2010638+245018</f>
        <v>4116094</v>
      </c>
      <c r="K12" s="1">
        <f>614585+1815942</f>
        <v>2430527</v>
      </c>
      <c r="N12" s="1">
        <f>SUM(B12:M12)</f>
        <v>10415524</v>
      </c>
    </row>
    <row r="14" spans="1:14" ht="12.75">
      <c r="A14" s="1" t="s">
        <v>14</v>
      </c>
      <c r="C14" s="1">
        <f>407000</f>
        <v>407000</v>
      </c>
      <c r="I14" s="1">
        <v>7680000</v>
      </c>
      <c r="N14" s="1">
        <f>SUM(B14:M14)</f>
        <v>8087000</v>
      </c>
    </row>
    <row r="16" spans="1:14" ht="12.75">
      <c r="A16" s="1" t="s">
        <v>23</v>
      </c>
      <c r="B16" s="1">
        <f>26448.02+309.72</f>
        <v>26757.74</v>
      </c>
      <c r="C16" s="1">
        <f>17.11+29586.6</f>
        <v>29603.71</v>
      </c>
      <c r="D16" s="1">
        <f>21857.36+483.29+1934.55+483.74</f>
        <v>24758.940000000002</v>
      </c>
      <c r="E16" s="1">
        <f>17002.04+373.75</f>
        <v>17375.79</v>
      </c>
      <c r="F16" s="1">
        <f>24202.94+375.71+100.87+100.88+302.64+100.9</f>
        <v>25183.94</v>
      </c>
      <c r="G16" s="1">
        <v>19119.04</v>
      </c>
      <c r="H16" s="1">
        <f>17850.92+88.94</f>
        <v>17939.859999999997</v>
      </c>
      <c r="I16" s="1">
        <f>24749.85</f>
        <v>24749.85</v>
      </c>
      <c r="J16" s="1">
        <f>28727.57+1881.29</f>
        <v>30608.86</v>
      </c>
      <c r="K16" s="1">
        <f>111.03+31810.44</f>
        <v>31921.469999999998</v>
      </c>
      <c r="L16" s="1">
        <v>18027.5</v>
      </c>
      <c r="M16" s="1">
        <f>39.62+28615.69</f>
        <v>28655.309999999998</v>
      </c>
      <c r="N16" s="1">
        <f>SUM(B16:M16)</f>
        <v>294702.00999999995</v>
      </c>
    </row>
    <row r="18" spans="1:14" ht="12.75">
      <c r="A18" s="2" t="s">
        <v>15</v>
      </c>
      <c r="B18" s="3">
        <f aca="true" t="shared" si="1" ref="B18:N18">SUM(B12:B16)</f>
        <v>1987851.74</v>
      </c>
      <c r="C18" s="3">
        <f t="shared" si="1"/>
        <v>436603.71</v>
      </c>
      <c r="D18" s="3">
        <f t="shared" si="1"/>
        <v>24758.940000000002</v>
      </c>
      <c r="E18" s="3">
        <f t="shared" si="1"/>
        <v>17375.79</v>
      </c>
      <c r="F18" s="3">
        <f t="shared" si="1"/>
        <v>1932992.94</v>
      </c>
      <c r="G18" s="3">
        <f t="shared" si="1"/>
        <v>19119.04</v>
      </c>
      <c r="H18" s="3">
        <f t="shared" si="1"/>
        <v>4134033.86</v>
      </c>
      <c r="I18" s="3">
        <f t="shared" si="1"/>
        <v>7704749.85</v>
      </c>
      <c r="J18" s="3">
        <f t="shared" si="1"/>
        <v>30608.86</v>
      </c>
      <c r="K18" s="3">
        <f t="shared" si="1"/>
        <v>2462448.47</v>
      </c>
      <c r="L18" s="3">
        <f t="shared" si="1"/>
        <v>18027.5</v>
      </c>
      <c r="M18" s="3">
        <f t="shared" si="1"/>
        <v>28655.309999999998</v>
      </c>
      <c r="N18" s="3">
        <f t="shared" si="1"/>
        <v>18797226.01</v>
      </c>
    </row>
    <row r="21" ht="12.75">
      <c r="A21" s="5" t="s">
        <v>16</v>
      </c>
    </row>
    <row r="23" spans="1:14" ht="12.75">
      <c r="A23" s="1" t="s">
        <v>17</v>
      </c>
      <c r="B23" s="1">
        <v>58832.82</v>
      </c>
      <c r="F23" s="1">
        <f>116067.09-5801.79-53031.03</f>
        <v>57234.270000000004</v>
      </c>
      <c r="H23" s="1">
        <f>6848.85+48964.29+7350.54+60319.14</f>
        <v>123482.82</v>
      </c>
      <c r="K23" s="1">
        <f>72915.81</f>
        <v>72915.81</v>
      </c>
      <c r="L23" s="9"/>
      <c r="N23" s="1">
        <f>SUM(B23:M23)</f>
        <v>312465.72</v>
      </c>
    </row>
    <row r="24" ht="12.75">
      <c r="L24" s="9"/>
    </row>
    <row r="25" spans="1:14" ht="12.75">
      <c r="A25" s="1" t="s">
        <v>18</v>
      </c>
      <c r="B25" s="1">
        <v>9280</v>
      </c>
      <c r="C25" s="1">
        <v>9280</v>
      </c>
      <c r="D25" s="1">
        <v>9280</v>
      </c>
      <c r="E25" s="1">
        <v>9280</v>
      </c>
      <c r="F25" s="1">
        <v>9280</v>
      </c>
      <c r="G25" s="1">
        <v>9280</v>
      </c>
      <c r="H25" s="1">
        <v>9280</v>
      </c>
      <c r="I25" s="1">
        <v>9280</v>
      </c>
      <c r="J25" s="1">
        <v>9280</v>
      </c>
      <c r="K25" s="1">
        <v>9280</v>
      </c>
      <c r="L25" s="1">
        <v>9280</v>
      </c>
      <c r="M25" s="1">
        <v>9280</v>
      </c>
      <c r="N25" s="1">
        <f>SUM(B25:M25)</f>
        <v>111360</v>
      </c>
    </row>
    <row r="26" ht="12.75">
      <c r="L26" s="9"/>
    </row>
    <row r="27" spans="1:14" ht="12.75">
      <c r="A27" s="1" t="s">
        <v>25</v>
      </c>
      <c r="B27" s="1">
        <f>35880.02+12945.6</f>
        <v>48825.619999999995</v>
      </c>
      <c r="D27" s="1">
        <f>82680+78777.99+25056+16425.6-32480-23200-5800</f>
        <v>141459.59</v>
      </c>
      <c r="E27" s="1">
        <f>13858.9+15172.8</f>
        <v>29031.699999999997</v>
      </c>
      <c r="F27" s="1">
        <f>49635.88</f>
        <v>49635.88</v>
      </c>
      <c r="G27" s="1">
        <f>52237.33+18513.6+14337.6</f>
        <v>85088.53</v>
      </c>
      <c r="H27" s="1">
        <f>22272</f>
        <v>22272</v>
      </c>
      <c r="I27" s="1">
        <f>16286.4+53192.62</f>
        <v>69479.02</v>
      </c>
      <c r="J27" s="1">
        <f>49084.06+15033.6</f>
        <v>64117.659999999996</v>
      </c>
      <c r="K27" s="1">
        <f>11633.59+28814.4</f>
        <v>40447.990000000005</v>
      </c>
      <c r="L27" s="9">
        <f>86380.35-46400</f>
        <v>39980.350000000006</v>
      </c>
      <c r="M27" s="1">
        <f>91542.66+20740.8</f>
        <v>112283.46</v>
      </c>
      <c r="N27" s="1">
        <f>SUM(B27:M27)</f>
        <v>702621.7999999999</v>
      </c>
    </row>
    <row r="28" ht="12.75">
      <c r="L28" s="9"/>
    </row>
    <row r="29" spans="1:14" ht="12.75">
      <c r="A29" s="1" t="s">
        <v>26</v>
      </c>
      <c r="B29" s="1">
        <v>12276</v>
      </c>
      <c r="C29" s="1">
        <f>10034</f>
        <v>10034</v>
      </c>
      <c r="E29" s="1">
        <v>28723</v>
      </c>
      <c r="F29" s="1">
        <f>7111</f>
        <v>7111</v>
      </c>
      <c r="G29" s="1">
        <v>21150</v>
      </c>
      <c r="H29" s="1">
        <v>21990</v>
      </c>
      <c r="I29" s="1">
        <f>11261</f>
        <v>11261</v>
      </c>
      <c r="J29" s="1">
        <v>13030</v>
      </c>
      <c r="K29" s="1">
        <v>17806</v>
      </c>
      <c r="L29" s="9">
        <v>20648</v>
      </c>
      <c r="M29" s="1">
        <v>10761</v>
      </c>
      <c r="N29" s="1">
        <f>SUM(B29:M29)</f>
        <v>174790</v>
      </c>
    </row>
    <row r="30" spans="4:12" ht="12.75">
      <c r="D30" s="12"/>
      <c r="L30" s="9"/>
    </row>
    <row r="31" spans="1:14" ht="12.75">
      <c r="A31" s="1" t="s">
        <v>19</v>
      </c>
      <c r="B31" s="1">
        <f>-7500-8000+419165.59-1500000</f>
        <v>-1096334.41</v>
      </c>
      <c r="D31" s="1">
        <f>749451.34+730880.44-20728.85</f>
        <v>1459602.9299999997</v>
      </c>
      <c r="E31" s="1">
        <f>519051.87-23371.99+24371.99-3808-2204.1</f>
        <v>514039.77</v>
      </c>
      <c r="F31" s="1">
        <f>-2179.1+464369.94-40788-5724</f>
        <v>415678.84</v>
      </c>
      <c r="G31" s="1">
        <f>1078415.96-3000-3000-3000-3000-3000-3000-3000-3000-4640-4640-4640-4640-2711</f>
        <v>1033144.96</v>
      </c>
      <c r="H31" s="1">
        <f>853392.6-3596-3000-4083.2-17400-1908.2</f>
        <v>823405.2000000001</v>
      </c>
      <c r="I31" s="1">
        <v>994350.48</v>
      </c>
      <c r="J31" s="1">
        <f>403484.71-4964.8-2422-2500-928-6960-1740</f>
        <v>383969.91000000003</v>
      </c>
      <c r="K31" s="1">
        <f>1133029.38-10135.97-900000</f>
        <v>222893.40999999992</v>
      </c>
      <c r="L31" s="9">
        <v>792897.8799999999</v>
      </c>
      <c r="M31" s="1">
        <f>1879386.09-29000-1600.03-5278-1113.6-2296.8-75400-17401.1-3335-50000-696-696-696-696-696-29000-29000-29000-29000-33930-11020-3213.2-3213.2-1653.69-11210.24-6507.6-5482.16-11020+1600.03</f>
        <v>1488831.5</v>
      </c>
      <c r="N31" s="1">
        <f>SUM(B31:M31)</f>
        <v>7032480.47</v>
      </c>
    </row>
    <row r="32" spans="6:12" ht="12.75">
      <c r="F32" s="12"/>
      <c r="L32" s="9"/>
    </row>
    <row r="33" spans="1:14" ht="12.75">
      <c r="A33" s="1" t="s">
        <v>27</v>
      </c>
      <c r="B33" s="1">
        <f>53199.22+1500000</f>
        <v>1553199.22</v>
      </c>
      <c r="D33" s="1">
        <f>504080.03+130000.59+20728.85</f>
        <v>654809.47</v>
      </c>
      <c r="E33" s="1">
        <f>267485.18-4827.05</f>
        <v>262658.13</v>
      </c>
      <c r="F33" s="1">
        <f>285614.63-1980.9+40788+5724</f>
        <v>330145.73</v>
      </c>
      <c r="G33" s="1">
        <f>71735+2711</f>
        <v>74446</v>
      </c>
      <c r="H33" s="1">
        <f>83946.14+1908.2</f>
        <v>85854.34</v>
      </c>
      <c r="I33" s="1">
        <f>544294.02</f>
        <v>544294.02</v>
      </c>
      <c r="J33" s="1">
        <f>339249</f>
        <v>339249</v>
      </c>
      <c r="K33" s="1">
        <f>434062.94+900000</f>
        <v>1334062.94</v>
      </c>
      <c r="L33" s="9">
        <v>106195.27</v>
      </c>
      <c r="M33" s="1">
        <f>334035.96-400000</f>
        <v>-65964.03999999998</v>
      </c>
      <c r="N33" s="1">
        <f>SUM(B33:M33)</f>
        <v>5218950.079999999</v>
      </c>
    </row>
    <row r="34" ht="12.75">
      <c r="L34" s="9"/>
    </row>
    <row r="35" spans="1:14" ht="12.75">
      <c r="A35" s="1" t="s">
        <v>30</v>
      </c>
      <c r="D35" s="1">
        <f>271448.19+254475</f>
        <v>525923.19</v>
      </c>
      <c r="E35" s="1">
        <v>67880.94</v>
      </c>
      <c r="F35" s="1">
        <v>486825</v>
      </c>
      <c r="G35" s="1">
        <v>1420560.69</v>
      </c>
      <c r="H35" s="1">
        <f>63394</f>
        <v>63394</v>
      </c>
      <c r="I35" s="1">
        <f>1770209.56</f>
        <v>1770209.56</v>
      </c>
      <c r="J35" s="1">
        <v>122762.71</v>
      </c>
      <c r="K35" s="1">
        <v>1146289.58</v>
      </c>
      <c r="L35" s="9">
        <v>390545.9</v>
      </c>
      <c r="M35" s="1">
        <f>40017.1+400000</f>
        <v>440017.1</v>
      </c>
      <c r="N35" s="1">
        <f>SUM(B35:M35)</f>
        <v>6434408.67</v>
      </c>
    </row>
    <row r="36" ht="12.75">
      <c r="L36" s="9"/>
    </row>
    <row r="37" spans="1:14" ht="12.75">
      <c r="A37" s="9" t="s">
        <v>32</v>
      </c>
      <c r="D37" s="1">
        <v>32480</v>
      </c>
      <c r="L37" s="9"/>
      <c r="N37" s="1">
        <f>SUM(B37:M37)</f>
        <v>32480</v>
      </c>
    </row>
    <row r="38" ht="12.75">
      <c r="L38" s="9"/>
    </row>
    <row r="39" spans="1:14" ht="12.75">
      <c r="A39" s="1" t="s">
        <v>20</v>
      </c>
      <c r="D39" s="1">
        <f>23200+5800</f>
        <v>29000</v>
      </c>
      <c r="E39" s="1">
        <v>5800</v>
      </c>
      <c r="L39" s="1">
        <f>46400</f>
        <v>46400</v>
      </c>
      <c r="N39" s="1">
        <f>SUM(B39:M39)</f>
        <v>81200</v>
      </c>
    </row>
    <row r="41" spans="1:22" ht="12.75">
      <c r="A41" s="2" t="s">
        <v>21</v>
      </c>
      <c r="B41" s="3">
        <f aca="true" t="shared" si="2" ref="B41:N41">SUM(B23:B39)</f>
        <v>586079.25</v>
      </c>
      <c r="C41" s="3">
        <f t="shared" si="2"/>
        <v>19314</v>
      </c>
      <c r="D41" s="3">
        <f t="shared" si="2"/>
        <v>2852555.1799999997</v>
      </c>
      <c r="E41" s="3">
        <f t="shared" si="2"/>
        <v>917413.54</v>
      </c>
      <c r="F41" s="3">
        <f t="shared" si="2"/>
        <v>1355910.72</v>
      </c>
      <c r="G41" s="3">
        <f t="shared" si="2"/>
        <v>2643670.1799999997</v>
      </c>
      <c r="H41" s="3">
        <f t="shared" si="2"/>
        <v>1149678.36</v>
      </c>
      <c r="I41" s="3">
        <f t="shared" si="2"/>
        <v>3398874.08</v>
      </c>
      <c r="J41" s="3">
        <f t="shared" si="2"/>
        <v>932409.28</v>
      </c>
      <c r="K41" s="3">
        <f t="shared" si="2"/>
        <v>2843695.73</v>
      </c>
      <c r="L41" s="3">
        <f t="shared" si="2"/>
        <v>1405947.4</v>
      </c>
      <c r="M41" s="3">
        <f t="shared" si="2"/>
        <v>1995209.02</v>
      </c>
      <c r="N41" s="3">
        <f t="shared" si="2"/>
        <v>20100756.740000002</v>
      </c>
      <c r="O41" s="6"/>
      <c r="P41" s="5"/>
      <c r="Q41" s="5"/>
      <c r="R41" s="5"/>
      <c r="S41" s="5"/>
      <c r="T41" s="5"/>
      <c r="U41" s="5"/>
      <c r="V41" s="5"/>
    </row>
    <row r="42" spans="1:22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P42" s="5"/>
      <c r="Q42" s="5"/>
      <c r="R42" s="5"/>
      <c r="S42" s="5"/>
      <c r="T42" s="5"/>
      <c r="U42" s="5"/>
      <c r="V42" s="5"/>
    </row>
    <row r="43" spans="1:22" ht="15.75" thickBot="1">
      <c r="A43" s="5" t="s">
        <v>22</v>
      </c>
      <c r="B43" s="7">
        <f aca="true" t="shared" si="3" ref="B43:N43">B10+B18-B41</f>
        <v>10402501.8</v>
      </c>
      <c r="C43" s="7">
        <f t="shared" si="3"/>
        <v>10819791.510000002</v>
      </c>
      <c r="D43" s="7">
        <f t="shared" si="3"/>
        <v>7991995.270000001</v>
      </c>
      <c r="E43" s="7">
        <f t="shared" si="3"/>
        <v>7091957.520000001</v>
      </c>
      <c r="F43" s="7">
        <f t="shared" si="3"/>
        <v>7669039.740000001</v>
      </c>
      <c r="G43" s="7">
        <f t="shared" si="3"/>
        <v>5044488.6000000015</v>
      </c>
      <c r="H43" s="7">
        <f t="shared" si="3"/>
        <v>8028844.100000001</v>
      </c>
      <c r="I43" s="7">
        <f t="shared" si="3"/>
        <v>12334719.87</v>
      </c>
      <c r="J43" s="7">
        <f t="shared" si="3"/>
        <v>11432919.45</v>
      </c>
      <c r="K43" s="7">
        <f t="shared" si="3"/>
        <v>11051672.19</v>
      </c>
      <c r="L43" s="7">
        <f t="shared" si="3"/>
        <v>9663752.29</v>
      </c>
      <c r="M43" s="7">
        <f t="shared" si="3"/>
        <v>7697198.58</v>
      </c>
      <c r="N43" s="10">
        <f t="shared" si="3"/>
        <v>7697198.579999998</v>
      </c>
      <c r="O43" s="6"/>
      <c r="P43" s="5"/>
      <c r="Q43" s="5"/>
      <c r="R43" s="5"/>
      <c r="S43" s="5"/>
      <c r="T43" s="5"/>
      <c r="U43" s="5"/>
      <c r="V43" s="5"/>
    </row>
    <row r="44" ht="13.5" thickTop="1">
      <c r="N44" s="14"/>
    </row>
    <row r="45" ht="12.75">
      <c r="N45" s="14"/>
    </row>
    <row r="46" ht="12.75">
      <c r="N46" s="14"/>
    </row>
    <row r="47" ht="12.75">
      <c r="N47" s="14"/>
    </row>
    <row r="48" ht="12.75">
      <c r="N48" s="14"/>
    </row>
    <row r="49" ht="12.75">
      <c r="N49" s="14"/>
    </row>
    <row r="50" ht="12.75">
      <c r="N50" s="14"/>
    </row>
    <row r="51" ht="12.75">
      <c r="N51" s="14"/>
    </row>
    <row r="52" ht="12.75">
      <c r="N52" s="14"/>
    </row>
    <row r="53" ht="12.75">
      <c r="N53" s="14"/>
    </row>
    <row r="54" spans="1:14" ht="18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N54" s="8"/>
    </row>
    <row r="55" spans="1:14" ht="25.5">
      <c r="A55" s="15"/>
      <c r="B55" s="16"/>
      <c r="C55" s="16"/>
      <c r="D55" s="17"/>
      <c r="E55" s="16"/>
      <c r="F55" s="16"/>
      <c r="G55" s="16"/>
      <c r="H55" s="18"/>
      <c r="I55" s="18"/>
      <c r="J55" s="18"/>
      <c r="K55" s="18"/>
      <c r="N55" s="12"/>
    </row>
    <row r="56" spans="1:14" ht="25.5">
      <c r="A56" s="15"/>
      <c r="B56" s="16"/>
      <c r="C56" s="16"/>
      <c r="D56" s="17"/>
      <c r="E56" s="16"/>
      <c r="F56" s="16"/>
      <c r="G56" s="16"/>
      <c r="H56" s="18"/>
      <c r="I56" s="18"/>
      <c r="J56" s="18"/>
      <c r="K56" s="18"/>
      <c r="N56" s="12"/>
    </row>
    <row r="57" spans="1:14" ht="25.5">
      <c r="A57" s="15"/>
      <c r="B57" s="16"/>
      <c r="C57" s="16"/>
      <c r="D57" s="17"/>
      <c r="E57" s="16"/>
      <c r="F57" s="16"/>
      <c r="G57" s="16"/>
      <c r="H57" s="18"/>
      <c r="I57" s="18"/>
      <c r="J57" s="18"/>
      <c r="K57" s="18"/>
      <c r="N57" s="12"/>
    </row>
    <row r="58" spans="1:11" ht="25.5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0" ht="18">
      <c r="A59" s="15"/>
      <c r="J59" s="15"/>
    </row>
    <row r="60" spans="1:10" ht="18">
      <c r="A60" s="15"/>
      <c r="J60" s="15"/>
    </row>
  </sheetData>
  <sheetProtection/>
  <mergeCells count="6">
    <mergeCell ref="H56:K56"/>
    <mergeCell ref="H57:K57"/>
    <mergeCell ref="A2:N2"/>
    <mergeCell ref="A3:N3"/>
    <mergeCell ref="A4:N4"/>
    <mergeCell ref="H55:K55"/>
  </mergeCells>
  <printOptions/>
  <pageMargins left="0.4724409448818898" right="0.42" top="1.8110236220472442" bottom="0.984251968503937" header="0" footer="0"/>
  <pageSetup fitToHeight="1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CHARLIE PEREZ</cp:lastModifiedBy>
  <cp:lastPrinted>2015-01-12T22:46:44Z</cp:lastPrinted>
  <dcterms:created xsi:type="dcterms:W3CDTF">2004-02-17T21:59:15Z</dcterms:created>
  <dcterms:modified xsi:type="dcterms:W3CDTF">2018-02-20T00:33:15Z</dcterms:modified>
  <cp:category/>
  <cp:version/>
  <cp:contentType/>
  <cp:contentStatus/>
</cp:coreProperties>
</file>