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JALRESO\TRANSPARENCIA ESTATAL\Fraccion V f) remuneracion mensual\2018\"/>
    </mc:Choice>
  </mc:AlternateContent>
  <bookViews>
    <workbookView xWindow="240" yWindow="45" windowWidth="20115" windowHeight="7995" firstSheet="1" activeTab="8"/>
  </bookViews>
  <sheets>
    <sheet name="Ene 1a" sheetId="32" r:id="rId1"/>
    <sheet name="Ene 2a" sheetId="33" r:id="rId2"/>
    <sheet name="ENE" sheetId="34" r:id="rId3"/>
    <sheet name="Feb 1a" sheetId="35" r:id="rId4"/>
    <sheet name="Feb 2a" sheetId="36" r:id="rId5"/>
    <sheet name="FEB" sheetId="37" r:id="rId6"/>
    <sheet name="mzo 1er" sheetId="38" r:id="rId7"/>
    <sheet name="MARZ 2A" sheetId="39" r:id="rId8"/>
    <sheet name="marzo" sheetId="40" r:id="rId9"/>
  </sheets>
  <calcPr calcId="152511"/>
</workbook>
</file>

<file path=xl/calcChain.xml><?xml version="1.0" encoding="utf-8"?>
<calcChain xmlns="http://schemas.openxmlformats.org/spreadsheetml/2006/main">
  <c r="E39" i="40" l="1"/>
  <c r="V36" i="40"/>
  <c r="U36" i="40"/>
  <c r="T36" i="40"/>
  <c r="S36" i="40"/>
  <c r="R36" i="40"/>
  <c r="Q36" i="40"/>
  <c r="P36" i="40"/>
  <c r="W36" i="40" s="1"/>
  <c r="O36" i="40"/>
  <c r="V35" i="40"/>
  <c r="U35" i="40"/>
  <c r="T35" i="40"/>
  <c r="S35" i="40"/>
  <c r="R35" i="40"/>
  <c r="Q35" i="40"/>
  <c r="P35" i="40"/>
  <c r="W35" i="40" s="1"/>
  <c r="O35" i="40"/>
  <c r="V34" i="40"/>
  <c r="U34" i="40"/>
  <c r="T34" i="40"/>
  <c r="S34" i="40"/>
  <c r="W34" i="40" s="1"/>
  <c r="X34" i="40" s="1"/>
  <c r="R34" i="40"/>
  <c r="Q34" i="40"/>
  <c r="P34" i="40"/>
  <c r="O34" i="40"/>
  <c r="V33" i="40"/>
  <c r="U33" i="40"/>
  <c r="T33" i="40"/>
  <c r="S33" i="40"/>
  <c r="R33" i="40"/>
  <c r="Q33" i="40"/>
  <c r="P33" i="40"/>
  <c r="O33" i="40"/>
  <c r="V32" i="40"/>
  <c r="U32" i="40"/>
  <c r="T32" i="40"/>
  <c r="S32" i="40"/>
  <c r="R32" i="40"/>
  <c r="Q32" i="40"/>
  <c r="P32" i="40"/>
  <c r="O32" i="40"/>
  <c r="V31" i="40"/>
  <c r="U31" i="40"/>
  <c r="T31" i="40"/>
  <c r="S31" i="40"/>
  <c r="R31" i="40"/>
  <c r="Q31" i="40"/>
  <c r="P31" i="40"/>
  <c r="O31" i="40"/>
  <c r="V30" i="40"/>
  <c r="U30" i="40"/>
  <c r="T30" i="40"/>
  <c r="S30" i="40"/>
  <c r="R30" i="40"/>
  <c r="Q30" i="40"/>
  <c r="P30" i="40"/>
  <c r="W30" i="40" s="1"/>
  <c r="O30" i="40"/>
  <c r="V29" i="40"/>
  <c r="U29" i="40"/>
  <c r="T29" i="40"/>
  <c r="S29" i="40"/>
  <c r="R29" i="40"/>
  <c r="Q29" i="40"/>
  <c r="P29" i="40"/>
  <c r="O29" i="40"/>
  <c r="V28" i="40"/>
  <c r="U28" i="40"/>
  <c r="T28" i="40"/>
  <c r="S28" i="40"/>
  <c r="R28" i="40"/>
  <c r="Q28" i="40"/>
  <c r="P28" i="40"/>
  <c r="W28" i="40" s="1"/>
  <c r="O28" i="40"/>
  <c r="V27" i="40"/>
  <c r="U27" i="40"/>
  <c r="T27" i="40"/>
  <c r="S27" i="40"/>
  <c r="W27" i="40" s="1"/>
  <c r="R27" i="40"/>
  <c r="Q27" i="40"/>
  <c r="P27" i="40"/>
  <c r="O27" i="40"/>
  <c r="V26" i="40"/>
  <c r="U26" i="40"/>
  <c r="T26" i="40"/>
  <c r="S26" i="40"/>
  <c r="R26" i="40"/>
  <c r="Q26" i="40"/>
  <c r="P26" i="40"/>
  <c r="O26" i="40"/>
  <c r="V25" i="40"/>
  <c r="U25" i="40"/>
  <c r="T25" i="40"/>
  <c r="S25" i="40"/>
  <c r="R25" i="40"/>
  <c r="Q25" i="40"/>
  <c r="P25" i="40"/>
  <c r="W25" i="40" s="1"/>
  <c r="O25" i="40"/>
  <c r="V24" i="40"/>
  <c r="U24" i="40"/>
  <c r="T24" i="40"/>
  <c r="S24" i="40"/>
  <c r="R24" i="40"/>
  <c r="Q24" i="40"/>
  <c r="P24" i="40"/>
  <c r="W24" i="40" s="1"/>
  <c r="O24" i="40"/>
  <c r="V23" i="40"/>
  <c r="U23" i="40"/>
  <c r="T23" i="40"/>
  <c r="S23" i="40"/>
  <c r="R23" i="40"/>
  <c r="Q23" i="40"/>
  <c r="P23" i="40"/>
  <c r="O23" i="40"/>
  <c r="V22" i="40"/>
  <c r="U22" i="40"/>
  <c r="T22" i="40"/>
  <c r="S22" i="40"/>
  <c r="W22" i="40" s="1"/>
  <c r="R22" i="40"/>
  <c r="Q22" i="40"/>
  <c r="P22" i="40"/>
  <c r="O22" i="40"/>
  <c r="V21" i="40"/>
  <c r="U21" i="40"/>
  <c r="T21" i="40"/>
  <c r="S21" i="40"/>
  <c r="R21" i="40"/>
  <c r="Q21" i="40"/>
  <c r="P21" i="40"/>
  <c r="O21" i="40"/>
  <c r="V20" i="40"/>
  <c r="U20" i="40"/>
  <c r="T20" i="40"/>
  <c r="S20" i="40"/>
  <c r="R20" i="40"/>
  <c r="Q20" i="40"/>
  <c r="P20" i="40"/>
  <c r="W20" i="40" s="1"/>
  <c r="O20" i="40"/>
  <c r="V19" i="40"/>
  <c r="U19" i="40"/>
  <c r="T19" i="40"/>
  <c r="S19" i="40"/>
  <c r="R19" i="40"/>
  <c r="Q19" i="40"/>
  <c r="P19" i="40"/>
  <c r="O19" i="40"/>
  <c r="V18" i="40"/>
  <c r="U18" i="40"/>
  <c r="T18" i="40"/>
  <c r="S18" i="40"/>
  <c r="R18" i="40"/>
  <c r="Q18" i="40"/>
  <c r="P18" i="40"/>
  <c r="W18" i="40" s="1"/>
  <c r="O18" i="40"/>
  <c r="V17" i="40"/>
  <c r="U17" i="40"/>
  <c r="T17" i="40"/>
  <c r="S17" i="40"/>
  <c r="R17" i="40"/>
  <c r="Q17" i="40"/>
  <c r="P17" i="40"/>
  <c r="W17" i="40" s="1"/>
  <c r="O17" i="40"/>
  <c r="V16" i="40"/>
  <c r="U16" i="40"/>
  <c r="T16" i="40"/>
  <c r="S16" i="40"/>
  <c r="W16" i="40" s="1"/>
  <c r="R16" i="40"/>
  <c r="Q16" i="40"/>
  <c r="P16" i="40"/>
  <c r="O16" i="40"/>
  <c r="V15" i="40"/>
  <c r="U15" i="40"/>
  <c r="T15" i="40"/>
  <c r="S15" i="40"/>
  <c r="R15" i="40"/>
  <c r="Q15" i="40"/>
  <c r="P15" i="40"/>
  <c r="O15" i="40"/>
  <c r="V14" i="40"/>
  <c r="U14" i="40"/>
  <c r="T14" i="40"/>
  <c r="S14" i="40"/>
  <c r="R14" i="40"/>
  <c r="Q14" i="40"/>
  <c r="P14" i="40"/>
  <c r="O14" i="40"/>
  <c r="V13" i="40"/>
  <c r="U13" i="40"/>
  <c r="T13" i="40"/>
  <c r="S13" i="40"/>
  <c r="R13" i="40"/>
  <c r="Q13" i="40"/>
  <c r="P13" i="40"/>
  <c r="W13" i="40" s="1"/>
  <c r="O13" i="40"/>
  <c r="V12" i="40"/>
  <c r="U12" i="40"/>
  <c r="U38" i="40" s="1"/>
  <c r="T12" i="40"/>
  <c r="T38" i="40" s="1"/>
  <c r="S12" i="40"/>
  <c r="R12" i="40"/>
  <c r="Q12" i="40"/>
  <c r="P12" i="40"/>
  <c r="O12" i="40"/>
  <c r="V11" i="40"/>
  <c r="U11" i="40"/>
  <c r="T11" i="40"/>
  <c r="S11" i="40"/>
  <c r="S38" i="40" s="1"/>
  <c r="R11" i="40"/>
  <c r="Q11" i="40"/>
  <c r="P11" i="40"/>
  <c r="N36" i="40"/>
  <c r="M36" i="40"/>
  <c r="L36" i="40"/>
  <c r="K36" i="40"/>
  <c r="J36" i="40"/>
  <c r="I36" i="40"/>
  <c r="H36" i="40"/>
  <c r="G36" i="40"/>
  <c r="F36" i="40"/>
  <c r="E36" i="40"/>
  <c r="N35" i="40"/>
  <c r="M35" i="40"/>
  <c r="L35" i="40"/>
  <c r="K35" i="40"/>
  <c r="J35" i="40"/>
  <c r="I35" i="40"/>
  <c r="H35" i="40"/>
  <c r="G35" i="40"/>
  <c r="F35" i="40"/>
  <c r="E35" i="40"/>
  <c r="N34" i="40"/>
  <c r="M34" i="40"/>
  <c r="L34" i="40"/>
  <c r="K34" i="40"/>
  <c r="J34" i="40"/>
  <c r="I34" i="40"/>
  <c r="H34" i="40"/>
  <c r="G34" i="40"/>
  <c r="F34" i="40"/>
  <c r="E34" i="40"/>
  <c r="N33" i="40"/>
  <c r="M33" i="40"/>
  <c r="L33" i="40"/>
  <c r="K33" i="40"/>
  <c r="J33" i="40"/>
  <c r="I33" i="40"/>
  <c r="H33" i="40"/>
  <c r="G33" i="40"/>
  <c r="F33" i="40"/>
  <c r="E33" i="40"/>
  <c r="N32" i="40"/>
  <c r="M32" i="40"/>
  <c r="L32" i="40"/>
  <c r="K32" i="40"/>
  <c r="J32" i="40"/>
  <c r="I32" i="40"/>
  <c r="H32" i="40"/>
  <c r="G32" i="40"/>
  <c r="F32" i="40"/>
  <c r="E32" i="40"/>
  <c r="N31" i="40"/>
  <c r="M31" i="40"/>
  <c r="L31" i="40"/>
  <c r="K31" i="40"/>
  <c r="J31" i="40"/>
  <c r="I31" i="40"/>
  <c r="H31" i="40"/>
  <c r="G31" i="40"/>
  <c r="F31" i="40"/>
  <c r="E31" i="40"/>
  <c r="N30" i="40"/>
  <c r="M30" i="40"/>
  <c r="L30" i="40"/>
  <c r="K30" i="40"/>
  <c r="J30" i="40"/>
  <c r="I30" i="40"/>
  <c r="H30" i="40"/>
  <c r="G30" i="40"/>
  <c r="F30" i="40"/>
  <c r="E30" i="40"/>
  <c r="N29" i="40"/>
  <c r="M29" i="40"/>
  <c r="L29" i="40"/>
  <c r="K29" i="40"/>
  <c r="J29" i="40"/>
  <c r="I29" i="40"/>
  <c r="H29" i="40"/>
  <c r="G29" i="40"/>
  <c r="F29" i="40"/>
  <c r="E29" i="40"/>
  <c r="N28" i="40"/>
  <c r="M28" i="40"/>
  <c r="L28" i="40"/>
  <c r="K28" i="40"/>
  <c r="J28" i="40"/>
  <c r="I28" i="40"/>
  <c r="H28" i="40"/>
  <c r="G28" i="40"/>
  <c r="F28" i="40"/>
  <c r="E28" i="40"/>
  <c r="N27" i="40"/>
  <c r="M27" i="40"/>
  <c r="L27" i="40"/>
  <c r="K27" i="40"/>
  <c r="J27" i="40"/>
  <c r="I27" i="40"/>
  <c r="H27" i="40"/>
  <c r="G27" i="40"/>
  <c r="F27" i="40"/>
  <c r="E27" i="40"/>
  <c r="N26" i="40"/>
  <c r="M26" i="40"/>
  <c r="L26" i="40"/>
  <c r="K26" i="40"/>
  <c r="J26" i="40"/>
  <c r="I26" i="40"/>
  <c r="H26" i="40"/>
  <c r="G26" i="40"/>
  <c r="F26" i="40"/>
  <c r="E26" i="40"/>
  <c r="N25" i="40"/>
  <c r="M25" i="40"/>
  <c r="L25" i="40"/>
  <c r="K25" i="40"/>
  <c r="J25" i="40"/>
  <c r="I25" i="40"/>
  <c r="H25" i="40"/>
  <c r="G25" i="40"/>
  <c r="F25" i="40"/>
  <c r="E25" i="40"/>
  <c r="N24" i="40"/>
  <c r="M24" i="40"/>
  <c r="L24" i="40"/>
  <c r="K24" i="40"/>
  <c r="J24" i="40"/>
  <c r="I24" i="40"/>
  <c r="H24" i="40"/>
  <c r="G24" i="40"/>
  <c r="F24" i="40"/>
  <c r="E24" i="40"/>
  <c r="N23" i="40"/>
  <c r="M23" i="40"/>
  <c r="L23" i="40"/>
  <c r="K23" i="40"/>
  <c r="J23" i="40"/>
  <c r="I23" i="40"/>
  <c r="H23" i="40"/>
  <c r="G23" i="40"/>
  <c r="F23" i="40"/>
  <c r="E23" i="40"/>
  <c r="N22" i="40"/>
  <c r="M22" i="40"/>
  <c r="L22" i="40"/>
  <c r="K22" i="40"/>
  <c r="J22" i="40"/>
  <c r="I22" i="40"/>
  <c r="H22" i="40"/>
  <c r="G22" i="40"/>
  <c r="F22" i="40"/>
  <c r="E22" i="40"/>
  <c r="N21" i="40"/>
  <c r="M21" i="40"/>
  <c r="L21" i="40"/>
  <c r="K21" i="40"/>
  <c r="J21" i="40"/>
  <c r="I21" i="40"/>
  <c r="H21" i="40"/>
  <c r="G21" i="40"/>
  <c r="F21" i="40"/>
  <c r="E21" i="40"/>
  <c r="N20" i="40"/>
  <c r="M20" i="40"/>
  <c r="L20" i="40"/>
  <c r="K20" i="40"/>
  <c r="J20" i="40"/>
  <c r="I20" i="40"/>
  <c r="H20" i="40"/>
  <c r="G20" i="40"/>
  <c r="F20" i="40"/>
  <c r="E20" i="40"/>
  <c r="N19" i="40"/>
  <c r="M19" i="40"/>
  <c r="L19" i="40"/>
  <c r="K19" i="40"/>
  <c r="J19" i="40"/>
  <c r="I19" i="40"/>
  <c r="H19" i="40"/>
  <c r="G19" i="40"/>
  <c r="F19" i="40"/>
  <c r="E19" i="40"/>
  <c r="N18" i="40"/>
  <c r="M18" i="40"/>
  <c r="L18" i="40"/>
  <c r="K18" i="40"/>
  <c r="J18" i="40"/>
  <c r="I18" i="40"/>
  <c r="H18" i="40"/>
  <c r="G18" i="40"/>
  <c r="F18" i="40"/>
  <c r="E18" i="40"/>
  <c r="N17" i="40"/>
  <c r="M17" i="40"/>
  <c r="L17" i="40"/>
  <c r="K17" i="40"/>
  <c r="J17" i="40"/>
  <c r="I17" i="40"/>
  <c r="H17" i="40"/>
  <c r="G17" i="40"/>
  <c r="F17" i="40"/>
  <c r="E17" i="40"/>
  <c r="N16" i="40"/>
  <c r="M16" i="40"/>
  <c r="L16" i="40"/>
  <c r="K16" i="40"/>
  <c r="J16" i="40"/>
  <c r="I16" i="40"/>
  <c r="H16" i="40"/>
  <c r="G16" i="40"/>
  <c r="F16" i="40"/>
  <c r="E16" i="40"/>
  <c r="N15" i="40"/>
  <c r="M15" i="40"/>
  <c r="L15" i="40"/>
  <c r="K15" i="40"/>
  <c r="J15" i="40"/>
  <c r="I15" i="40"/>
  <c r="H15" i="40"/>
  <c r="G15" i="40"/>
  <c r="F15" i="40"/>
  <c r="E15" i="40"/>
  <c r="N14" i="40"/>
  <c r="M14" i="40"/>
  <c r="L14" i="40"/>
  <c r="L38" i="40" s="1"/>
  <c r="K14" i="40"/>
  <c r="J14" i="40"/>
  <c r="I14" i="40"/>
  <c r="H14" i="40"/>
  <c r="G14" i="40"/>
  <c r="G38" i="40" s="1"/>
  <c r="F14" i="40"/>
  <c r="E14" i="40"/>
  <c r="N13" i="40"/>
  <c r="N38" i="40" s="1"/>
  <c r="M13" i="40"/>
  <c r="M38" i="40" s="1"/>
  <c r="L13" i="40"/>
  <c r="K13" i="40"/>
  <c r="J13" i="40"/>
  <c r="I13" i="40"/>
  <c r="I38" i="40" s="1"/>
  <c r="H13" i="40"/>
  <c r="G13" i="40"/>
  <c r="F13" i="40"/>
  <c r="F38" i="40" s="1"/>
  <c r="E13" i="40"/>
  <c r="H38" i="40"/>
  <c r="K38" i="40"/>
  <c r="J38" i="40"/>
  <c r="V38" i="40"/>
  <c r="R38" i="40"/>
  <c r="W12" i="40"/>
  <c r="N12" i="40"/>
  <c r="M12" i="40"/>
  <c r="L12" i="40"/>
  <c r="K12" i="40"/>
  <c r="J12" i="40"/>
  <c r="I12" i="40"/>
  <c r="H12" i="40"/>
  <c r="G12" i="40"/>
  <c r="F12" i="40"/>
  <c r="E12" i="40"/>
  <c r="N11" i="40"/>
  <c r="M11" i="40"/>
  <c r="L11" i="40"/>
  <c r="K11" i="40"/>
  <c r="J11" i="40"/>
  <c r="I11" i="40"/>
  <c r="H11" i="40"/>
  <c r="G11" i="40"/>
  <c r="F11" i="40"/>
  <c r="E11" i="40"/>
  <c r="P38" i="40"/>
  <c r="W32" i="40"/>
  <c r="W26" i="40"/>
  <c r="W21" i="40"/>
  <c r="X21" i="40" s="1"/>
  <c r="W14" i="40"/>
  <c r="X13" i="40" l="1"/>
  <c r="W15" i="40"/>
  <c r="W19" i="40"/>
  <c r="X22" i="40"/>
  <c r="X24" i="40"/>
  <c r="X26" i="40"/>
  <c r="X27" i="40"/>
  <c r="W29" i="40"/>
  <c r="X29" i="40" s="1"/>
  <c r="W31" i="40"/>
  <c r="X31" i="40" s="1"/>
  <c r="X32" i="40"/>
  <c r="X35" i="40"/>
  <c r="X36" i="40"/>
  <c r="X25" i="40"/>
  <c r="X15" i="40"/>
  <c r="X19" i="40"/>
  <c r="W23" i="40"/>
  <c r="X23" i="40" s="1"/>
  <c r="W33" i="40"/>
  <c r="X33" i="40" s="1"/>
  <c r="X14" i="40"/>
  <c r="X18" i="40"/>
  <c r="X30" i="40"/>
  <c r="X28" i="40"/>
  <c r="X20" i="40"/>
  <c r="X17" i="40"/>
  <c r="X16" i="40"/>
  <c r="X12" i="40"/>
  <c r="E38" i="40"/>
  <c r="O11" i="40"/>
  <c r="O38" i="40" s="1"/>
  <c r="W11" i="40"/>
  <c r="Q38" i="40"/>
  <c r="V38" i="39"/>
  <c r="U38" i="39"/>
  <c r="T38" i="39"/>
  <c r="S38" i="39"/>
  <c r="R38" i="39"/>
  <c r="N38" i="39"/>
  <c r="M38" i="39"/>
  <c r="L38" i="39"/>
  <c r="K38" i="39"/>
  <c r="J38" i="39"/>
  <c r="I38" i="39"/>
  <c r="H38" i="39"/>
  <c r="G38" i="39"/>
  <c r="F38" i="39"/>
  <c r="E38" i="39"/>
  <c r="W36" i="39"/>
  <c r="O36" i="39"/>
  <c r="W35" i="39"/>
  <c r="O35" i="39"/>
  <c r="X35" i="39" s="1"/>
  <c r="Q34" i="39"/>
  <c r="W34" i="39"/>
  <c r="O34" i="39"/>
  <c r="X34" i="39" s="1"/>
  <c r="Q33" i="39"/>
  <c r="W33" i="39" s="1"/>
  <c r="O33" i="39"/>
  <c r="W32" i="39"/>
  <c r="E32" i="39"/>
  <c r="O32" i="39" s="1"/>
  <c r="X32" i="39" s="1"/>
  <c r="Q31" i="39"/>
  <c r="W31" i="39"/>
  <c r="O31" i="39"/>
  <c r="X31" i="39" s="1"/>
  <c r="W30" i="39"/>
  <c r="O30" i="39"/>
  <c r="Q29" i="39"/>
  <c r="W29" i="39"/>
  <c r="O29" i="39"/>
  <c r="X29" i="39" s="1"/>
  <c r="Q28" i="39"/>
  <c r="W28" i="39" s="1"/>
  <c r="O28" i="39"/>
  <c r="X28" i="39" s="1"/>
  <c r="W27" i="39"/>
  <c r="O27" i="39"/>
  <c r="Q26" i="39"/>
  <c r="W26" i="39"/>
  <c r="O26" i="39"/>
  <c r="Q25" i="39"/>
  <c r="W25" i="39"/>
  <c r="O25" i="39"/>
  <c r="Q24" i="39"/>
  <c r="W24" i="39" s="1"/>
  <c r="O24" i="39"/>
  <c r="X24" i="39" s="1"/>
  <c r="W23" i="39"/>
  <c r="Q23" i="39"/>
  <c r="O23" i="39"/>
  <c r="W22" i="39"/>
  <c r="O22" i="39"/>
  <c r="X22" i="39" s="1"/>
  <c r="W21" i="39"/>
  <c r="O21" i="39"/>
  <c r="Q20" i="39"/>
  <c r="W20" i="39"/>
  <c r="O20" i="39"/>
  <c r="Q19" i="39"/>
  <c r="W19" i="39" s="1"/>
  <c r="O19" i="39"/>
  <c r="W18" i="39"/>
  <c r="Q18" i="39"/>
  <c r="O18" i="39"/>
  <c r="X18" i="39" s="1"/>
  <c r="Q17" i="39"/>
  <c r="W17" i="39"/>
  <c r="O17" i="39"/>
  <c r="X17" i="39" s="1"/>
  <c r="W16" i="39"/>
  <c r="O16" i="39"/>
  <c r="X16" i="39" s="1"/>
  <c r="Q15" i="39"/>
  <c r="W15" i="39"/>
  <c r="O15" i="39"/>
  <c r="Q14" i="39"/>
  <c r="W14" i="39" s="1"/>
  <c r="O14" i="39"/>
  <c r="X14" i="39" s="1"/>
  <c r="W13" i="39"/>
  <c r="O13" i="39"/>
  <c r="W12" i="39"/>
  <c r="O12" i="39"/>
  <c r="Q11" i="39"/>
  <c r="P38" i="39"/>
  <c r="O11" i="39"/>
  <c r="W38" i="40" l="1"/>
  <c r="X11" i="40"/>
  <c r="X38" i="40" s="1"/>
  <c r="X21" i="39"/>
  <c r="X26" i="39"/>
  <c r="X13" i="39"/>
  <c r="X12" i="39"/>
  <c r="X20" i="39"/>
  <c r="X23" i="39"/>
  <c r="X27" i="39"/>
  <c r="X15" i="39"/>
  <c r="X19" i="39"/>
  <c r="X25" i="39"/>
  <c r="X30" i="39"/>
  <c r="X33" i="39"/>
  <c r="X36" i="39"/>
  <c r="Q38" i="39"/>
  <c r="W11" i="39"/>
  <c r="W38" i="39" s="1"/>
  <c r="O38" i="39"/>
  <c r="P32" i="38"/>
  <c r="P31" i="38"/>
  <c r="W31" i="38" s="1"/>
  <c r="P28" i="38"/>
  <c r="P26" i="38"/>
  <c r="P21" i="38"/>
  <c r="P20" i="38"/>
  <c r="P19" i="38"/>
  <c r="P17" i="38"/>
  <c r="P15" i="38"/>
  <c r="P13" i="38"/>
  <c r="P12" i="38"/>
  <c r="P11" i="38"/>
  <c r="P38" i="38"/>
  <c r="V38" i="38"/>
  <c r="U38" i="38"/>
  <c r="T38" i="38"/>
  <c r="S38" i="38"/>
  <c r="R38" i="38"/>
  <c r="N38" i="38"/>
  <c r="M38" i="38"/>
  <c r="L38" i="38"/>
  <c r="K38" i="38"/>
  <c r="J38" i="38"/>
  <c r="I38" i="38"/>
  <c r="H38" i="38"/>
  <c r="G38" i="38"/>
  <c r="F38" i="38"/>
  <c r="E38" i="38"/>
  <c r="P36" i="38"/>
  <c r="W36" i="38" s="1"/>
  <c r="O36" i="38"/>
  <c r="P35" i="38"/>
  <c r="W35" i="38" s="1"/>
  <c r="O35" i="38"/>
  <c r="Q34" i="38"/>
  <c r="P34" i="38"/>
  <c r="W34" i="38" s="1"/>
  <c r="O34" i="38"/>
  <c r="Q33" i="38"/>
  <c r="W33" i="38" s="1"/>
  <c r="P33" i="38"/>
  <c r="O33" i="38"/>
  <c r="X33" i="38" s="1"/>
  <c r="W32" i="38"/>
  <c r="E32" i="38"/>
  <c r="O32" i="38" s="1"/>
  <c r="X32" i="38" s="1"/>
  <c r="Q31" i="38"/>
  <c r="O31" i="38"/>
  <c r="P30" i="38"/>
  <c r="W30" i="38" s="1"/>
  <c r="O30" i="38"/>
  <c r="Q29" i="38"/>
  <c r="P29" i="38"/>
  <c r="W29" i="38" s="1"/>
  <c r="O29" i="38"/>
  <c r="X29" i="38" s="1"/>
  <c r="Q28" i="38"/>
  <c r="W28" i="38" s="1"/>
  <c r="O28" i="38"/>
  <c r="W27" i="38"/>
  <c r="Q27" i="38"/>
  <c r="P27" i="38"/>
  <c r="O27" i="38"/>
  <c r="X27" i="38" s="1"/>
  <c r="Q26" i="38"/>
  <c r="W26" i="38"/>
  <c r="O26" i="38"/>
  <c r="Q25" i="38"/>
  <c r="P25" i="38"/>
  <c r="W25" i="38" s="1"/>
  <c r="O25" i="38"/>
  <c r="Q24" i="38"/>
  <c r="W24" i="38" s="1"/>
  <c r="P24" i="38"/>
  <c r="O24" i="38"/>
  <c r="X24" i="38" s="1"/>
  <c r="W23" i="38"/>
  <c r="Q23" i="38"/>
  <c r="P23" i="38"/>
  <c r="O23" i="38"/>
  <c r="X23" i="38" s="1"/>
  <c r="W22" i="38"/>
  <c r="X22" i="38" s="1"/>
  <c r="P22" i="38"/>
  <c r="O22" i="38"/>
  <c r="Q21" i="38"/>
  <c r="W21" i="38"/>
  <c r="O21" i="38"/>
  <c r="Q20" i="38"/>
  <c r="W20" i="38"/>
  <c r="O20" i="38"/>
  <c r="Q19" i="38"/>
  <c r="W19" i="38" s="1"/>
  <c r="O19" i="38"/>
  <c r="X19" i="38" s="1"/>
  <c r="W18" i="38"/>
  <c r="Q18" i="38"/>
  <c r="P18" i="38"/>
  <c r="O18" i="38"/>
  <c r="X18" i="38" s="1"/>
  <c r="Q17" i="38"/>
  <c r="W17" i="38"/>
  <c r="O17" i="38"/>
  <c r="X17" i="38" s="1"/>
  <c r="P16" i="38"/>
  <c r="W16" i="38" s="1"/>
  <c r="O16" i="38"/>
  <c r="Q15" i="38"/>
  <c r="W15" i="38"/>
  <c r="O15" i="38"/>
  <c r="Q14" i="38"/>
  <c r="W14" i="38" s="1"/>
  <c r="P14" i="38"/>
  <c r="O14" i="38"/>
  <c r="X14" i="38" s="1"/>
  <c r="W13" i="38"/>
  <c r="Q13" i="38"/>
  <c r="O13" i="38"/>
  <c r="Q12" i="38"/>
  <c r="W12" i="38"/>
  <c r="O12" i="38"/>
  <c r="Q11" i="38"/>
  <c r="O11" i="38"/>
  <c r="X11" i="39" l="1"/>
  <c r="X38" i="39" s="1"/>
  <c r="X13" i="38"/>
  <c r="X12" i="38"/>
  <c r="X21" i="38"/>
  <c r="X28" i="38"/>
  <c r="X31" i="38"/>
  <c r="X35" i="38"/>
  <c r="X16" i="38"/>
  <c r="X20" i="38"/>
  <c r="X26" i="38"/>
  <c r="X34" i="38"/>
  <c r="X15" i="38"/>
  <c r="X25" i="38"/>
  <c r="X30" i="38"/>
  <c r="X36" i="38"/>
  <c r="Q38" i="38"/>
  <c r="W11" i="38"/>
  <c r="W38" i="38" s="1"/>
  <c r="O38" i="38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E41" i="37"/>
  <c r="P32" i="36"/>
  <c r="P19" i="36"/>
  <c r="P17" i="36"/>
  <c r="P16" i="36"/>
  <c r="P15" i="36"/>
  <c r="P11" i="36"/>
  <c r="V38" i="36"/>
  <c r="U38" i="36"/>
  <c r="T38" i="36"/>
  <c r="S38" i="36"/>
  <c r="R38" i="36"/>
  <c r="N38" i="36"/>
  <c r="M38" i="36"/>
  <c r="L38" i="36"/>
  <c r="K38" i="36"/>
  <c r="J38" i="36"/>
  <c r="I38" i="36"/>
  <c r="H38" i="36"/>
  <c r="G38" i="36"/>
  <c r="F38" i="36"/>
  <c r="E38" i="36"/>
  <c r="P36" i="36"/>
  <c r="W36" i="36" s="1"/>
  <c r="X36" i="36" s="1"/>
  <c r="O36" i="36"/>
  <c r="P35" i="36"/>
  <c r="W35" i="36" s="1"/>
  <c r="X35" i="36" s="1"/>
  <c r="O35" i="36"/>
  <c r="Q34" i="36"/>
  <c r="P34" i="36"/>
  <c r="W34" i="36" s="1"/>
  <c r="O34" i="36"/>
  <c r="X34" i="36" s="1"/>
  <c r="Q33" i="36"/>
  <c r="P33" i="36"/>
  <c r="M33" i="37" s="1"/>
  <c r="O33" i="36"/>
  <c r="W32" i="36"/>
  <c r="E32" i="36"/>
  <c r="O32" i="36" s="1"/>
  <c r="W31" i="36"/>
  <c r="Q31" i="36"/>
  <c r="P31" i="36"/>
  <c r="O31" i="36"/>
  <c r="X31" i="36" s="1"/>
  <c r="P30" i="36"/>
  <c r="W30" i="36" s="1"/>
  <c r="X30" i="36" s="1"/>
  <c r="O30" i="36"/>
  <c r="Q29" i="36"/>
  <c r="P29" i="36"/>
  <c r="W29" i="36" s="1"/>
  <c r="O29" i="36"/>
  <c r="X29" i="36" s="1"/>
  <c r="Q28" i="36"/>
  <c r="P28" i="36"/>
  <c r="W28" i="36" s="1"/>
  <c r="O28" i="36"/>
  <c r="Q27" i="36"/>
  <c r="W27" i="36" s="1"/>
  <c r="P27" i="36"/>
  <c r="O27" i="36"/>
  <c r="W26" i="36"/>
  <c r="Q26" i="36"/>
  <c r="P26" i="36"/>
  <c r="O26" i="36"/>
  <c r="X26" i="36" s="1"/>
  <c r="Q25" i="36"/>
  <c r="P25" i="36"/>
  <c r="W25" i="36" s="1"/>
  <c r="O25" i="36"/>
  <c r="Q24" i="36"/>
  <c r="P24" i="36"/>
  <c r="W24" i="36" s="1"/>
  <c r="O24" i="36"/>
  <c r="X24" i="36" s="1"/>
  <c r="Q23" i="36"/>
  <c r="W23" i="36" s="1"/>
  <c r="P23" i="36"/>
  <c r="O23" i="36"/>
  <c r="X23" i="36" s="1"/>
  <c r="W22" i="36"/>
  <c r="X22" i="36" s="1"/>
  <c r="P22" i="36"/>
  <c r="O22" i="36"/>
  <c r="W21" i="36"/>
  <c r="Q21" i="36"/>
  <c r="P21" i="36"/>
  <c r="O21" i="36"/>
  <c r="X21" i="36" s="1"/>
  <c r="Q20" i="36"/>
  <c r="P20" i="36"/>
  <c r="W20" i="36" s="1"/>
  <c r="O20" i="36"/>
  <c r="Q19" i="36"/>
  <c r="W19" i="36"/>
  <c r="O19" i="36"/>
  <c r="Q18" i="36"/>
  <c r="W18" i="36" s="1"/>
  <c r="P18" i="36"/>
  <c r="O18" i="36"/>
  <c r="X18" i="36" s="1"/>
  <c r="W17" i="36"/>
  <c r="Q17" i="36"/>
  <c r="O17" i="36"/>
  <c r="W16" i="36"/>
  <c r="X16" i="36" s="1"/>
  <c r="O16" i="36"/>
  <c r="Q15" i="36"/>
  <c r="W15" i="36"/>
  <c r="O15" i="36"/>
  <c r="X15" i="36" s="1"/>
  <c r="Q14" i="36"/>
  <c r="P14" i="36"/>
  <c r="W14" i="36" s="1"/>
  <c r="O14" i="36"/>
  <c r="Q13" i="36"/>
  <c r="W13" i="36" s="1"/>
  <c r="P13" i="36"/>
  <c r="O13" i="36"/>
  <c r="X13" i="36" s="1"/>
  <c r="W12" i="36"/>
  <c r="Q12" i="36"/>
  <c r="P12" i="36"/>
  <c r="O12" i="36"/>
  <c r="X12" i="36" s="1"/>
  <c r="Q11" i="36"/>
  <c r="W11" i="36"/>
  <c r="O11" i="36"/>
  <c r="P11" i="35"/>
  <c r="Q11" i="35"/>
  <c r="S36" i="37"/>
  <c r="R36" i="37"/>
  <c r="Q36" i="37"/>
  <c r="P36" i="37"/>
  <c r="O36" i="37"/>
  <c r="N36" i="37"/>
  <c r="M36" i="37"/>
  <c r="S35" i="37"/>
  <c r="R35" i="37"/>
  <c r="Q35" i="37"/>
  <c r="P35" i="37"/>
  <c r="O35" i="37"/>
  <c r="N35" i="37"/>
  <c r="M35" i="37"/>
  <c r="S34" i="37"/>
  <c r="R34" i="37"/>
  <c r="Q34" i="37"/>
  <c r="P34" i="37"/>
  <c r="O34" i="37"/>
  <c r="S33" i="37"/>
  <c r="R33" i="37"/>
  <c r="Q33" i="37"/>
  <c r="P33" i="37"/>
  <c r="O33" i="37"/>
  <c r="N33" i="37"/>
  <c r="S32" i="37"/>
  <c r="R32" i="37"/>
  <c r="Q32" i="37"/>
  <c r="P32" i="37"/>
  <c r="O32" i="37"/>
  <c r="N32" i="37"/>
  <c r="M32" i="37"/>
  <c r="S31" i="37"/>
  <c r="R31" i="37"/>
  <c r="Q31" i="37"/>
  <c r="P31" i="37"/>
  <c r="O31" i="37"/>
  <c r="M31" i="37"/>
  <c r="S30" i="37"/>
  <c r="R30" i="37"/>
  <c r="Q30" i="37"/>
  <c r="P30" i="37"/>
  <c r="O30" i="37"/>
  <c r="N30" i="37"/>
  <c r="M30" i="37"/>
  <c r="S29" i="37"/>
  <c r="R29" i="37"/>
  <c r="Q29" i="37"/>
  <c r="P29" i="37"/>
  <c r="O29" i="37"/>
  <c r="N29" i="37"/>
  <c r="M29" i="37"/>
  <c r="S28" i="37"/>
  <c r="R28" i="37"/>
  <c r="Q28" i="37"/>
  <c r="P28" i="37"/>
  <c r="O28" i="37"/>
  <c r="S27" i="37"/>
  <c r="R27" i="37"/>
  <c r="Q27" i="37"/>
  <c r="P27" i="37"/>
  <c r="O27" i="37"/>
  <c r="N27" i="37"/>
  <c r="M27" i="37"/>
  <c r="S26" i="37"/>
  <c r="R26" i="37"/>
  <c r="Q26" i="37"/>
  <c r="P26" i="37"/>
  <c r="O26" i="37"/>
  <c r="M26" i="37"/>
  <c r="S25" i="37"/>
  <c r="R25" i="37"/>
  <c r="Q25" i="37"/>
  <c r="P25" i="37"/>
  <c r="O25" i="37"/>
  <c r="S24" i="37"/>
  <c r="R24" i="37"/>
  <c r="Q24" i="37"/>
  <c r="P24" i="37"/>
  <c r="O24" i="37"/>
  <c r="S23" i="37"/>
  <c r="R23" i="37"/>
  <c r="Q23" i="37"/>
  <c r="P23" i="37"/>
  <c r="O23" i="37"/>
  <c r="M23" i="37"/>
  <c r="S22" i="37"/>
  <c r="R22" i="37"/>
  <c r="Q22" i="37"/>
  <c r="P22" i="37"/>
  <c r="O22" i="37"/>
  <c r="N22" i="37"/>
  <c r="M22" i="37"/>
  <c r="S21" i="37"/>
  <c r="R21" i="37"/>
  <c r="Q21" i="37"/>
  <c r="P21" i="37"/>
  <c r="O21" i="37"/>
  <c r="M21" i="37"/>
  <c r="S20" i="37"/>
  <c r="R20" i="37"/>
  <c r="Q20" i="37"/>
  <c r="P20" i="37"/>
  <c r="O20" i="37"/>
  <c r="M20" i="37"/>
  <c r="S19" i="37"/>
  <c r="R19" i="37"/>
  <c r="Q19" i="37"/>
  <c r="P19" i="37"/>
  <c r="O19" i="37"/>
  <c r="S18" i="37"/>
  <c r="R18" i="37"/>
  <c r="Q18" i="37"/>
  <c r="P18" i="37"/>
  <c r="O18" i="37"/>
  <c r="M18" i="37"/>
  <c r="S17" i="37"/>
  <c r="R17" i="37"/>
  <c r="Q17" i="37"/>
  <c r="P17" i="37"/>
  <c r="O17" i="37"/>
  <c r="N17" i="37"/>
  <c r="M17" i="37"/>
  <c r="S16" i="37"/>
  <c r="R16" i="37"/>
  <c r="Q16" i="37"/>
  <c r="P16" i="37"/>
  <c r="O16" i="37"/>
  <c r="N16" i="37"/>
  <c r="M16" i="37"/>
  <c r="S15" i="37"/>
  <c r="R15" i="37"/>
  <c r="Q15" i="37"/>
  <c r="P15" i="37"/>
  <c r="O15" i="37"/>
  <c r="M15" i="37"/>
  <c r="S14" i="37"/>
  <c r="R14" i="37"/>
  <c r="Q14" i="37"/>
  <c r="P14" i="37"/>
  <c r="O14" i="37"/>
  <c r="S13" i="37"/>
  <c r="R13" i="37"/>
  <c r="Q13" i="37"/>
  <c r="P13" i="37"/>
  <c r="O13" i="37"/>
  <c r="N13" i="37"/>
  <c r="M13" i="37"/>
  <c r="S12" i="37"/>
  <c r="R12" i="37"/>
  <c r="Q12" i="37"/>
  <c r="P12" i="37"/>
  <c r="O12" i="37"/>
  <c r="M12" i="37"/>
  <c r="S11" i="37"/>
  <c r="R11" i="37"/>
  <c r="Q11" i="37"/>
  <c r="P11" i="37"/>
  <c r="O11" i="37"/>
  <c r="K36" i="37"/>
  <c r="J36" i="37"/>
  <c r="I36" i="37"/>
  <c r="H36" i="37"/>
  <c r="G36" i="37"/>
  <c r="F36" i="37"/>
  <c r="E36" i="37"/>
  <c r="K35" i="37"/>
  <c r="J35" i="37"/>
  <c r="I35" i="37"/>
  <c r="H35" i="37"/>
  <c r="G35" i="37"/>
  <c r="F35" i="37"/>
  <c r="E35" i="37"/>
  <c r="K34" i="37"/>
  <c r="J34" i="37"/>
  <c r="I34" i="37"/>
  <c r="H34" i="37"/>
  <c r="G34" i="37"/>
  <c r="F34" i="37"/>
  <c r="E34" i="37"/>
  <c r="K33" i="37"/>
  <c r="J33" i="37"/>
  <c r="I33" i="37"/>
  <c r="H33" i="37"/>
  <c r="G33" i="37"/>
  <c r="F33" i="37"/>
  <c r="E33" i="37"/>
  <c r="K32" i="37"/>
  <c r="J32" i="37"/>
  <c r="I32" i="37"/>
  <c r="H32" i="37"/>
  <c r="G32" i="37"/>
  <c r="F32" i="37"/>
  <c r="E32" i="37"/>
  <c r="K31" i="37"/>
  <c r="J31" i="37"/>
  <c r="I31" i="37"/>
  <c r="H31" i="37"/>
  <c r="G31" i="37"/>
  <c r="F31" i="37"/>
  <c r="E31" i="37"/>
  <c r="K30" i="37"/>
  <c r="J30" i="37"/>
  <c r="I30" i="37"/>
  <c r="H30" i="37"/>
  <c r="G30" i="37"/>
  <c r="F30" i="37"/>
  <c r="E30" i="37"/>
  <c r="K29" i="37"/>
  <c r="J29" i="37"/>
  <c r="I29" i="37"/>
  <c r="H29" i="37"/>
  <c r="G29" i="37"/>
  <c r="F29" i="37"/>
  <c r="E29" i="37"/>
  <c r="K28" i="37"/>
  <c r="J28" i="37"/>
  <c r="I28" i="37"/>
  <c r="H28" i="37"/>
  <c r="G28" i="37"/>
  <c r="F28" i="37"/>
  <c r="E28" i="37"/>
  <c r="K27" i="37"/>
  <c r="J27" i="37"/>
  <c r="I27" i="37"/>
  <c r="H27" i="37"/>
  <c r="G27" i="37"/>
  <c r="F27" i="37"/>
  <c r="E27" i="37"/>
  <c r="K26" i="37"/>
  <c r="J26" i="37"/>
  <c r="I26" i="37"/>
  <c r="H26" i="37"/>
  <c r="G26" i="37"/>
  <c r="F26" i="37"/>
  <c r="E26" i="37"/>
  <c r="K25" i="37"/>
  <c r="J25" i="37"/>
  <c r="I25" i="37"/>
  <c r="H25" i="37"/>
  <c r="G25" i="37"/>
  <c r="F25" i="37"/>
  <c r="E25" i="37"/>
  <c r="K24" i="37"/>
  <c r="J24" i="37"/>
  <c r="I24" i="37"/>
  <c r="H24" i="37"/>
  <c r="G24" i="37"/>
  <c r="F24" i="37"/>
  <c r="E24" i="37"/>
  <c r="K23" i="37"/>
  <c r="J23" i="37"/>
  <c r="I23" i="37"/>
  <c r="H23" i="37"/>
  <c r="G23" i="37"/>
  <c r="F23" i="37"/>
  <c r="E23" i="37"/>
  <c r="K22" i="37"/>
  <c r="J22" i="37"/>
  <c r="I22" i="37"/>
  <c r="H22" i="37"/>
  <c r="G22" i="37"/>
  <c r="F22" i="37"/>
  <c r="E22" i="37"/>
  <c r="K21" i="37"/>
  <c r="J21" i="37"/>
  <c r="I21" i="37"/>
  <c r="H21" i="37"/>
  <c r="G21" i="37"/>
  <c r="F21" i="37"/>
  <c r="E21" i="37"/>
  <c r="K20" i="37"/>
  <c r="J20" i="37"/>
  <c r="I20" i="37"/>
  <c r="H20" i="37"/>
  <c r="G20" i="37"/>
  <c r="F20" i="37"/>
  <c r="E20" i="37"/>
  <c r="K19" i="37"/>
  <c r="J19" i="37"/>
  <c r="I19" i="37"/>
  <c r="H19" i="37"/>
  <c r="G19" i="37"/>
  <c r="F19" i="37"/>
  <c r="E19" i="37"/>
  <c r="K18" i="37"/>
  <c r="J18" i="37"/>
  <c r="I18" i="37"/>
  <c r="H18" i="37"/>
  <c r="G18" i="37"/>
  <c r="F18" i="37"/>
  <c r="E18" i="37"/>
  <c r="K17" i="37"/>
  <c r="J17" i="37"/>
  <c r="I17" i="37"/>
  <c r="H17" i="37"/>
  <c r="G17" i="37"/>
  <c r="F17" i="37"/>
  <c r="E17" i="37"/>
  <c r="K16" i="37"/>
  <c r="J16" i="37"/>
  <c r="I16" i="37"/>
  <c r="H16" i="37"/>
  <c r="G16" i="37"/>
  <c r="F16" i="37"/>
  <c r="E16" i="37"/>
  <c r="K15" i="37"/>
  <c r="J15" i="37"/>
  <c r="I15" i="37"/>
  <c r="H15" i="37"/>
  <c r="G15" i="37"/>
  <c r="F15" i="37"/>
  <c r="E15" i="37"/>
  <c r="K14" i="37"/>
  <c r="J14" i="37"/>
  <c r="I14" i="37"/>
  <c r="H14" i="37"/>
  <c r="G14" i="37"/>
  <c r="F14" i="37"/>
  <c r="E14" i="37"/>
  <c r="K13" i="37"/>
  <c r="J13" i="37"/>
  <c r="I13" i="37"/>
  <c r="H13" i="37"/>
  <c r="G13" i="37"/>
  <c r="F13" i="37"/>
  <c r="E13" i="37"/>
  <c r="K12" i="37"/>
  <c r="J12" i="37"/>
  <c r="I12" i="37"/>
  <c r="H12" i="37"/>
  <c r="G12" i="37"/>
  <c r="F12" i="37"/>
  <c r="E12" i="37"/>
  <c r="K11" i="37"/>
  <c r="J11" i="37"/>
  <c r="I11" i="37"/>
  <c r="H11" i="37"/>
  <c r="G11" i="37"/>
  <c r="F11" i="37"/>
  <c r="E11" i="37"/>
  <c r="P32" i="35"/>
  <c r="W32" i="35" s="1"/>
  <c r="P36" i="35"/>
  <c r="P33" i="35"/>
  <c r="W33" i="35" s="1"/>
  <c r="P31" i="35"/>
  <c r="P29" i="35"/>
  <c r="P28" i="35"/>
  <c r="P27" i="35"/>
  <c r="P26" i="35"/>
  <c r="P24" i="35"/>
  <c r="P23" i="35"/>
  <c r="P22" i="35"/>
  <c r="P21" i="35"/>
  <c r="P20" i="35"/>
  <c r="P17" i="35"/>
  <c r="P16" i="35"/>
  <c r="P15" i="35"/>
  <c r="P14" i="35"/>
  <c r="P13" i="35"/>
  <c r="W11" i="35"/>
  <c r="N31" i="37"/>
  <c r="N25" i="37"/>
  <c r="N24" i="37"/>
  <c r="N23" i="37"/>
  <c r="N20" i="37"/>
  <c r="N14" i="37"/>
  <c r="V38" i="35"/>
  <c r="U38" i="35"/>
  <c r="T38" i="35"/>
  <c r="S38" i="35"/>
  <c r="R38" i="35"/>
  <c r="N38" i="35"/>
  <c r="M38" i="35"/>
  <c r="L38" i="35"/>
  <c r="K38" i="35"/>
  <c r="J38" i="35"/>
  <c r="I38" i="35"/>
  <c r="H38" i="35"/>
  <c r="G38" i="35"/>
  <c r="F38" i="35"/>
  <c r="E38" i="35"/>
  <c r="W36" i="35"/>
  <c r="O36" i="35"/>
  <c r="W35" i="35"/>
  <c r="P35" i="35"/>
  <c r="O35" i="35"/>
  <c r="X35" i="35" s="1"/>
  <c r="Q34" i="35"/>
  <c r="P34" i="35"/>
  <c r="W34" i="35" s="1"/>
  <c r="O34" i="35"/>
  <c r="Q33" i="35"/>
  <c r="O33" i="35"/>
  <c r="O32" i="35"/>
  <c r="E32" i="35"/>
  <c r="W31" i="35"/>
  <c r="Q31" i="35"/>
  <c r="O31" i="35"/>
  <c r="X31" i="35" s="1"/>
  <c r="W30" i="35"/>
  <c r="P30" i="35"/>
  <c r="O30" i="35"/>
  <c r="X30" i="35" s="1"/>
  <c r="Q29" i="35"/>
  <c r="W29" i="35"/>
  <c r="O29" i="35"/>
  <c r="Q28" i="35"/>
  <c r="W28" i="35" s="1"/>
  <c r="O28" i="35"/>
  <c r="Q27" i="35"/>
  <c r="O27" i="35"/>
  <c r="Q26" i="35"/>
  <c r="W26" i="35" s="1"/>
  <c r="O26" i="35"/>
  <c r="Q25" i="35"/>
  <c r="P25" i="35"/>
  <c r="O25" i="35"/>
  <c r="Q24" i="35"/>
  <c r="W24" i="35"/>
  <c r="O24" i="35"/>
  <c r="Q23" i="35"/>
  <c r="W23" i="35" s="1"/>
  <c r="O23" i="35"/>
  <c r="W22" i="35"/>
  <c r="X22" i="35" s="1"/>
  <c r="O22" i="35"/>
  <c r="W21" i="35"/>
  <c r="Q21" i="35"/>
  <c r="O21" i="35"/>
  <c r="Q20" i="35"/>
  <c r="W20" i="35"/>
  <c r="O20" i="35"/>
  <c r="Q19" i="35"/>
  <c r="W19" i="35" s="1"/>
  <c r="P19" i="35"/>
  <c r="O19" i="35"/>
  <c r="Q18" i="35"/>
  <c r="P18" i="35"/>
  <c r="W18" i="35" s="1"/>
  <c r="O18" i="35"/>
  <c r="Q17" i="35"/>
  <c r="W17" i="35"/>
  <c r="O17" i="35"/>
  <c r="W16" i="35"/>
  <c r="O16" i="35"/>
  <c r="Q15" i="35"/>
  <c r="W15" i="35" s="1"/>
  <c r="O15" i="35"/>
  <c r="Q14" i="35"/>
  <c r="O14" i="35"/>
  <c r="Q13" i="35"/>
  <c r="W13" i="35" s="1"/>
  <c r="O13" i="35"/>
  <c r="Q12" i="35"/>
  <c r="P12" i="35"/>
  <c r="O12" i="35"/>
  <c r="O11" i="35"/>
  <c r="X11" i="38" l="1"/>
  <c r="X38" i="38" s="1"/>
  <c r="O38" i="36"/>
  <c r="X19" i="36"/>
  <c r="X17" i="36"/>
  <c r="X28" i="36"/>
  <c r="X32" i="36"/>
  <c r="W38" i="36"/>
  <c r="X27" i="36"/>
  <c r="X14" i="36"/>
  <c r="X20" i="36"/>
  <c r="X25" i="36"/>
  <c r="X33" i="36"/>
  <c r="X11" i="36"/>
  <c r="P38" i="36"/>
  <c r="M24" i="37"/>
  <c r="T24" i="37" s="1"/>
  <c r="Q38" i="36"/>
  <c r="N18" i="37"/>
  <c r="T18" i="37" s="1"/>
  <c r="M14" i="37"/>
  <c r="M19" i="37"/>
  <c r="M28" i="37"/>
  <c r="M34" i="37"/>
  <c r="W33" i="36"/>
  <c r="M11" i="37"/>
  <c r="M25" i="37"/>
  <c r="T25" i="37" s="1"/>
  <c r="N21" i="37"/>
  <c r="T21" i="37" s="1"/>
  <c r="N12" i="37"/>
  <c r="N19" i="37"/>
  <c r="N28" i="37"/>
  <c r="N11" i="37"/>
  <c r="N15" i="37"/>
  <c r="N26" i="37"/>
  <c r="T26" i="37" s="1"/>
  <c r="N34" i="37"/>
  <c r="L32" i="37"/>
  <c r="T12" i="37"/>
  <c r="L24" i="37"/>
  <c r="T27" i="37"/>
  <c r="L14" i="37"/>
  <c r="R38" i="37"/>
  <c r="R40" i="37" s="1"/>
  <c r="T35" i="37"/>
  <c r="L15" i="37"/>
  <c r="H38" i="37"/>
  <c r="H40" i="37" s="1"/>
  <c r="L11" i="37"/>
  <c r="I38" i="37"/>
  <c r="I40" i="37" s="1"/>
  <c r="O38" i="37"/>
  <c r="O40" i="37" s="1"/>
  <c r="L16" i="37"/>
  <c r="L26" i="37"/>
  <c r="T30" i="37"/>
  <c r="L34" i="37"/>
  <c r="F38" i="37"/>
  <c r="J38" i="37"/>
  <c r="J40" i="37" s="1"/>
  <c r="K38" i="37"/>
  <c r="K40" i="37" s="1"/>
  <c r="P38" i="37"/>
  <c r="P40" i="37" s="1"/>
  <c r="L12" i="37"/>
  <c r="T15" i="37"/>
  <c r="U15" i="37" s="1"/>
  <c r="L19" i="37"/>
  <c r="T23" i="37"/>
  <c r="L28" i="37"/>
  <c r="T31" i="37"/>
  <c r="T32" i="37"/>
  <c r="L36" i="37"/>
  <c r="S38" i="37"/>
  <c r="S40" i="37" s="1"/>
  <c r="T13" i="37"/>
  <c r="L17" i="37"/>
  <c r="T22" i="37"/>
  <c r="G38" i="37"/>
  <c r="Q38" i="37"/>
  <c r="Q40" i="37" s="1"/>
  <c r="L13" i="37"/>
  <c r="T17" i="37"/>
  <c r="L20" i="37"/>
  <c r="L21" i="37"/>
  <c r="L22" i="37"/>
  <c r="L30" i="37"/>
  <c r="T33" i="37"/>
  <c r="Q38" i="35"/>
  <c r="W14" i="35"/>
  <c r="W27" i="35"/>
  <c r="X27" i="35" s="1"/>
  <c r="X29" i="35"/>
  <c r="X36" i="35"/>
  <c r="X14" i="35"/>
  <c r="X12" i="35"/>
  <c r="X18" i="35"/>
  <c r="W12" i="35"/>
  <c r="X24" i="35"/>
  <c r="W25" i="35"/>
  <c r="X25" i="35" s="1"/>
  <c r="X32" i="35"/>
  <c r="X26" i="35"/>
  <c r="X21" i="35"/>
  <c r="O38" i="35"/>
  <c r="X20" i="35"/>
  <c r="X16" i="35"/>
  <c r="X13" i="35"/>
  <c r="T29" i="37"/>
  <c r="T16" i="37"/>
  <c r="T36" i="37"/>
  <c r="E38" i="37"/>
  <c r="E40" i="37" s="1"/>
  <c r="T20" i="37"/>
  <c r="L18" i="37"/>
  <c r="L23" i="37"/>
  <c r="L25" i="37"/>
  <c r="L27" i="37"/>
  <c r="L29" i="37"/>
  <c r="L31" i="37"/>
  <c r="L33" i="37"/>
  <c r="L35" i="37"/>
  <c r="X15" i="35"/>
  <c r="X19" i="35"/>
  <c r="X23" i="35"/>
  <c r="X28" i="35"/>
  <c r="X34" i="35"/>
  <c r="X17" i="35"/>
  <c r="X33" i="35"/>
  <c r="P38" i="35"/>
  <c r="X11" i="35"/>
  <c r="U37" i="34"/>
  <c r="U36" i="34"/>
  <c r="U35" i="34"/>
  <c r="U34" i="34"/>
  <c r="U33" i="34"/>
  <c r="U32" i="34"/>
  <c r="U31" i="34"/>
  <c r="U30" i="34"/>
  <c r="U29" i="34"/>
  <c r="U28" i="34"/>
  <c r="U27" i="34"/>
  <c r="U26" i="34"/>
  <c r="U25" i="34"/>
  <c r="U24" i="34"/>
  <c r="U23" i="34"/>
  <c r="U22" i="34"/>
  <c r="U21" i="34"/>
  <c r="U20" i="34"/>
  <c r="U19" i="34"/>
  <c r="U18" i="34"/>
  <c r="U17" i="34"/>
  <c r="U16" i="34"/>
  <c r="U15" i="34"/>
  <c r="U14" i="34"/>
  <c r="U13" i="34"/>
  <c r="V12" i="34"/>
  <c r="U12" i="34"/>
  <c r="T12" i="34"/>
  <c r="S12" i="34"/>
  <c r="R12" i="34"/>
  <c r="Q12" i="34"/>
  <c r="V11" i="34"/>
  <c r="U11" i="34"/>
  <c r="T11" i="34"/>
  <c r="S11" i="34"/>
  <c r="R11" i="34"/>
  <c r="Q11" i="34"/>
  <c r="P37" i="34"/>
  <c r="P36" i="34"/>
  <c r="P35" i="34"/>
  <c r="P34" i="34"/>
  <c r="P33" i="34"/>
  <c r="P32" i="34"/>
  <c r="P31" i="34"/>
  <c r="P30" i="34"/>
  <c r="P29" i="34"/>
  <c r="P28" i="34"/>
  <c r="P27" i="34"/>
  <c r="P26" i="34"/>
  <c r="P25" i="34"/>
  <c r="P24" i="34"/>
  <c r="P23" i="34"/>
  <c r="P22" i="34"/>
  <c r="P21" i="34"/>
  <c r="P20" i="34"/>
  <c r="P19" i="34"/>
  <c r="P18" i="34"/>
  <c r="P17" i="34"/>
  <c r="P16" i="34"/>
  <c r="P15" i="34"/>
  <c r="P14" i="34"/>
  <c r="P13" i="34"/>
  <c r="U30" i="37" l="1"/>
  <c r="T34" i="37"/>
  <c r="T28" i="37"/>
  <c r="U28" i="37" s="1"/>
  <c r="M38" i="37"/>
  <c r="M40" i="37" s="1"/>
  <c r="T19" i="37"/>
  <c r="U19" i="37" s="1"/>
  <c r="T11" i="37"/>
  <c r="U11" i="37" s="1"/>
  <c r="X38" i="36"/>
  <c r="U32" i="37"/>
  <c r="U18" i="37"/>
  <c r="U12" i="37"/>
  <c r="U34" i="37"/>
  <c r="U24" i="37"/>
  <c r="U17" i="37"/>
  <c r="U23" i="37"/>
  <c r="U26" i="37"/>
  <c r="U22" i="37"/>
  <c r="N38" i="37"/>
  <c r="N40" i="37" s="1"/>
  <c r="U16" i="37"/>
  <c r="U31" i="37"/>
  <c r="U21" i="37"/>
  <c r="U20" i="37"/>
  <c r="U35" i="37"/>
  <c r="U27" i="37"/>
  <c r="U36" i="37"/>
  <c r="U13" i="37"/>
  <c r="U33" i="37"/>
  <c r="U25" i="37"/>
  <c r="W38" i="35"/>
  <c r="U29" i="37"/>
  <c r="L38" i="37"/>
  <c r="L40" i="37" s="1"/>
  <c r="T14" i="37"/>
  <c r="U14" i="37" s="1"/>
  <c r="X38" i="35"/>
  <c r="P39" i="34"/>
  <c r="P12" i="34"/>
  <c r="Q37" i="34"/>
  <c r="Q36" i="34"/>
  <c r="V35" i="34"/>
  <c r="T35" i="34"/>
  <c r="S35" i="34"/>
  <c r="R35" i="34"/>
  <c r="Q35" i="34"/>
  <c r="Q34" i="34"/>
  <c r="V33" i="34"/>
  <c r="T33" i="34"/>
  <c r="S33" i="34"/>
  <c r="R33" i="34"/>
  <c r="Q33" i="34"/>
  <c r="W33" i="34" s="1"/>
  <c r="Q32" i="34"/>
  <c r="V31" i="34"/>
  <c r="T31" i="34"/>
  <c r="S31" i="34"/>
  <c r="R31" i="34"/>
  <c r="Q31" i="34"/>
  <c r="W31" i="34" s="1"/>
  <c r="Q30" i="34"/>
  <c r="V29" i="34"/>
  <c r="T29" i="34"/>
  <c r="S29" i="34"/>
  <c r="R29" i="34"/>
  <c r="Q29" i="34"/>
  <c r="Q28" i="34"/>
  <c r="V27" i="34"/>
  <c r="T27" i="34"/>
  <c r="S27" i="34"/>
  <c r="R27" i="34"/>
  <c r="Q27" i="34"/>
  <c r="Q26" i="34"/>
  <c r="V25" i="34"/>
  <c r="T25" i="34"/>
  <c r="S25" i="34"/>
  <c r="R25" i="34"/>
  <c r="Q25" i="34"/>
  <c r="W25" i="34" s="1"/>
  <c r="Q24" i="34"/>
  <c r="V23" i="34"/>
  <c r="T23" i="34"/>
  <c r="S23" i="34"/>
  <c r="R23" i="34"/>
  <c r="Q23" i="34"/>
  <c r="W23" i="34" s="1"/>
  <c r="Q22" i="34"/>
  <c r="V21" i="34"/>
  <c r="T21" i="34"/>
  <c r="S21" i="34"/>
  <c r="R21" i="34"/>
  <c r="Q21" i="34"/>
  <c r="Q20" i="34"/>
  <c r="V19" i="34"/>
  <c r="T19" i="34"/>
  <c r="S19" i="34"/>
  <c r="R19" i="34"/>
  <c r="Q19" i="34"/>
  <c r="Q18" i="34"/>
  <c r="V17" i="34"/>
  <c r="T17" i="34"/>
  <c r="S17" i="34"/>
  <c r="R17" i="34"/>
  <c r="Q17" i="34"/>
  <c r="Q16" i="34"/>
  <c r="V15" i="34"/>
  <c r="T15" i="34"/>
  <c r="S15" i="34"/>
  <c r="R15" i="34"/>
  <c r="Q15" i="34"/>
  <c r="Q14" i="34"/>
  <c r="V13" i="34"/>
  <c r="T13" i="34"/>
  <c r="S13" i="34"/>
  <c r="R13" i="34"/>
  <c r="Q13" i="34"/>
  <c r="W13" i="34" s="1"/>
  <c r="P11" i="34"/>
  <c r="N37" i="34"/>
  <c r="M37" i="34"/>
  <c r="L37" i="34"/>
  <c r="K37" i="34"/>
  <c r="J37" i="34"/>
  <c r="I37" i="34"/>
  <c r="H37" i="34"/>
  <c r="G37" i="34"/>
  <c r="O37" i="34" s="1"/>
  <c r="F37" i="34"/>
  <c r="E37" i="34"/>
  <c r="N36" i="34"/>
  <c r="M36" i="34"/>
  <c r="L36" i="34"/>
  <c r="K36" i="34"/>
  <c r="J36" i="34"/>
  <c r="I36" i="34"/>
  <c r="H36" i="34"/>
  <c r="G36" i="34"/>
  <c r="O36" i="34" s="1"/>
  <c r="F36" i="34"/>
  <c r="E36" i="34"/>
  <c r="N35" i="34"/>
  <c r="M35" i="34"/>
  <c r="L35" i="34"/>
  <c r="K35" i="34"/>
  <c r="J35" i="34"/>
  <c r="I35" i="34"/>
  <c r="H35" i="34"/>
  <c r="G35" i="34"/>
  <c r="F35" i="34"/>
  <c r="E35" i="34"/>
  <c r="O35" i="34" s="1"/>
  <c r="N34" i="34"/>
  <c r="M34" i="34"/>
  <c r="L34" i="34"/>
  <c r="K34" i="34"/>
  <c r="J34" i="34"/>
  <c r="I34" i="34"/>
  <c r="H34" i="34"/>
  <c r="G34" i="34"/>
  <c r="F34" i="34"/>
  <c r="E34" i="34"/>
  <c r="O34" i="34" s="1"/>
  <c r="N33" i="34"/>
  <c r="M33" i="34"/>
  <c r="L33" i="34"/>
  <c r="K33" i="34"/>
  <c r="J33" i="34"/>
  <c r="I33" i="34"/>
  <c r="H33" i="34"/>
  <c r="G33" i="34"/>
  <c r="F33" i="34"/>
  <c r="E33" i="34"/>
  <c r="N32" i="34"/>
  <c r="M32" i="34"/>
  <c r="L32" i="34"/>
  <c r="K32" i="34"/>
  <c r="J32" i="34"/>
  <c r="I32" i="34"/>
  <c r="H32" i="34"/>
  <c r="G32" i="34"/>
  <c r="F32" i="34"/>
  <c r="E32" i="34"/>
  <c r="N31" i="34"/>
  <c r="M31" i="34"/>
  <c r="L31" i="34"/>
  <c r="K31" i="34"/>
  <c r="J31" i="34"/>
  <c r="I31" i="34"/>
  <c r="H31" i="34"/>
  <c r="G31" i="34"/>
  <c r="F31" i="34"/>
  <c r="E31" i="34"/>
  <c r="O31" i="34" s="1"/>
  <c r="N30" i="34"/>
  <c r="M30" i="34"/>
  <c r="L30" i="34"/>
  <c r="K30" i="34"/>
  <c r="J30" i="34"/>
  <c r="I30" i="34"/>
  <c r="H30" i="34"/>
  <c r="G30" i="34"/>
  <c r="O30" i="34" s="1"/>
  <c r="F30" i="34"/>
  <c r="E30" i="34"/>
  <c r="N29" i="34"/>
  <c r="M29" i="34"/>
  <c r="L29" i="34"/>
  <c r="K29" i="34"/>
  <c r="J29" i="34"/>
  <c r="I29" i="34"/>
  <c r="H29" i="34"/>
  <c r="G29" i="34"/>
  <c r="F29" i="34"/>
  <c r="E29" i="34"/>
  <c r="O29" i="34" s="1"/>
  <c r="N28" i="34"/>
  <c r="M28" i="34"/>
  <c r="L28" i="34"/>
  <c r="K28" i="34"/>
  <c r="J28" i="34"/>
  <c r="I28" i="34"/>
  <c r="H28" i="34"/>
  <c r="G28" i="34"/>
  <c r="O28" i="34" s="1"/>
  <c r="F28" i="34"/>
  <c r="E28" i="34"/>
  <c r="N27" i="34"/>
  <c r="M27" i="34"/>
  <c r="L27" i="34"/>
  <c r="K27" i="34"/>
  <c r="J27" i="34"/>
  <c r="I27" i="34"/>
  <c r="H27" i="34"/>
  <c r="G27" i="34"/>
  <c r="F27" i="34"/>
  <c r="E27" i="34"/>
  <c r="N26" i="34"/>
  <c r="M26" i="34"/>
  <c r="L26" i="34"/>
  <c r="K26" i="34"/>
  <c r="J26" i="34"/>
  <c r="I26" i="34"/>
  <c r="H26" i="34"/>
  <c r="G26" i="34"/>
  <c r="O26" i="34" s="1"/>
  <c r="F26" i="34"/>
  <c r="E26" i="34"/>
  <c r="N25" i="34"/>
  <c r="M25" i="34"/>
  <c r="L25" i="34"/>
  <c r="K25" i="34"/>
  <c r="J25" i="34"/>
  <c r="I25" i="34"/>
  <c r="H25" i="34"/>
  <c r="G25" i="34"/>
  <c r="F25" i="34"/>
  <c r="E25" i="34"/>
  <c r="O25" i="34" s="1"/>
  <c r="N24" i="34"/>
  <c r="M24" i="34"/>
  <c r="L24" i="34"/>
  <c r="K24" i="34"/>
  <c r="J24" i="34"/>
  <c r="I24" i="34"/>
  <c r="H24" i="34"/>
  <c r="G24" i="34"/>
  <c r="O24" i="34" s="1"/>
  <c r="F24" i="34"/>
  <c r="E24" i="34"/>
  <c r="N23" i="34"/>
  <c r="M23" i="34"/>
  <c r="L23" i="34"/>
  <c r="K23" i="34"/>
  <c r="J23" i="34"/>
  <c r="I23" i="34"/>
  <c r="H23" i="34"/>
  <c r="G23" i="34"/>
  <c r="F23" i="34"/>
  <c r="E23" i="34"/>
  <c r="N22" i="34"/>
  <c r="M22" i="34"/>
  <c r="L22" i="34"/>
  <c r="K22" i="34"/>
  <c r="J22" i="34"/>
  <c r="I22" i="34"/>
  <c r="H22" i="34"/>
  <c r="G22" i="34"/>
  <c r="O22" i="34" s="1"/>
  <c r="F22" i="34"/>
  <c r="E22" i="34"/>
  <c r="N21" i="34"/>
  <c r="M21" i="34"/>
  <c r="L21" i="34"/>
  <c r="K21" i="34"/>
  <c r="J21" i="34"/>
  <c r="I21" i="34"/>
  <c r="H21" i="34"/>
  <c r="G21" i="34"/>
  <c r="F21" i="34"/>
  <c r="E21" i="34"/>
  <c r="O21" i="34" s="1"/>
  <c r="N20" i="34"/>
  <c r="M20" i="34"/>
  <c r="L20" i="34"/>
  <c r="K20" i="34"/>
  <c r="J20" i="34"/>
  <c r="I20" i="34"/>
  <c r="H20" i="34"/>
  <c r="G20" i="34"/>
  <c r="F20" i="34"/>
  <c r="E20" i="34"/>
  <c r="O20" i="34" s="1"/>
  <c r="N19" i="34"/>
  <c r="M19" i="34"/>
  <c r="L19" i="34"/>
  <c r="K19" i="34"/>
  <c r="J19" i="34"/>
  <c r="I19" i="34"/>
  <c r="H19" i="34"/>
  <c r="G19" i="34"/>
  <c r="F19" i="34"/>
  <c r="E19" i="34"/>
  <c r="O19" i="34" s="1"/>
  <c r="N18" i="34"/>
  <c r="M18" i="34"/>
  <c r="L18" i="34"/>
  <c r="K18" i="34"/>
  <c r="J18" i="34"/>
  <c r="I18" i="34"/>
  <c r="H18" i="34"/>
  <c r="G18" i="34"/>
  <c r="F18" i="34"/>
  <c r="E18" i="34"/>
  <c r="O18" i="34" s="1"/>
  <c r="N17" i="34"/>
  <c r="M17" i="34"/>
  <c r="L17" i="34"/>
  <c r="K17" i="34"/>
  <c r="J17" i="34"/>
  <c r="I17" i="34"/>
  <c r="H17" i="34"/>
  <c r="G17" i="34"/>
  <c r="F17" i="34"/>
  <c r="F39" i="34" s="1"/>
  <c r="E17" i="34"/>
  <c r="N16" i="34"/>
  <c r="M16" i="34"/>
  <c r="L16" i="34"/>
  <c r="K16" i="34"/>
  <c r="J16" i="34"/>
  <c r="I16" i="34"/>
  <c r="H16" i="34"/>
  <c r="G16" i="34"/>
  <c r="O16" i="34" s="1"/>
  <c r="F16" i="34"/>
  <c r="E16" i="34"/>
  <c r="N15" i="34"/>
  <c r="M15" i="34"/>
  <c r="L15" i="34"/>
  <c r="K15" i="34"/>
  <c r="J15" i="34"/>
  <c r="J39" i="34" s="1"/>
  <c r="I15" i="34"/>
  <c r="H15" i="34"/>
  <c r="G15" i="34"/>
  <c r="F15" i="34"/>
  <c r="E15" i="34"/>
  <c r="O15" i="34" s="1"/>
  <c r="N14" i="34"/>
  <c r="M14" i="34"/>
  <c r="L14" i="34"/>
  <c r="K14" i="34"/>
  <c r="J14" i="34"/>
  <c r="I14" i="34"/>
  <c r="H14" i="34"/>
  <c r="G14" i="34"/>
  <c r="O14" i="34" s="1"/>
  <c r="F14" i="34"/>
  <c r="E14" i="34"/>
  <c r="N13" i="34"/>
  <c r="N39" i="34" s="1"/>
  <c r="M13" i="34"/>
  <c r="L13" i="34"/>
  <c r="K13" i="34"/>
  <c r="J13" i="34"/>
  <c r="I13" i="34"/>
  <c r="H13" i="34"/>
  <c r="G13" i="34"/>
  <c r="F13" i="34"/>
  <c r="E13" i="34"/>
  <c r="O13" i="34" s="1"/>
  <c r="N12" i="34"/>
  <c r="M12" i="34"/>
  <c r="L12" i="34"/>
  <c r="K12" i="34"/>
  <c r="J12" i="34"/>
  <c r="I12" i="34"/>
  <c r="H12" i="34"/>
  <c r="G12" i="34"/>
  <c r="F12" i="34"/>
  <c r="E12" i="34"/>
  <c r="N11" i="34"/>
  <c r="M11" i="34"/>
  <c r="M39" i="34" s="1"/>
  <c r="L11" i="34"/>
  <c r="K11" i="34"/>
  <c r="J11" i="34"/>
  <c r="I11" i="34"/>
  <c r="I39" i="34" s="1"/>
  <c r="H11" i="34"/>
  <c r="G11" i="34"/>
  <c r="F11" i="34"/>
  <c r="E11" i="34"/>
  <c r="T39" i="34"/>
  <c r="W37" i="34"/>
  <c r="W36" i="34"/>
  <c r="W34" i="34"/>
  <c r="O33" i="34"/>
  <c r="W32" i="34"/>
  <c r="O32" i="34"/>
  <c r="W28" i="34"/>
  <c r="O27" i="34"/>
  <c r="W26" i="34"/>
  <c r="W24" i="34"/>
  <c r="O23" i="34"/>
  <c r="W22" i="34"/>
  <c r="W20" i="34"/>
  <c r="W18" i="34"/>
  <c r="O17" i="34"/>
  <c r="W16" i="34"/>
  <c r="W14" i="34"/>
  <c r="O12" i="34"/>
  <c r="P34" i="33"/>
  <c r="P33" i="33"/>
  <c r="P32" i="33"/>
  <c r="P30" i="33"/>
  <c r="P29" i="33"/>
  <c r="P28" i="33"/>
  <c r="P23" i="33"/>
  <c r="P20" i="33"/>
  <c r="P19" i="33"/>
  <c r="P15" i="33"/>
  <c r="P14" i="33"/>
  <c r="P13" i="33"/>
  <c r="P12" i="33"/>
  <c r="P11" i="33"/>
  <c r="V39" i="33"/>
  <c r="U39" i="33"/>
  <c r="T39" i="33"/>
  <c r="S39" i="33"/>
  <c r="R39" i="33"/>
  <c r="N39" i="33"/>
  <c r="M39" i="33"/>
  <c r="L39" i="33"/>
  <c r="K39" i="33"/>
  <c r="J39" i="33"/>
  <c r="I39" i="33"/>
  <c r="H39" i="33"/>
  <c r="G39" i="33"/>
  <c r="F39" i="33"/>
  <c r="E39" i="33"/>
  <c r="X37" i="33"/>
  <c r="W37" i="33"/>
  <c r="P37" i="33"/>
  <c r="O37" i="33"/>
  <c r="X36" i="33"/>
  <c r="W36" i="33"/>
  <c r="P36" i="33"/>
  <c r="O36" i="33"/>
  <c r="W35" i="33"/>
  <c r="Q35" i="33"/>
  <c r="P35" i="33"/>
  <c r="O35" i="33"/>
  <c r="X35" i="33" s="1"/>
  <c r="Q34" i="33"/>
  <c r="W34" i="33"/>
  <c r="O34" i="33"/>
  <c r="X34" i="33" s="1"/>
  <c r="W33" i="33"/>
  <c r="O33" i="33"/>
  <c r="E33" i="33"/>
  <c r="W32" i="33"/>
  <c r="Q32" i="33"/>
  <c r="O32" i="33"/>
  <c r="X32" i="33" s="1"/>
  <c r="X31" i="33"/>
  <c r="W31" i="33"/>
  <c r="P31" i="33"/>
  <c r="O31" i="33"/>
  <c r="W30" i="33"/>
  <c r="Q30" i="33"/>
  <c r="O30" i="33"/>
  <c r="X30" i="33" s="1"/>
  <c r="Q29" i="33"/>
  <c r="W29" i="33"/>
  <c r="O29" i="33"/>
  <c r="X29" i="33" s="1"/>
  <c r="Q28" i="33"/>
  <c r="W28" i="33"/>
  <c r="O28" i="33"/>
  <c r="X28" i="33" s="1"/>
  <c r="W27" i="33"/>
  <c r="Q27" i="33"/>
  <c r="P27" i="33"/>
  <c r="O27" i="33"/>
  <c r="X27" i="33" s="1"/>
  <c r="W26" i="33"/>
  <c r="Q26" i="33"/>
  <c r="P26" i="33"/>
  <c r="O26" i="33"/>
  <c r="X26" i="33" s="1"/>
  <c r="Q25" i="33"/>
  <c r="P25" i="33"/>
  <c r="W25" i="33" s="1"/>
  <c r="O25" i="33"/>
  <c r="X25" i="33" s="1"/>
  <c r="Q24" i="33"/>
  <c r="P24" i="33"/>
  <c r="W24" i="33" s="1"/>
  <c r="O24" i="33"/>
  <c r="W23" i="33"/>
  <c r="X23" i="33" s="1"/>
  <c r="O23" i="33"/>
  <c r="W22" i="33"/>
  <c r="Q22" i="33"/>
  <c r="P22" i="33"/>
  <c r="O22" i="33"/>
  <c r="X22" i="33" s="1"/>
  <c r="Q21" i="33"/>
  <c r="P21" i="33"/>
  <c r="W21" i="33" s="1"/>
  <c r="O21" i="33"/>
  <c r="X21" i="33" s="1"/>
  <c r="Q20" i="33"/>
  <c r="W20" i="33"/>
  <c r="O20" i="33"/>
  <c r="Q19" i="33"/>
  <c r="W19" i="33" s="1"/>
  <c r="O19" i="33"/>
  <c r="W18" i="33"/>
  <c r="Q18" i="33"/>
  <c r="P18" i="33"/>
  <c r="O18" i="33"/>
  <c r="X18" i="33" s="1"/>
  <c r="Q17" i="33"/>
  <c r="P17" i="33"/>
  <c r="W17" i="33" s="1"/>
  <c r="O17" i="33"/>
  <c r="X17" i="33" s="1"/>
  <c r="P16" i="33"/>
  <c r="W16" i="33" s="1"/>
  <c r="O16" i="33"/>
  <c r="X16" i="33" s="1"/>
  <c r="Q15" i="33"/>
  <c r="W15" i="33"/>
  <c r="O15" i="33"/>
  <c r="Q14" i="33"/>
  <c r="W14" i="33" s="1"/>
  <c r="O14" i="33"/>
  <c r="X14" i="33" s="1"/>
  <c r="W13" i="33"/>
  <c r="Q13" i="33"/>
  <c r="O13" i="33"/>
  <c r="Q12" i="33"/>
  <c r="W12" i="33"/>
  <c r="O12" i="33"/>
  <c r="Q11" i="33"/>
  <c r="Q39" i="33" s="1"/>
  <c r="P39" i="33"/>
  <c r="O11" i="33"/>
  <c r="O39" i="33" s="1"/>
  <c r="P33" i="32"/>
  <c r="P37" i="32"/>
  <c r="P36" i="32"/>
  <c r="P35" i="32"/>
  <c r="P34" i="32"/>
  <c r="P32" i="32"/>
  <c r="P31" i="32"/>
  <c r="P30" i="32"/>
  <c r="P29" i="32"/>
  <c r="P28" i="32"/>
  <c r="P27" i="32"/>
  <c r="P26" i="32"/>
  <c r="P25" i="32"/>
  <c r="P24" i="32"/>
  <c r="P23" i="32"/>
  <c r="P22" i="32"/>
  <c r="P21" i="32"/>
  <c r="P20" i="32"/>
  <c r="P19" i="32"/>
  <c r="P18" i="32"/>
  <c r="P17" i="32"/>
  <c r="P16" i="32"/>
  <c r="P15" i="32"/>
  <c r="P14" i="32"/>
  <c r="P13" i="32"/>
  <c r="P12" i="32"/>
  <c r="P11" i="32"/>
  <c r="T38" i="37" l="1"/>
  <c r="T40" i="37" s="1"/>
  <c r="U38" i="37"/>
  <c r="U40" i="37" s="1"/>
  <c r="X16" i="34"/>
  <c r="X37" i="34"/>
  <c r="X36" i="34"/>
  <c r="X33" i="34"/>
  <c r="X34" i="34"/>
  <c r="X31" i="34"/>
  <c r="X32" i="34"/>
  <c r="X28" i="34"/>
  <c r="X25" i="34"/>
  <c r="S39" i="34"/>
  <c r="V39" i="34"/>
  <c r="X20" i="34"/>
  <c r="R39" i="34"/>
  <c r="U39" i="34"/>
  <c r="X14" i="34"/>
  <c r="W35" i="34"/>
  <c r="X35" i="34" s="1"/>
  <c r="W29" i="34"/>
  <c r="X29" i="34" s="1"/>
  <c r="W30" i="34"/>
  <c r="X30" i="34" s="1"/>
  <c r="W27" i="34"/>
  <c r="X27" i="34" s="1"/>
  <c r="X24" i="34"/>
  <c r="X23" i="34"/>
  <c r="W21" i="34"/>
  <c r="X21" i="34" s="1"/>
  <c r="W19" i="34"/>
  <c r="X19" i="34" s="1"/>
  <c r="W17" i="34"/>
  <c r="X17" i="34" s="1"/>
  <c r="W15" i="34"/>
  <c r="X15" i="34" s="1"/>
  <c r="G39" i="34"/>
  <c r="K39" i="34"/>
  <c r="H39" i="34"/>
  <c r="L39" i="34"/>
  <c r="W12" i="34"/>
  <c r="X12" i="34" s="1"/>
  <c r="O11" i="34"/>
  <c r="O39" i="34" s="1"/>
  <c r="E39" i="34"/>
  <c r="X18" i="34"/>
  <c r="X13" i="34"/>
  <c r="X22" i="34"/>
  <c r="X26" i="34"/>
  <c r="W11" i="34"/>
  <c r="X33" i="33"/>
  <c r="X20" i="33"/>
  <c r="X13" i="33"/>
  <c r="X12" i="33"/>
  <c r="X15" i="33"/>
  <c r="X19" i="33"/>
  <c r="X24" i="33"/>
  <c r="W11" i="33"/>
  <c r="W39" i="33" s="1"/>
  <c r="W39" i="34" l="1"/>
  <c r="Q39" i="34"/>
  <c r="X11" i="34"/>
  <c r="X39" i="34" s="1"/>
  <c r="X11" i="33"/>
  <c r="X39" i="33" l="1"/>
  <c r="O11" i="32" l="1"/>
  <c r="Q11" i="32"/>
  <c r="O12" i="32"/>
  <c r="Q12" i="32"/>
  <c r="O13" i="32"/>
  <c r="Q13" i="32"/>
  <c r="O14" i="32"/>
  <c r="Q14" i="32"/>
  <c r="O15" i="32"/>
  <c r="Q15" i="32"/>
  <c r="O16" i="32"/>
  <c r="X16" i="32" s="1"/>
  <c r="W16" i="32"/>
  <c r="O17" i="32"/>
  <c r="Q17" i="32"/>
  <c r="W17" i="32"/>
  <c r="O18" i="32"/>
  <c r="Q18" i="32"/>
  <c r="O19" i="32"/>
  <c r="Q19" i="32"/>
  <c r="O20" i="32"/>
  <c r="Q20" i="32"/>
  <c r="O21" i="32"/>
  <c r="Q21" i="32"/>
  <c r="O22" i="32"/>
  <c r="Q22" i="32"/>
  <c r="O23" i="32"/>
  <c r="W23" i="32"/>
  <c r="O24" i="32"/>
  <c r="Q24" i="32"/>
  <c r="O25" i="32"/>
  <c r="Q25" i="32"/>
  <c r="O26" i="32"/>
  <c r="Q26" i="32"/>
  <c r="O27" i="32"/>
  <c r="Q27" i="32"/>
  <c r="O28" i="32"/>
  <c r="Q28" i="32"/>
  <c r="W28" i="32"/>
  <c r="O29" i="32"/>
  <c r="Q29" i="32"/>
  <c r="O30" i="32"/>
  <c r="Q30" i="32"/>
  <c r="O31" i="32"/>
  <c r="W31" i="32"/>
  <c r="O32" i="32"/>
  <c r="Q32" i="32"/>
  <c r="W32" i="32"/>
  <c r="E33" i="32"/>
  <c r="W33" i="32"/>
  <c r="O34" i="32"/>
  <c r="Q34" i="32"/>
  <c r="O35" i="32"/>
  <c r="Q35" i="32"/>
  <c r="O36" i="32"/>
  <c r="W36" i="32"/>
  <c r="O37" i="32"/>
  <c r="W37" i="32"/>
  <c r="V39" i="32"/>
  <c r="U39" i="32"/>
  <c r="T39" i="32"/>
  <c r="S39" i="32"/>
  <c r="R39" i="32"/>
  <c r="P39" i="32"/>
  <c r="N39" i="32"/>
  <c r="M39" i="32"/>
  <c r="L39" i="32"/>
  <c r="K39" i="32"/>
  <c r="J39" i="32"/>
  <c r="I39" i="32"/>
  <c r="H39" i="32"/>
  <c r="G39" i="32"/>
  <c r="F39" i="32"/>
  <c r="E39" i="32"/>
  <c r="W30" i="32" l="1"/>
  <c r="W24" i="32"/>
  <c r="W21" i="32"/>
  <c r="X36" i="32"/>
  <c r="X31" i="32"/>
  <c r="X30" i="32"/>
  <c r="W19" i="32"/>
  <c r="X19" i="32" s="1"/>
  <c r="X37" i="32"/>
  <c r="W35" i="32"/>
  <c r="X35" i="32" s="1"/>
  <c r="W29" i="32"/>
  <c r="X29" i="32" s="1"/>
  <c r="W26" i="32"/>
  <c r="X26" i="32" s="1"/>
  <c r="X23" i="32"/>
  <c r="W18" i="32"/>
  <c r="X18" i="32" s="1"/>
  <c r="X28" i="32"/>
  <c r="X17" i="32"/>
  <c r="Q39" i="32"/>
  <c r="W25" i="32"/>
  <c r="X25" i="32" s="1"/>
  <c r="W20" i="32"/>
  <c r="X20" i="32" s="1"/>
  <c r="X32" i="32"/>
  <c r="X24" i="32"/>
  <c r="X21" i="32"/>
  <c r="W34" i="32"/>
  <c r="X34" i="32" s="1"/>
  <c r="O33" i="32"/>
  <c r="O39" i="32" s="1"/>
  <c r="W27" i="32"/>
  <c r="X27" i="32" s="1"/>
  <c r="W22" i="32"/>
  <c r="X22" i="32" s="1"/>
  <c r="W15" i="32"/>
  <c r="X15" i="32" s="1"/>
  <c r="W14" i="32"/>
  <c r="X14" i="32" s="1"/>
  <c r="W13" i="32"/>
  <c r="X13" i="32" s="1"/>
  <c r="W12" i="32"/>
  <c r="X12" i="32" s="1"/>
  <c r="W11" i="32"/>
  <c r="W39" i="32" l="1"/>
  <c r="X33" i="32"/>
  <c r="X11" i="32"/>
  <c r="X39" i="32" s="1"/>
</calcChain>
</file>

<file path=xl/sharedStrings.xml><?xml version="1.0" encoding="utf-8"?>
<sst xmlns="http://schemas.openxmlformats.org/spreadsheetml/2006/main" count="1082" uniqueCount="99">
  <si>
    <t>INDUSTRIA JALISCIENSE DE REHABILITACION SOCIAL</t>
  </si>
  <si>
    <t xml:space="preserve"> </t>
  </si>
  <si>
    <t>Generales</t>
  </si>
  <si>
    <t>Percepciones</t>
  </si>
  <si>
    <t xml:space="preserve">Deducciones </t>
  </si>
  <si>
    <t xml:space="preserve">NETO A PAGAR </t>
  </si>
  <si>
    <t>No.</t>
  </si>
  <si>
    <t>Nivel</t>
  </si>
  <si>
    <t>NOMBRE</t>
  </si>
  <si>
    <t>PUESTO</t>
  </si>
  <si>
    <t>RETROACTIVO</t>
  </si>
  <si>
    <t>COMPENSACION</t>
  </si>
  <si>
    <t>APOYO PASAJE</t>
  </si>
  <si>
    <t>DESPENSA</t>
  </si>
  <si>
    <t>QUINQUENIO</t>
  </si>
  <si>
    <t>AGUINALDO</t>
  </si>
  <si>
    <t>PRIMA VACACIONAL</t>
  </si>
  <si>
    <t>ESTIMULO</t>
  </si>
  <si>
    <t xml:space="preserve">TOTAL </t>
  </si>
  <si>
    <t xml:space="preserve">  I.S.R.</t>
  </si>
  <si>
    <t>DESCTO</t>
  </si>
  <si>
    <t>OTROS</t>
  </si>
  <si>
    <t>PRÉSTAMO</t>
  </si>
  <si>
    <t>OTROS DESC</t>
  </si>
  <si>
    <t>Emp.</t>
  </si>
  <si>
    <t>PERCEPCIONES</t>
  </si>
  <si>
    <t>PENSIONES</t>
  </si>
  <si>
    <t>DESC.</t>
  </si>
  <si>
    <t>DEDUCCIONES</t>
  </si>
  <si>
    <t>Con.</t>
  </si>
  <si>
    <t>Actual</t>
  </si>
  <si>
    <t>PALOMAR NAVA ANA MARIA</t>
  </si>
  <si>
    <t>ENCARGADA DE AREA C</t>
  </si>
  <si>
    <t>CUMPLIDO PÉREZ ISRAEL</t>
  </si>
  <si>
    <t>INSTRUCTOR EXTERNO B</t>
  </si>
  <si>
    <t>PICAZO VILLEGAS SARA</t>
  </si>
  <si>
    <t>BECERRA PÉREZ JOSÉ LUIS</t>
  </si>
  <si>
    <t>PARTIDA TERRIQUEZ RICARDO</t>
  </si>
  <si>
    <t>AUXILIAR LOGISTICO</t>
  </si>
  <si>
    <t>GONZALEZ REYES MARCOS EDUARDO</t>
  </si>
  <si>
    <t>SUPERVISOR GENERAL CRS</t>
  </si>
  <si>
    <t>ALVARADO HERNANDEZ SANDRA</t>
  </si>
  <si>
    <t>AUXILIAR TIENDA</t>
  </si>
  <si>
    <t>REYES GARCIA IRENE</t>
  </si>
  <si>
    <t>MONTIEL TORRES AYERIM MAGDALENA</t>
  </si>
  <si>
    <t>AUXILIAR NOMINA</t>
  </si>
  <si>
    <t>SUPERVISOR GENERAL RPEJ</t>
  </si>
  <si>
    <t>CAMACHO AGUILLARES MARIA DE JESUS</t>
  </si>
  <si>
    <t>AUXILIAR</t>
  </si>
  <si>
    <t>ROBLES SANCHEZ PEDRO ALEJANDRO</t>
  </si>
  <si>
    <t>SOLIS SANCHEZ ALBERTO</t>
  </si>
  <si>
    <t>INSTRUCTOR EXTERNO C</t>
  </si>
  <si>
    <t>BERMUDEZ GARCIA JOSÉ ANTONIO</t>
  </si>
  <si>
    <t>ARMENTA BARRAGAN TANIA</t>
  </si>
  <si>
    <t>RIVERA GIL EDITH</t>
  </si>
  <si>
    <t>DIRECTORA GENERAL</t>
  </si>
  <si>
    <t>IÑIGUEZ LOMELI GRISELDA</t>
  </si>
  <si>
    <t>GONZALEZ RAMIREZ RODOLFO</t>
  </si>
  <si>
    <t>COORDINADOR FINANCIERO</t>
  </si>
  <si>
    <t>ADAME GONZALEZ MARIA DOMITILA</t>
  </si>
  <si>
    <t>IÑIGUEZ OCAMPO MARTHA GABRIELA</t>
  </si>
  <si>
    <t>RODRIGUEZ HERNANDEZ LOURDES</t>
  </si>
  <si>
    <t>ALVAREZ BARRAZA SOFIA IRENE</t>
  </si>
  <si>
    <t>CALVARIO OSIO ROSA VERONICA</t>
  </si>
  <si>
    <t>OLIVARES CAMACHO CESAR OMAR</t>
  </si>
  <si>
    <t>INSTRUCTOR  EXTERNO C</t>
  </si>
  <si>
    <t>COORDINADORA OPERATIVA</t>
  </si>
  <si>
    <t>CONTADORA GENERAL</t>
  </si>
  <si>
    <t>DIRECTORA JURIDICA</t>
  </si>
  <si>
    <t>ANALISTA FINANCIERA</t>
  </si>
  <si>
    <t>COORDINADORA DE RECURSOS MATERIALES Y SERVICIOS</t>
  </si>
  <si>
    <t>VALENCIA GONZALEZ ALBERTO</t>
  </si>
  <si>
    <t>SUPERVISOR DE SECCION</t>
  </si>
  <si>
    <t>PERCEPCIÓN QUINCENAL</t>
  </si>
  <si>
    <t>LOZANO ANAYA VERONICA EDITH</t>
  </si>
  <si>
    <t>COODINACION FINANCIERA</t>
  </si>
  <si>
    <t>COORDINACION OPERATIVA</t>
  </si>
  <si>
    <t>COORDINACION FINANCIERA</t>
  </si>
  <si>
    <t>DIRECCION GENERAL</t>
  </si>
  <si>
    <t>VENTAS</t>
  </si>
  <si>
    <t>DIRECCION ADMINISTRATIVA Y FINANCIERA</t>
  </si>
  <si>
    <t>AREA DE ADSCRIPCIÓN</t>
  </si>
  <si>
    <t>HARO DE LA TORRE WENDY</t>
  </si>
  <si>
    <t>INDEMNIZACION</t>
  </si>
  <si>
    <t>HERNANDEZ ANGELES BERENICE</t>
  </si>
  <si>
    <t xml:space="preserve">Nom.01/18, Correspondiente al periodo </t>
  </si>
  <si>
    <t>del 1 al 15 de Enero 2018</t>
  </si>
  <si>
    <t>SECRETARIO TECNICO</t>
  </si>
  <si>
    <t xml:space="preserve">Nom.02/18, Correspondiente al periodo </t>
  </si>
  <si>
    <t>del 16 al 31 de Enero 2018</t>
  </si>
  <si>
    <t>Acumulado Mensual Enero 2018</t>
  </si>
  <si>
    <t xml:space="preserve">Nom.03/18, Correspondiente al periodo </t>
  </si>
  <si>
    <t>del 01 al 15 de Febrero 2018</t>
  </si>
  <si>
    <t xml:space="preserve">Nom.04/18, Correspondiente al periodo </t>
  </si>
  <si>
    <t>del 16 al 28 de Febrero 2018</t>
  </si>
  <si>
    <t>Acumulado Mensual Febrero 2018</t>
  </si>
  <si>
    <t>del 01 al 15 de Marzo 2018</t>
  </si>
  <si>
    <t>del 16 al 31 de Marzo 2018</t>
  </si>
  <si>
    <t>Acumulado Mensual Marzo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</si>
</sst>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Narrow"/>
      <family val="2"/>
    </font>
    <font>
      <b/>
      <sz val="1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9"/>
      <color theme="0"/>
      <name val="Arial Narrow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9"/>
      <name val="Arial"/>
      <family val="2"/>
    </font>
    <font>
      <sz val="9"/>
      <name val="Antique Olive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</cellStyleXfs>
  <cellXfs count="151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8" fillId="0" borderId="0" xfId="0" applyNumberFormat="1" applyFont="1" applyFill="1" applyBorder="1" applyAlignment="1"/>
    <xf numFmtId="164" fontId="8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left"/>
    </xf>
    <xf numFmtId="164" fontId="9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right"/>
    </xf>
    <xf numFmtId="1" fontId="9" fillId="2" borderId="5" xfId="0" applyNumberFormat="1" applyFont="1" applyFill="1" applyBorder="1" applyAlignment="1">
      <alignment horizontal="center" vertical="center" wrapText="1" shrinkToFit="1"/>
    </xf>
    <xf numFmtId="164" fontId="9" fillId="2" borderId="9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right"/>
    </xf>
    <xf numFmtId="0" fontId="0" fillId="0" borderId="0" xfId="0" applyFill="1"/>
    <xf numFmtId="164" fontId="5" fillId="0" borderId="0" xfId="0" applyNumberFormat="1" applyFont="1" applyFill="1" applyBorder="1" applyAlignment="1">
      <alignment horizontal="center" vertical="center"/>
    </xf>
    <xf numFmtId="1" fontId="9" fillId="2" borderId="11" xfId="0" applyNumberFormat="1" applyFont="1" applyFill="1" applyBorder="1" applyAlignment="1">
      <alignment horizontal="center" vertical="center" wrapText="1" shrinkToFit="1"/>
    </xf>
    <xf numFmtId="164" fontId="9" fillId="2" borderId="14" xfId="0" applyNumberFormat="1" applyFont="1" applyFill="1" applyBorder="1" applyAlignment="1">
      <alignment horizontal="center" vertical="center" wrapText="1" shrinkToFit="1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164" fontId="9" fillId="2" borderId="15" xfId="0" applyNumberFormat="1" applyFont="1" applyFill="1" applyBorder="1" applyAlignment="1">
      <alignment horizontal="center" vertical="center" wrapText="1" shrinkToFit="1"/>
    </xf>
    <xf numFmtId="1" fontId="7" fillId="0" borderId="0" xfId="0" applyNumberFormat="1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Border="1" applyAlignment="1">
      <alignment horizontal="center" vertical="center" wrapText="1" shrinkToFit="1"/>
    </xf>
    <xf numFmtId="43" fontId="7" fillId="0" borderId="0" xfId="1" applyFont="1" applyFill="1" applyBorder="1" applyAlignment="1">
      <alignment horizontal="center" vertical="center" wrapText="1" shrinkToFit="1"/>
    </xf>
    <xf numFmtId="164" fontId="12" fillId="0" borderId="0" xfId="0" applyNumberFormat="1" applyFont="1" applyFill="1" applyBorder="1" applyAlignment="1">
      <alignment horizontal="center" vertical="center" wrapText="1" shrinkToFit="1"/>
    </xf>
    <xf numFmtId="164" fontId="8" fillId="0" borderId="0" xfId="0" applyNumberFormat="1" applyFont="1" applyFill="1" applyBorder="1" applyAlignment="1">
      <alignment horizontal="center" vertical="center" wrapText="1" shrinkToFit="1"/>
    </xf>
    <xf numFmtId="1" fontId="13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vertical="center"/>
    </xf>
    <xf numFmtId="4" fontId="13" fillId="3" borderId="0" xfId="0" applyNumberFormat="1" applyFont="1" applyFill="1" applyBorder="1" applyAlignment="1">
      <alignment vertical="center"/>
    </xf>
    <xf numFmtId="4" fontId="13" fillId="3" borderId="0" xfId="1" applyNumberFormat="1" applyFont="1" applyFill="1" applyBorder="1" applyAlignment="1">
      <alignment vertical="center"/>
    </xf>
    <xf numFmtId="4" fontId="15" fillId="3" borderId="0" xfId="0" applyNumberFormat="1" applyFont="1" applyFill="1" applyBorder="1" applyAlignment="1">
      <alignment vertical="center"/>
    </xf>
    <xf numFmtId="44" fontId="16" fillId="3" borderId="0" xfId="2" applyFont="1" applyFill="1" applyBorder="1" applyAlignment="1">
      <alignment vertical="center"/>
    </xf>
    <xf numFmtId="0" fontId="2" fillId="3" borderId="0" xfId="0" applyFont="1" applyFill="1" applyAlignment="1">
      <alignment horizontal="right"/>
    </xf>
    <xf numFmtId="0" fontId="0" fillId="3" borderId="0" xfId="0" applyFill="1"/>
    <xf numFmtId="164" fontId="13" fillId="3" borderId="0" xfId="0" applyNumberFormat="1" applyFont="1" applyFill="1" applyBorder="1"/>
    <xf numFmtId="1" fontId="13" fillId="4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vertical="center"/>
    </xf>
    <xf numFmtId="4" fontId="13" fillId="4" borderId="0" xfId="0" applyNumberFormat="1" applyFont="1" applyFill="1" applyBorder="1" applyAlignment="1">
      <alignment vertical="center"/>
    </xf>
    <xf numFmtId="4" fontId="13" fillId="4" borderId="0" xfId="1" applyNumberFormat="1" applyFont="1" applyFill="1" applyBorder="1" applyAlignment="1">
      <alignment vertical="center"/>
    </xf>
    <xf numFmtId="4" fontId="15" fillId="4" borderId="0" xfId="0" applyNumberFormat="1" applyFont="1" applyFill="1" applyBorder="1" applyAlignment="1">
      <alignment vertical="center"/>
    </xf>
    <xf numFmtId="44" fontId="16" fillId="4" borderId="0" xfId="2" applyFont="1" applyFill="1" applyBorder="1" applyAlignment="1">
      <alignment vertical="center"/>
    </xf>
    <xf numFmtId="0" fontId="0" fillId="4" borderId="0" xfId="0" applyFill="1" applyAlignment="1">
      <alignment horizontal="right"/>
    </xf>
    <xf numFmtId="0" fontId="0" fillId="4" borderId="0" xfId="0" applyFill="1"/>
    <xf numFmtId="164" fontId="13" fillId="4" borderId="0" xfId="0" applyNumberFormat="1" applyFont="1" applyFill="1" applyBorder="1"/>
    <xf numFmtId="0" fontId="0" fillId="3" borderId="0" xfId="0" applyFill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0" xfId="0" applyFill="1" applyBorder="1"/>
    <xf numFmtId="164" fontId="13" fillId="4" borderId="0" xfId="0" applyNumberFormat="1" applyFont="1" applyFill="1" applyBorder="1" applyAlignment="1">
      <alignment vertical="center"/>
    </xf>
    <xf numFmtId="164" fontId="13" fillId="3" borderId="0" xfId="0" applyNumberFormat="1" applyFont="1" applyFill="1" applyBorder="1" applyAlignment="1">
      <alignment vertical="center"/>
    </xf>
    <xf numFmtId="4" fontId="13" fillId="4" borderId="0" xfId="0" quotePrefix="1" applyNumberFormat="1" applyFont="1" applyFill="1" applyBorder="1" applyAlignment="1">
      <alignment vertical="center"/>
    </xf>
    <xf numFmtId="165" fontId="16" fillId="0" borderId="0" xfId="2" applyNumberFormat="1" applyFont="1" applyFill="1" applyBorder="1" applyAlignment="1">
      <alignment horizontal="left"/>
    </xf>
    <xf numFmtId="165" fontId="16" fillId="0" borderId="0" xfId="2" applyNumberFormat="1" applyFont="1" applyFill="1" applyBorder="1" applyAlignment="1">
      <alignment horizontal="center"/>
    </xf>
    <xf numFmtId="44" fontId="16" fillId="0" borderId="16" xfId="2" applyFont="1" applyFill="1" applyBorder="1"/>
    <xf numFmtId="164" fontId="16" fillId="0" borderId="0" xfId="0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164" fontId="15" fillId="0" borderId="0" xfId="0" applyNumberFormat="1" applyFont="1" applyFill="1" applyBorder="1"/>
    <xf numFmtId="164" fontId="13" fillId="0" borderId="0" xfId="0" applyNumberFormat="1" applyFont="1" applyFill="1" applyBorder="1"/>
    <xf numFmtId="43" fontId="13" fillId="0" borderId="0" xfId="1" applyFont="1" applyFill="1" applyBorder="1"/>
    <xf numFmtId="164" fontId="18" fillId="0" borderId="0" xfId="0" applyNumberFormat="1" applyFont="1" applyFill="1" applyBorder="1" applyAlignment="1">
      <alignment horizontal="right"/>
    </xf>
    <xf numFmtId="0" fontId="18" fillId="0" borderId="0" xfId="3" applyFont="1" applyFill="1" applyAlignment="1">
      <alignment horizontal="right"/>
    </xf>
    <xf numFmtId="0" fontId="18" fillId="0" borderId="0" xfId="3" applyFont="1" applyFill="1"/>
    <xf numFmtId="164" fontId="15" fillId="0" borderId="0" xfId="0" applyNumberFormat="1" applyFont="1" applyFill="1" applyBorder="1" applyAlignment="1"/>
    <xf numFmtId="164" fontId="18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8" fillId="0" borderId="0" xfId="3" applyFont="1" applyFill="1" applyBorder="1" applyAlignment="1">
      <alignment horizontal="right"/>
    </xf>
    <xf numFmtId="0" fontId="18" fillId="0" borderId="0" xfId="3" applyFont="1" applyFill="1" applyBorder="1"/>
    <xf numFmtId="1" fontId="13" fillId="0" borderId="0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right"/>
    </xf>
    <xf numFmtId="44" fontId="16" fillId="0" borderId="0" xfId="2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165" fontId="16" fillId="0" borderId="0" xfId="2" applyNumberFormat="1" applyFont="1" applyFill="1" applyBorder="1" applyAlignment="1">
      <alignment wrapText="1"/>
    </xf>
    <xf numFmtId="44" fontId="3" fillId="0" borderId="0" xfId="0" applyNumberFormat="1" applyFont="1" applyFill="1" applyBorder="1"/>
    <xf numFmtId="0" fontId="0" fillId="0" borderId="0" xfId="0" applyBorder="1"/>
    <xf numFmtId="0" fontId="18" fillId="0" borderId="0" xfId="3" applyFont="1"/>
    <xf numFmtId="0" fontId="17" fillId="0" borderId="0" xfId="3" applyFill="1"/>
    <xf numFmtId="0" fontId="17" fillId="5" borderId="0" xfId="3" applyFill="1"/>
    <xf numFmtId="0" fontId="18" fillId="5" borderId="0" xfId="3" applyFont="1" applyFill="1"/>
    <xf numFmtId="0" fontId="18" fillId="4" borderId="0" xfId="3" applyFont="1" applyFill="1" applyAlignment="1">
      <alignment horizontal="right"/>
    </xf>
    <xf numFmtId="0" fontId="18" fillId="4" borderId="0" xfId="3" applyFont="1" applyFill="1"/>
    <xf numFmtId="4" fontId="13" fillId="3" borderId="0" xfId="0" quotePrefix="1" applyNumberFormat="1" applyFont="1" applyFill="1" applyBorder="1" applyAlignment="1">
      <alignment vertical="center"/>
    </xf>
    <xf numFmtId="43" fontId="0" fillId="0" borderId="0" xfId="0" applyNumberFormat="1" applyFill="1" applyBorder="1" applyAlignment="1">
      <alignment horizontal="right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" fontId="13" fillId="6" borderId="0" xfId="0" applyNumberFormat="1" applyFont="1" applyFill="1" applyBorder="1" applyAlignment="1">
      <alignment horizontal="center" vertical="center"/>
    </xf>
    <xf numFmtId="164" fontId="14" fillId="6" borderId="0" xfId="0" applyNumberFormat="1" applyFont="1" applyFill="1" applyBorder="1" applyAlignment="1">
      <alignment vertical="center"/>
    </xf>
    <xf numFmtId="4" fontId="13" fillId="6" borderId="0" xfId="0" applyNumberFormat="1" applyFont="1" applyFill="1" applyBorder="1" applyAlignment="1">
      <alignment vertical="center"/>
    </xf>
    <xf numFmtId="4" fontId="13" fillId="6" borderId="0" xfId="1" applyNumberFormat="1" applyFont="1" applyFill="1" applyBorder="1" applyAlignment="1">
      <alignment vertical="center"/>
    </xf>
    <xf numFmtId="4" fontId="15" fillId="6" borderId="0" xfId="0" applyNumberFormat="1" applyFont="1" applyFill="1" applyBorder="1" applyAlignment="1">
      <alignment vertical="center"/>
    </xf>
    <xf numFmtId="44" fontId="16" fillId="6" borderId="0" xfId="2" applyFont="1" applyFill="1" applyBorder="1" applyAlignment="1">
      <alignment vertical="center"/>
    </xf>
    <xf numFmtId="0" fontId="0" fillId="6" borderId="0" xfId="0" applyFill="1"/>
    <xf numFmtId="164" fontId="13" fillId="6" borderId="0" xfId="0" applyNumberFormat="1" applyFont="1" applyFill="1" applyBorder="1"/>
    <xf numFmtId="0" fontId="0" fillId="6" borderId="0" xfId="0" applyFill="1" applyAlignment="1">
      <alignment horizontal="right"/>
    </xf>
    <xf numFmtId="4" fontId="13" fillId="6" borderId="0" xfId="0" quotePrefix="1" applyNumberFormat="1" applyFont="1" applyFill="1" applyBorder="1" applyAlignment="1">
      <alignment vertical="center"/>
    </xf>
    <xf numFmtId="0" fontId="18" fillId="3" borderId="0" xfId="3" applyFont="1" applyFill="1" applyAlignment="1">
      <alignment horizontal="right"/>
    </xf>
    <xf numFmtId="0" fontId="18" fillId="3" borderId="0" xfId="3" applyFont="1" applyFill="1"/>
    <xf numFmtId="0" fontId="2" fillId="4" borderId="0" xfId="0" applyFont="1" applyFill="1" applyAlignment="1">
      <alignment horizontal="right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" fontId="9" fillId="2" borderId="4" xfId="0" applyNumberFormat="1" applyFont="1" applyFill="1" applyBorder="1" applyAlignment="1">
      <alignment horizontal="center" vertical="center" wrapText="1" shrinkToFit="1"/>
    </xf>
    <xf numFmtId="1" fontId="9" fillId="2" borderId="10" xfId="0" applyNumberFormat="1" applyFont="1" applyFill="1" applyBorder="1" applyAlignment="1">
      <alignment horizontal="center" vertical="center" wrapText="1" shrinkToFit="1"/>
    </xf>
    <xf numFmtId="164" fontId="9" fillId="2" borderId="1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2" borderId="3" xfId="0" applyFont="1" applyFill="1" applyBorder="1"/>
    <xf numFmtId="164" fontId="10" fillId="2" borderId="2" xfId="0" applyNumberFormat="1" applyFont="1" applyFill="1" applyBorder="1" applyAlignment="1">
      <alignment horizontal="center"/>
    </xf>
    <xf numFmtId="164" fontId="10" fillId="2" borderId="4" xfId="0" applyNumberFormat="1" applyFont="1" applyFill="1" applyBorder="1" applyAlignment="1">
      <alignment horizontal="center" vertical="center" wrapText="1" shrinkToFit="1"/>
    </xf>
    <xf numFmtId="164" fontId="10" fillId="2" borderId="10" xfId="0" applyNumberFormat="1" applyFont="1" applyFill="1" applyBorder="1" applyAlignment="1">
      <alignment horizontal="center" vertical="center" wrapText="1" shrinkToFit="1"/>
    </xf>
    <xf numFmtId="164" fontId="10" fillId="2" borderId="15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8" xfId="0" applyNumberFormat="1" applyFont="1" applyFill="1" applyBorder="1" applyAlignment="1">
      <alignment horizontal="center" vertical="center" wrapText="1" shrinkToFit="1"/>
    </xf>
    <xf numFmtId="164" fontId="9" fillId="2" borderId="13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left" vertical="top" wrapText="1"/>
    </xf>
    <xf numFmtId="43" fontId="9" fillId="2" borderId="6" xfId="1" applyFont="1" applyFill="1" applyBorder="1" applyAlignment="1">
      <alignment horizontal="center" vertical="center" wrapText="1" shrinkToFit="1"/>
    </xf>
    <xf numFmtId="43" fontId="9" fillId="2" borderId="12" xfId="1" applyFont="1" applyFill="1" applyBorder="1" applyAlignment="1">
      <alignment horizontal="center" vertical="center" wrapText="1" shrinkToFit="1"/>
    </xf>
    <xf numFmtId="43" fontId="9" fillId="2" borderId="7" xfId="1" applyFont="1" applyFill="1" applyBorder="1" applyAlignment="1">
      <alignment horizontal="center" vertical="center" wrapText="1" shrinkToFit="1"/>
    </xf>
    <xf numFmtId="164" fontId="11" fillId="2" borderId="7" xfId="0" applyNumberFormat="1" applyFont="1" applyFill="1" applyBorder="1" applyAlignment="1">
      <alignment horizontal="center" vertical="center" wrapText="1" shrinkToFit="1"/>
    </xf>
    <xf numFmtId="164" fontId="11" fillId="2" borderId="12" xfId="0" applyNumberFormat="1" applyFont="1" applyFill="1" applyBorder="1" applyAlignment="1">
      <alignment horizontal="center" vertical="center" wrapText="1" shrinkToFit="1"/>
    </xf>
    <xf numFmtId="164" fontId="10" fillId="2" borderId="3" xfId="0" applyNumberFormat="1" applyFont="1" applyFill="1" applyBorder="1" applyAlignment="1">
      <alignment horizontal="center"/>
    </xf>
    <xf numFmtId="164" fontId="9" fillId="2" borderId="17" xfId="0" applyNumberFormat="1" applyFont="1" applyFill="1" applyBorder="1" applyAlignment="1">
      <alignment horizontal="center" vertical="center" wrapText="1" shrinkToFit="1"/>
    </xf>
    <xf numFmtId="164" fontId="11" fillId="2" borderId="6" xfId="0" applyNumberFormat="1" applyFont="1" applyFill="1" applyBorder="1" applyAlignment="1">
      <alignment horizontal="center" vertical="center" wrapText="1" shrinkToFit="1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18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20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22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24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7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8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9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62000" cy="1142999"/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62000" cy="1142999"/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6"/>
  <sheetViews>
    <sheetView topLeftCell="A16" workbookViewId="0">
      <selection activeCell="E38" sqref="A38:XFD38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85</v>
      </c>
      <c r="I2" s="6" t="s">
        <v>86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82"/>
      <c r="D7" s="82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86" t="s">
        <v>9</v>
      </c>
      <c r="D8" s="86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84" t="s">
        <v>83</v>
      </c>
      <c r="O8" s="84" t="s">
        <v>18</v>
      </c>
      <c r="P8" s="125" t="s">
        <v>19</v>
      </c>
      <c r="Q8" s="84" t="s">
        <v>20</v>
      </c>
      <c r="R8" s="84" t="s">
        <v>21</v>
      </c>
      <c r="S8" s="84"/>
      <c r="T8" s="84"/>
      <c r="U8" s="84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85"/>
      <c r="D9" s="85"/>
      <c r="E9" s="126"/>
      <c r="F9" s="126"/>
      <c r="G9" s="126"/>
      <c r="H9" s="144"/>
      <c r="I9" s="144"/>
      <c r="J9" s="147"/>
      <c r="K9" s="126"/>
      <c r="L9" s="126"/>
      <c r="M9" s="126"/>
      <c r="N9" s="85"/>
      <c r="O9" s="85" t="s">
        <v>25</v>
      </c>
      <c r="P9" s="126"/>
      <c r="Q9" s="85" t="s">
        <v>26</v>
      </c>
      <c r="R9" s="85" t="s">
        <v>27</v>
      </c>
      <c r="S9" s="85"/>
      <c r="T9" s="85"/>
      <c r="U9" s="85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146.08000000000001</v>
      </c>
      <c r="K11" s="26">
        <v>0</v>
      </c>
      <c r="L11" s="26">
        <v>0</v>
      </c>
      <c r="M11" s="26">
        <v>0</v>
      </c>
      <c r="N11" s="26"/>
      <c r="O11" s="28">
        <f>SUM(E11:M11)</f>
        <v>7793.43</v>
      </c>
      <c r="P11" s="26">
        <f>995.26+0.01</f>
        <v>995.27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3" si="0">SUM(P11:V11)</f>
        <v>4013.4327499999999</v>
      </c>
      <c r="X11" s="29">
        <f t="shared" ref="X11:X22" si="1">+O11-W11</f>
        <v>3779.9972500000003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1416.49+0.12</f>
        <v>1416.61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4406.3559999999998</v>
      </c>
      <c r="X12" s="38">
        <f t="shared" si="1"/>
        <v>5322.6039999999994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1054.75-0.13</f>
        <v>1054.6199999999999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3589.06</v>
      </c>
      <c r="V13" s="26">
        <v>0</v>
      </c>
      <c r="W13" s="28">
        <f t="shared" si="0"/>
        <v>5446.7809999999999</v>
      </c>
      <c r="X13" s="29">
        <f t="shared" si="1"/>
        <v>2625.1989999999996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3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922.86-0.06</f>
        <v>922.80000000000007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2867.13</v>
      </c>
      <c r="V15" s="26">
        <v>0</v>
      </c>
      <c r="W15" s="28">
        <f t="shared" si="0"/>
        <v>4531.9560000000001</v>
      </c>
      <c r="X15" s="29">
        <f t="shared" si="1"/>
        <v>2886.0039999999999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1054.75+0.02</f>
        <v>1054.77</v>
      </c>
      <c r="Q16" s="35">
        <v>803.09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347.06+0.08</f>
        <v>347.14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788.79174999999998</v>
      </c>
      <c r="X17" s="29">
        <f t="shared" si="1"/>
        <v>3574.1982499999999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73.040000000000006</v>
      </c>
      <c r="K19" s="26">
        <v>0</v>
      </c>
      <c r="L19" s="26">
        <v>0</v>
      </c>
      <c r="M19" s="26">
        <v>0</v>
      </c>
      <c r="N19" s="26"/>
      <c r="O19" s="28">
        <f t="shared" si="2"/>
        <v>5408.44</v>
      </c>
      <c r="P19" s="26">
        <f>521.74-0.13</f>
        <v>521.61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1066.6410000000001</v>
      </c>
      <c r="X19" s="29">
        <f t="shared" si="1"/>
        <v>4341.7989999999991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922.86-0.04</f>
        <v>922.82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3079.99</v>
      </c>
      <c r="V20" s="35">
        <v>0</v>
      </c>
      <c r="W20" s="37">
        <f t="shared" si="0"/>
        <v>4744.8359999999993</v>
      </c>
      <c r="X20" s="38">
        <f t="shared" si="1"/>
        <v>2636.6040000000003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32" customFormat="1" ht="21" customHeight="1">
      <c r="A21" s="24">
        <v>63</v>
      </c>
      <c r="B21" s="25" t="s">
        <v>49</v>
      </c>
      <c r="C21" s="25" t="s">
        <v>34</v>
      </c>
      <c r="D21" s="25" t="s">
        <v>77</v>
      </c>
      <c r="E21" s="26">
        <v>6816.3</v>
      </c>
      <c r="F21" s="26">
        <v>0</v>
      </c>
      <c r="G21" s="26">
        <v>0</v>
      </c>
      <c r="H21" s="27">
        <v>339.5</v>
      </c>
      <c r="I21" s="27">
        <v>546.5</v>
      </c>
      <c r="J21" s="26">
        <v>73.040000000000006</v>
      </c>
      <c r="K21" s="26">
        <v>0</v>
      </c>
      <c r="L21" s="26">
        <v>0</v>
      </c>
      <c r="M21" s="26">
        <v>0</v>
      </c>
      <c r="N21" s="26"/>
      <c r="O21" s="28">
        <f t="shared" si="2"/>
        <v>7775.34</v>
      </c>
      <c r="P21" s="26">
        <f>1006.99-0.06</f>
        <v>1006.9300000000001</v>
      </c>
      <c r="Q21" s="26">
        <f>+E21*0.115</f>
        <v>783.87450000000001</v>
      </c>
      <c r="R21" s="26">
        <v>0</v>
      </c>
      <c r="S21" s="26">
        <v>0</v>
      </c>
      <c r="T21" s="26">
        <v>0</v>
      </c>
      <c r="U21" s="26">
        <v>3439.54</v>
      </c>
      <c r="V21" s="26">
        <v>0</v>
      </c>
      <c r="W21" s="28">
        <f t="shared" si="0"/>
        <v>5230.3445000000002</v>
      </c>
      <c r="X21" s="29">
        <f t="shared" si="1"/>
        <v>2544.9955</v>
      </c>
      <c r="Y21" s="24">
        <v>12</v>
      </c>
      <c r="Z21" s="24"/>
      <c r="AA21" s="24">
        <v>11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</row>
    <row r="22" spans="1:215" s="41" customFormat="1" ht="21" customHeight="1">
      <c r="A22" s="33">
        <v>64</v>
      </c>
      <c r="B22" s="34" t="s">
        <v>50</v>
      </c>
      <c r="C22" s="34" t="s">
        <v>51</v>
      </c>
      <c r="D22" s="34" t="s">
        <v>76</v>
      </c>
      <c r="E22" s="35">
        <v>6983.4</v>
      </c>
      <c r="F22" s="35">
        <v>0</v>
      </c>
      <c r="G22" s="35">
        <v>0</v>
      </c>
      <c r="H22" s="36">
        <v>361</v>
      </c>
      <c r="I22" s="36">
        <v>581.5</v>
      </c>
      <c r="J22" s="35">
        <v>109.56</v>
      </c>
      <c r="K22" s="35">
        <v>0</v>
      </c>
      <c r="L22" s="35">
        <v>0</v>
      </c>
      <c r="M22" s="35">
        <v>0</v>
      </c>
      <c r="N22" s="35"/>
      <c r="O22" s="37">
        <f t="shared" si="2"/>
        <v>8035.46</v>
      </c>
      <c r="P22" s="35">
        <f>1054.75-0.06</f>
        <v>1054.69</v>
      </c>
      <c r="Q22" s="35">
        <f>+E22*0.115+0.01</f>
        <v>803.101</v>
      </c>
      <c r="R22" s="35">
        <v>0</v>
      </c>
      <c r="S22" s="35">
        <v>0</v>
      </c>
      <c r="T22" s="35">
        <v>0</v>
      </c>
      <c r="U22" s="35">
        <v>3417.27</v>
      </c>
      <c r="V22" s="35">
        <v>0</v>
      </c>
      <c r="W22" s="37">
        <f t="shared" si="0"/>
        <v>5275.0609999999997</v>
      </c>
      <c r="X22" s="38">
        <f t="shared" si="1"/>
        <v>2760.3990000000003</v>
      </c>
      <c r="Y22" s="33">
        <v>13</v>
      </c>
      <c r="Z22" s="33"/>
      <c r="AA22" s="33">
        <v>14</v>
      </c>
      <c r="AB22" s="78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</row>
    <row r="23" spans="1:215" s="32" customFormat="1" ht="21" customHeight="1">
      <c r="A23" s="24">
        <v>79</v>
      </c>
      <c r="B23" s="25" t="s">
        <v>52</v>
      </c>
      <c r="C23" s="25" t="s">
        <v>51</v>
      </c>
      <c r="D23" s="25" t="s">
        <v>76</v>
      </c>
      <c r="E23" s="26">
        <v>6268.5</v>
      </c>
      <c r="F23" s="26">
        <v>0</v>
      </c>
      <c r="G23" s="26">
        <v>0</v>
      </c>
      <c r="H23" s="27">
        <v>330.5</v>
      </c>
      <c r="I23" s="27">
        <v>478.5</v>
      </c>
      <c r="J23" s="26">
        <v>146.08000000000001</v>
      </c>
      <c r="K23" s="26">
        <v>0</v>
      </c>
      <c r="L23" s="26">
        <v>0</v>
      </c>
      <c r="M23" s="26">
        <v>0</v>
      </c>
      <c r="N23" s="26"/>
      <c r="O23" s="28">
        <f t="shared" si="2"/>
        <v>7223.58</v>
      </c>
      <c r="P23" s="26">
        <f>873.54-0.04</f>
        <v>873.5</v>
      </c>
      <c r="Q23" s="26">
        <v>720.88</v>
      </c>
      <c r="R23" s="26">
        <v>0</v>
      </c>
      <c r="S23" s="26">
        <v>0</v>
      </c>
      <c r="T23" s="26">
        <v>0</v>
      </c>
      <c r="U23" s="26">
        <v>2090</v>
      </c>
      <c r="V23" s="26">
        <v>0</v>
      </c>
      <c r="W23" s="28">
        <f t="shared" si="0"/>
        <v>3684.38</v>
      </c>
      <c r="X23" s="29">
        <f>+O23-W23</f>
        <v>3539.2</v>
      </c>
      <c r="Y23" s="24">
        <v>14</v>
      </c>
      <c r="Z23" s="24"/>
      <c r="AA23" s="24">
        <v>9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</row>
    <row r="24" spans="1:215" s="41" customFormat="1" ht="21" customHeight="1">
      <c r="A24" s="33">
        <v>92</v>
      </c>
      <c r="B24" s="34" t="s">
        <v>53</v>
      </c>
      <c r="C24" s="34" t="s">
        <v>42</v>
      </c>
      <c r="D24" s="34" t="s">
        <v>79</v>
      </c>
      <c r="E24" s="35">
        <v>4739.3999999999996</v>
      </c>
      <c r="F24" s="35">
        <v>0</v>
      </c>
      <c r="G24" s="35">
        <v>0</v>
      </c>
      <c r="H24" s="36">
        <v>227.5</v>
      </c>
      <c r="I24" s="36">
        <v>368.5</v>
      </c>
      <c r="J24" s="35">
        <v>80.040000000000006</v>
      </c>
      <c r="K24" s="35">
        <v>0</v>
      </c>
      <c r="L24" s="35">
        <v>0</v>
      </c>
      <c r="M24" s="35">
        <v>0</v>
      </c>
      <c r="N24" s="35"/>
      <c r="O24" s="37">
        <f>SUM(E24:M24)</f>
        <v>5415.44</v>
      </c>
      <c r="P24" s="35">
        <f>521.74+0.07</f>
        <v>521.81000000000006</v>
      </c>
      <c r="Q24" s="35">
        <f>+E24*0.115</f>
        <v>545.03099999999995</v>
      </c>
      <c r="R24" s="35">
        <v>0</v>
      </c>
      <c r="S24" s="35">
        <v>0</v>
      </c>
      <c r="T24" s="35">
        <v>0</v>
      </c>
      <c r="U24" s="35">
        <v>1564</v>
      </c>
      <c r="V24" s="35">
        <v>0</v>
      </c>
      <c r="W24" s="37">
        <f>SUM(P24:V24)</f>
        <v>2630.8409999999999</v>
      </c>
      <c r="X24" s="38">
        <f>+O24-W24</f>
        <v>2784.5989999999997</v>
      </c>
      <c r="Y24" s="33">
        <v>16</v>
      </c>
      <c r="Z24" s="33"/>
      <c r="AA24" s="33">
        <v>2</v>
      </c>
      <c r="AB24" s="78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</row>
    <row r="25" spans="1:215" s="32" customFormat="1" ht="20.25" customHeight="1">
      <c r="A25" s="24">
        <v>96</v>
      </c>
      <c r="B25" s="25" t="s">
        <v>54</v>
      </c>
      <c r="C25" s="25" t="s">
        <v>55</v>
      </c>
      <c r="D25" s="25" t="s">
        <v>78</v>
      </c>
      <c r="E25" s="26">
        <v>38469</v>
      </c>
      <c r="F25" s="26">
        <v>0</v>
      </c>
      <c r="G25" s="26">
        <v>0</v>
      </c>
      <c r="H25" s="27">
        <v>0</v>
      </c>
      <c r="I25" s="27">
        <v>0</v>
      </c>
      <c r="J25" s="26">
        <v>0</v>
      </c>
      <c r="K25" s="26">
        <v>0</v>
      </c>
      <c r="L25" s="26">
        <v>0</v>
      </c>
      <c r="M25" s="26">
        <v>0</v>
      </c>
      <c r="N25" s="26"/>
      <c r="O25" s="28">
        <f>SUM(E25:M25)</f>
        <v>38469</v>
      </c>
      <c r="P25" s="26">
        <f>9473.74-0.08</f>
        <v>9473.66</v>
      </c>
      <c r="Q25" s="26">
        <f>+E25*0.115</f>
        <v>4423.9350000000004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8">
        <f>SUM(P25:V25)</f>
        <v>13897.595000000001</v>
      </c>
      <c r="X25" s="29">
        <f>+O25-W25-0.01</f>
        <v>24571.395</v>
      </c>
      <c r="Y25" s="24">
        <v>17</v>
      </c>
      <c r="Z25" s="24"/>
      <c r="AA25" s="24">
        <v>30</v>
      </c>
      <c r="AB25" s="42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</row>
    <row r="26" spans="1:215" s="41" customFormat="1" ht="20.25" customHeight="1">
      <c r="A26" s="33">
        <v>99</v>
      </c>
      <c r="B26" s="34" t="s">
        <v>56</v>
      </c>
      <c r="C26" s="34" t="s">
        <v>66</v>
      </c>
      <c r="D26" s="34" t="s">
        <v>78</v>
      </c>
      <c r="E26" s="35">
        <v>13813.5</v>
      </c>
      <c r="F26" s="35">
        <v>0</v>
      </c>
      <c r="G26" s="35">
        <v>0</v>
      </c>
      <c r="H26" s="36">
        <v>559.5</v>
      </c>
      <c r="I26" s="36">
        <v>832</v>
      </c>
      <c r="J26" s="35">
        <v>0</v>
      </c>
      <c r="K26" s="35">
        <v>0</v>
      </c>
      <c r="L26" s="35">
        <v>0</v>
      </c>
      <c r="M26" s="35">
        <v>0</v>
      </c>
      <c r="N26" s="35"/>
      <c r="O26" s="37">
        <f>SUM(E26:M26)</f>
        <v>15205</v>
      </c>
      <c r="P26" s="35">
        <f>2679.84+0.01</f>
        <v>2679.8500000000004</v>
      </c>
      <c r="Q26" s="35">
        <f>+E26*0.115</f>
        <v>1588.5525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7">
        <f>SUM(P26:V26)</f>
        <v>4268.4025000000001</v>
      </c>
      <c r="X26" s="38">
        <f>+O26-W26</f>
        <v>10936.5975</v>
      </c>
      <c r="Y26" s="33">
        <v>19</v>
      </c>
      <c r="Z26" s="33"/>
      <c r="AA26" s="33">
        <v>20</v>
      </c>
      <c r="AB26" s="3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</row>
    <row r="27" spans="1:215" s="32" customFormat="1" ht="20.25" customHeight="1">
      <c r="A27" s="24">
        <v>100</v>
      </c>
      <c r="B27" s="25" t="s">
        <v>57</v>
      </c>
      <c r="C27" s="25" t="s">
        <v>58</v>
      </c>
      <c r="D27" s="25" t="s">
        <v>80</v>
      </c>
      <c r="E27" s="26">
        <v>13813.5</v>
      </c>
      <c r="F27" s="26">
        <v>0</v>
      </c>
      <c r="G27" s="26">
        <v>0</v>
      </c>
      <c r="H27" s="27">
        <v>559.5</v>
      </c>
      <c r="I27" s="27">
        <v>832</v>
      </c>
      <c r="J27" s="26">
        <v>0</v>
      </c>
      <c r="K27" s="26">
        <v>0</v>
      </c>
      <c r="L27" s="26">
        <v>0</v>
      </c>
      <c r="M27" s="26">
        <v>0</v>
      </c>
      <c r="N27" s="26"/>
      <c r="O27" s="28">
        <f>SUM(E27:M27)</f>
        <v>15205</v>
      </c>
      <c r="P27" s="26">
        <f>2679.84</f>
        <v>2679.84</v>
      </c>
      <c r="Q27" s="26">
        <f>+E27*0.115</f>
        <v>1588.5525</v>
      </c>
      <c r="R27" s="26">
        <v>0</v>
      </c>
      <c r="S27" s="26">
        <v>0</v>
      </c>
      <c r="T27" s="26">
        <v>0</v>
      </c>
      <c r="U27" s="26">
        <v>6435.81</v>
      </c>
      <c r="V27" s="26">
        <v>0</v>
      </c>
      <c r="W27" s="28">
        <f>SUM(P27:V27)</f>
        <v>10704.202499999999</v>
      </c>
      <c r="X27" s="29">
        <f>+O27-W27</f>
        <v>4500.7975000000006</v>
      </c>
      <c r="Y27" s="24">
        <v>20</v>
      </c>
      <c r="Z27" s="24"/>
      <c r="AA27" s="24">
        <v>20</v>
      </c>
      <c r="AB27" s="42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</row>
    <row r="28" spans="1:215" s="41" customFormat="1" ht="20.25" customHeight="1">
      <c r="A28" s="33">
        <v>101</v>
      </c>
      <c r="B28" s="34" t="s">
        <v>59</v>
      </c>
      <c r="C28" s="34" t="s">
        <v>67</v>
      </c>
      <c r="D28" s="34" t="s">
        <v>77</v>
      </c>
      <c r="E28" s="35">
        <v>8606.4</v>
      </c>
      <c r="F28" s="35">
        <v>0</v>
      </c>
      <c r="G28" s="35">
        <v>0</v>
      </c>
      <c r="H28" s="36">
        <v>389.5</v>
      </c>
      <c r="I28" s="36">
        <v>623.5</v>
      </c>
      <c r="J28" s="35">
        <v>0</v>
      </c>
      <c r="K28" s="35">
        <v>0</v>
      </c>
      <c r="L28" s="35">
        <v>0</v>
      </c>
      <c r="M28" s="35">
        <v>0</v>
      </c>
      <c r="N28" s="35"/>
      <c r="O28" s="37">
        <f t="shared" ref="O28:O34" si="3">SUM(E28:M28)</f>
        <v>9619.4</v>
      </c>
      <c r="P28" s="35">
        <f>1416.49-0.04</f>
        <v>1416.45</v>
      </c>
      <c r="Q28" s="35">
        <f>989.75</f>
        <v>989.75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7">
        <f t="shared" ref="W28:W37" si="4">SUM(P28:V28)</f>
        <v>2406.1999999999998</v>
      </c>
      <c r="X28" s="38">
        <f t="shared" ref="X28:X37" si="5">+O28-W28</f>
        <v>7213.2</v>
      </c>
      <c r="Y28" s="33">
        <v>21</v>
      </c>
      <c r="Z28" s="33"/>
      <c r="AA28" s="33">
        <v>16</v>
      </c>
      <c r="AB28" s="3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</row>
    <row r="29" spans="1:215" s="32" customFormat="1" ht="20.25" customHeight="1">
      <c r="A29" s="24">
        <v>104</v>
      </c>
      <c r="B29" s="25" t="s">
        <v>60</v>
      </c>
      <c r="C29" s="25" t="s">
        <v>69</v>
      </c>
      <c r="D29" s="25" t="s">
        <v>78</v>
      </c>
      <c r="E29" s="26">
        <v>6983.4</v>
      </c>
      <c r="F29" s="26">
        <v>0</v>
      </c>
      <c r="G29" s="26">
        <v>0</v>
      </c>
      <c r="H29" s="27">
        <v>581.5</v>
      </c>
      <c r="I29" s="27">
        <v>361</v>
      </c>
      <c r="J29" s="26">
        <v>0</v>
      </c>
      <c r="K29" s="26">
        <v>0</v>
      </c>
      <c r="L29" s="26">
        <v>0</v>
      </c>
      <c r="M29" s="26">
        <v>0</v>
      </c>
      <c r="N29" s="26"/>
      <c r="O29" s="28">
        <f t="shared" si="3"/>
        <v>7925.9</v>
      </c>
      <c r="P29" s="26">
        <f>1054.75+0.06</f>
        <v>1054.81</v>
      </c>
      <c r="Q29" s="26">
        <f>+E29*0.115</f>
        <v>803.09100000000001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8">
        <f t="shared" si="4"/>
        <v>1857.9009999999998</v>
      </c>
      <c r="X29" s="29">
        <f t="shared" si="5"/>
        <v>6067.9989999999998</v>
      </c>
      <c r="Y29" s="24">
        <v>22</v>
      </c>
      <c r="Z29" s="24"/>
      <c r="AA29" s="24">
        <v>14</v>
      </c>
      <c r="AB29" s="42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</row>
    <row r="30" spans="1:215" s="41" customFormat="1" ht="20.25" customHeight="1">
      <c r="A30" s="33">
        <v>105</v>
      </c>
      <c r="B30" s="34" t="s">
        <v>61</v>
      </c>
      <c r="C30" s="34" t="s">
        <v>42</v>
      </c>
      <c r="D30" s="34" t="s">
        <v>77</v>
      </c>
      <c r="E30" s="35">
        <v>3840.45</v>
      </c>
      <c r="F30" s="35">
        <v>0</v>
      </c>
      <c r="G30" s="35">
        <v>0</v>
      </c>
      <c r="H30" s="36">
        <v>277.98</v>
      </c>
      <c r="I30" s="36">
        <v>171.48</v>
      </c>
      <c r="J30" s="35">
        <v>0</v>
      </c>
      <c r="K30" s="35">
        <v>0</v>
      </c>
      <c r="L30" s="35">
        <v>0</v>
      </c>
      <c r="M30" s="35">
        <v>0</v>
      </c>
      <c r="N30" s="35"/>
      <c r="O30" s="37">
        <f t="shared" si="3"/>
        <v>4289.91</v>
      </c>
      <c r="P30" s="35">
        <f>347.05+0.01</f>
        <v>347.06</v>
      </c>
      <c r="Q30" s="35">
        <f>+E30*0.115</f>
        <v>441.65174999999999</v>
      </c>
      <c r="R30" s="47">
        <v>0</v>
      </c>
      <c r="S30" s="35">
        <v>0</v>
      </c>
      <c r="T30" s="35">
        <v>0</v>
      </c>
      <c r="U30" s="35">
        <v>0</v>
      </c>
      <c r="V30" s="35">
        <v>0</v>
      </c>
      <c r="W30" s="37">
        <f t="shared" si="4"/>
        <v>788.71174999999994</v>
      </c>
      <c r="X30" s="38">
        <f t="shared" si="5"/>
        <v>3501.1982499999999</v>
      </c>
      <c r="Y30" s="33">
        <v>23</v>
      </c>
      <c r="Z30" s="33"/>
      <c r="AA30" s="33">
        <v>1</v>
      </c>
      <c r="AB30" s="39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</row>
    <row r="31" spans="1:215" s="32" customFormat="1" ht="20.25" customHeight="1">
      <c r="A31" s="24">
        <v>107</v>
      </c>
      <c r="B31" s="25" t="s">
        <v>62</v>
      </c>
      <c r="C31" s="25" t="s">
        <v>70</v>
      </c>
      <c r="D31" s="25" t="s">
        <v>76</v>
      </c>
      <c r="E31" s="26">
        <v>6983.4</v>
      </c>
      <c r="F31" s="26">
        <v>0</v>
      </c>
      <c r="G31" s="26">
        <v>0</v>
      </c>
      <c r="H31" s="27">
        <v>361</v>
      </c>
      <c r="I31" s="27">
        <v>581.5</v>
      </c>
      <c r="J31" s="26">
        <v>0</v>
      </c>
      <c r="K31" s="26">
        <v>0</v>
      </c>
      <c r="L31" s="26">
        <v>0</v>
      </c>
      <c r="M31" s="26">
        <v>0</v>
      </c>
      <c r="N31" s="26"/>
      <c r="O31" s="28">
        <f t="shared" si="3"/>
        <v>7925.9</v>
      </c>
      <c r="P31" s="26">
        <f>1054.75+0.06</f>
        <v>1054.81</v>
      </c>
      <c r="Q31" s="26">
        <v>803.09</v>
      </c>
      <c r="R31" s="80">
        <v>0</v>
      </c>
      <c r="S31" s="26">
        <v>0</v>
      </c>
      <c r="T31" s="26">
        <v>0</v>
      </c>
      <c r="U31" s="26">
        <v>0</v>
      </c>
      <c r="V31" s="26">
        <v>0</v>
      </c>
      <c r="W31" s="28">
        <f t="shared" si="4"/>
        <v>1857.9</v>
      </c>
      <c r="X31" s="29">
        <f t="shared" si="5"/>
        <v>6068</v>
      </c>
      <c r="Y31" s="24">
        <v>24</v>
      </c>
      <c r="Z31" s="24"/>
      <c r="AA31" s="24">
        <v>14</v>
      </c>
      <c r="AB31" s="42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</row>
    <row r="32" spans="1:215" s="41" customFormat="1" ht="20.25" customHeight="1">
      <c r="A32" s="33">
        <v>108</v>
      </c>
      <c r="B32" s="34" t="s">
        <v>63</v>
      </c>
      <c r="C32" s="34" t="s">
        <v>48</v>
      </c>
      <c r="D32" s="34" t="s">
        <v>78</v>
      </c>
      <c r="E32" s="35">
        <v>4553.3999999999996</v>
      </c>
      <c r="F32" s="35">
        <v>0</v>
      </c>
      <c r="G32" s="35">
        <v>0</v>
      </c>
      <c r="H32" s="36">
        <v>223.5</v>
      </c>
      <c r="I32" s="36">
        <v>358.5</v>
      </c>
      <c r="J32" s="35">
        <v>0</v>
      </c>
      <c r="K32" s="35">
        <v>0</v>
      </c>
      <c r="L32" s="35">
        <v>0</v>
      </c>
      <c r="M32" s="35">
        <v>0</v>
      </c>
      <c r="N32" s="35"/>
      <c r="O32" s="37">
        <f t="shared" si="3"/>
        <v>5135.3999999999996</v>
      </c>
      <c r="P32" s="35">
        <f>485.9+0.06</f>
        <v>485.96</v>
      </c>
      <c r="Q32" s="35">
        <f>+E32*0.115</f>
        <v>523.64099999999996</v>
      </c>
      <c r="R32" s="47">
        <v>0</v>
      </c>
      <c r="S32" s="35">
        <v>0</v>
      </c>
      <c r="T32" s="35">
        <v>0</v>
      </c>
      <c r="U32" s="35">
        <v>759</v>
      </c>
      <c r="V32" s="35">
        <v>0</v>
      </c>
      <c r="W32" s="37">
        <f t="shared" si="4"/>
        <v>1768.6009999999999</v>
      </c>
      <c r="X32" s="38">
        <f t="shared" si="5"/>
        <v>3366.799</v>
      </c>
      <c r="Y32" s="33">
        <v>25</v>
      </c>
      <c r="Z32" s="33"/>
      <c r="AA32" s="33">
        <v>2</v>
      </c>
      <c r="AB32" s="39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</row>
    <row r="33" spans="1:215" s="32" customFormat="1" ht="20.25" customHeight="1">
      <c r="A33" s="24">
        <v>109</v>
      </c>
      <c r="B33" s="25" t="s">
        <v>71</v>
      </c>
      <c r="C33" s="25" t="s">
        <v>72</v>
      </c>
      <c r="D33" s="32" t="s">
        <v>76</v>
      </c>
      <c r="E33" s="26">
        <f>7562.4</f>
        <v>7562.4</v>
      </c>
      <c r="F33" s="26">
        <v>0</v>
      </c>
      <c r="G33" s="26">
        <v>0</v>
      </c>
      <c r="H33" s="27">
        <v>378</v>
      </c>
      <c r="I33" s="27">
        <v>603</v>
      </c>
      <c r="J33" s="26">
        <v>0</v>
      </c>
      <c r="K33" s="26">
        <v>0</v>
      </c>
      <c r="L33" s="26">
        <v>0</v>
      </c>
      <c r="M33" s="26">
        <v>0</v>
      </c>
      <c r="N33" s="26"/>
      <c r="O33" s="28">
        <f t="shared" si="3"/>
        <v>8543.4</v>
      </c>
      <c r="P33" s="26">
        <f>1186.65+0.07</f>
        <v>1186.72</v>
      </c>
      <c r="Q33" s="26">
        <v>869.68</v>
      </c>
      <c r="R33" s="80">
        <v>0</v>
      </c>
      <c r="S33" s="26">
        <v>0</v>
      </c>
      <c r="T33" s="26">
        <v>0</v>
      </c>
      <c r="U33" s="26">
        <v>0</v>
      </c>
      <c r="V33" s="26">
        <v>0</v>
      </c>
      <c r="W33" s="28">
        <f t="shared" si="4"/>
        <v>2056.4</v>
      </c>
      <c r="X33" s="29">
        <f t="shared" si="5"/>
        <v>6487</v>
      </c>
      <c r="Y33" s="24">
        <v>26</v>
      </c>
      <c r="Z33" s="24"/>
      <c r="AA33" s="24">
        <v>15</v>
      </c>
      <c r="AB33" s="42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</row>
    <row r="34" spans="1:215" s="41" customFormat="1" ht="20.25" customHeight="1">
      <c r="A34" s="33">
        <v>110</v>
      </c>
      <c r="B34" s="34" t="s">
        <v>64</v>
      </c>
      <c r="C34" s="34" t="s">
        <v>34</v>
      </c>
      <c r="D34" s="34" t="s">
        <v>76</v>
      </c>
      <c r="E34" s="35">
        <v>6273.9</v>
      </c>
      <c r="F34" s="35">
        <v>0</v>
      </c>
      <c r="G34" s="35">
        <v>0</v>
      </c>
      <c r="H34" s="36">
        <v>344.5</v>
      </c>
      <c r="I34" s="36">
        <v>549.5</v>
      </c>
      <c r="J34" s="35">
        <v>0</v>
      </c>
      <c r="K34" s="35">
        <v>0</v>
      </c>
      <c r="L34" s="35">
        <v>0</v>
      </c>
      <c r="M34" s="35">
        <v>0</v>
      </c>
      <c r="N34" s="35"/>
      <c r="O34" s="37">
        <f t="shared" si="3"/>
        <v>7167.9</v>
      </c>
      <c r="P34" s="35">
        <f>892.85-0.05</f>
        <v>892.80000000000007</v>
      </c>
      <c r="Q34" s="35">
        <f>+E34*0.115</f>
        <v>721.49850000000004</v>
      </c>
      <c r="R34" s="47">
        <v>0</v>
      </c>
      <c r="S34" s="35">
        <v>0</v>
      </c>
      <c r="T34" s="35">
        <v>0</v>
      </c>
      <c r="U34" s="35">
        <v>0</v>
      </c>
      <c r="V34" s="35">
        <v>0</v>
      </c>
      <c r="W34" s="37">
        <f t="shared" si="4"/>
        <v>1614.2985000000001</v>
      </c>
      <c r="X34" s="38">
        <f t="shared" si="5"/>
        <v>5553.6014999999998</v>
      </c>
      <c r="Y34" s="33">
        <v>27</v>
      </c>
      <c r="Z34" s="33"/>
      <c r="AA34" s="33">
        <v>16</v>
      </c>
      <c r="AB34" s="39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</row>
    <row r="35" spans="1:215" s="32" customFormat="1" ht="20.25" customHeight="1">
      <c r="A35" s="24">
        <v>111</v>
      </c>
      <c r="B35" s="25" t="s">
        <v>74</v>
      </c>
      <c r="C35" s="25" t="s">
        <v>68</v>
      </c>
      <c r="D35" s="25" t="s">
        <v>78</v>
      </c>
      <c r="E35" s="26">
        <v>13813.5</v>
      </c>
      <c r="F35" s="26">
        <v>0</v>
      </c>
      <c r="G35" s="26">
        <v>0</v>
      </c>
      <c r="H35" s="27">
        <v>559.5</v>
      </c>
      <c r="I35" s="27">
        <v>832</v>
      </c>
      <c r="J35" s="26">
        <v>0</v>
      </c>
      <c r="K35" s="26">
        <v>0</v>
      </c>
      <c r="L35" s="26">
        <v>0</v>
      </c>
      <c r="M35" s="26">
        <v>0</v>
      </c>
      <c r="N35" s="26"/>
      <c r="O35" s="28">
        <f>SUM(E35:M35)</f>
        <v>15205</v>
      </c>
      <c r="P35" s="26">
        <f>2679.84+0.01</f>
        <v>2679.8500000000004</v>
      </c>
      <c r="Q35" s="26">
        <f>+E35*0.115</f>
        <v>1588.5525</v>
      </c>
      <c r="R35" s="80">
        <v>0</v>
      </c>
      <c r="S35" s="26">
        <v>0</v>
      </c>
      <c r="T35" s="26">
        <v>0</v>
      </c>
      <c r="U35" s="26">
        <v>0</v>
      </c>
      <c r="V35" s="26">
        <v>0</v>
      </c>
      <c r="W35" s="28">
        <f t="shared" si="4"/>
        <v>4268.4025000000001</v>
      </c>
      <c r="X35" s="29">
        <f t="shared" si="5"/>
        <v>10936.5975</v>
      </c>
      <c r="Y35" s="24">
        <v>28</v>
      </c>
      <c r="Z35" s="24"/>
      <c r="AA35" s="24">
        <v>20</v>
      </c>
      <c r="AB35" s="42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</row>
    <row r="36" spans="1:215" s="41" customFormat="1" ht="20.25" customHeight="1">
      <c r="A36" s="33">
        <v>112</v>
      </c>
      <c r="B36" s="34" t="s">
        <v>82</v>
      </c>
      <c r="C36" s="34" t="s">
        <v>87</v>
      </c>
      <c r="D36" s="34" t="s">
        <v>78</v>
      </c>
      <c r="E36" s="35">
        <v>13813.5</v>
      </c>
      <c r="F36" s="35">
        <v>0</v>
      </c>
      <c r="G36" s="35">
        <v>0</v>
      </c>
      <c r="H36" s="36">
        <v>559.5</v>
      </c>
      <c r="I36" s="36">
        <v>832</v>
      </c>
      <c r="J36" s="35">
        <v>0</v>
      </c>
      <c r="K36" s="35">
        <v>0</v>
      </c>
      <c r="L36" s="35">
        <v>0</v>
      </c>
      <c r="M36" s="35">
        <v>0</v>
      </c>
      <c r="N36" s="35"/>
      <c r="O36" s="37">
        <f>SUM(E36:M36)</f>
        <v>15205</v>
      </c>
      <c r="P36" s="35">
        <f>2679.84+0.01</f>
        <v>2679.8500000000004</v>
      </c>
      <c r="Q36" s="35">
        <v>1588.55</v>
      </c>
      <c r="R36" s="47">
        <v>0</v>
      </c>
      <c r="S36" s="35">
        <v>0</v>
      </c>
      <c r="T36" s="35">
        <v>0</v>
      </c>
      <c r="U36" s="35">
        <v>0</v>
      </c>
      <c r="V36" s="35">
        <v>0</v>
      </c>
      <c r="W36" s="37">
        <f t="shared" si="4"/>
        <v>4268.4000000000005</v>
      </c>
      <c r="X36" s="38">
        <f t="shared" si="5"/>
        <v>10936.599999999999</v>
      </c>
      <c r="Y36" s="33">
        <v>29</v>
      </c>
      <c r="Z36" s="33"/>
      <c r="AA36" s="33">
        <v>20</v>
      </c>
      <c r="AB36" s="39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</row>
    <row r="37" spans="1:215" s="32" customFormat="1" ht="20.25" customHeight="1">
      <c r="A37" s="24">
        <v>113</v>
      </c>
      <c r="B37" s="25" t="s">
        <v>84</v>
      </c>
      <c r="C37" s="25" t="s">
        <v>46</v>
      </c>
      <c r="D37" s="25" t="s">
        <v>76</v>
      </c>
      <c r="E37" s="26">
        <v>9765.9</v>
      </c>
      <c r="F37" s="26">
        <v>0</v>
      </c>
      <c r="G37" s="26">
        <v>0</v>
      </c>
      <c r="H37" s="27">
        <v>493.5</v>
      </c>
      <c r="I37" s="27">
        <v>732.5</v>
      </c>
      <c r="J37" s="26">
        <v>0</v>
      </c>
      <c r="K37" s="26">
        <v>0</v>
      </c>
      <c r="L37" s="26">
        <v>0</v>
      </c>
      <c r="M37" s="26">
        <v>0</v>
      </c>
      <c r="N37" s="26"/>
      <c r="O37" s="28">
        <f>SUM(E37:M37)</f>
        <v>10991.9</v>
      </c>
      <c r="P37" s="26">
        <f>1709.65+0.17</f>
        <v>1709.8200000000002</v>
      </c>
      <c r="Q37" s="26">
        <v>1123.08</v>
      </c>
      <c r="R37" s="80">
        <v>0</v>
      </c>
      <c r="S37" s="26">
        <v>0</v>
      </c>
      <c r="T37" s="26">
        <v>0</v>
      </c>
      <c r="U37" s="26">
        <v>0</v>
      </c>
      <c r="V37" s="26">
        <v>0</v>
      </c>
      <c r="W37" s="28">
        <f t="shared" si="4"/>
        <v>2832.9</v>
      </c>
      <c r="X37" s="29">
        <f t="shared" si="5"/>
        <v>8159</v>
      </c>
      <c r="Y37" s="24">
        <v>30</v>
      </c>
      <c r="Z37" s="24"/>
      <c r="AA37" s="24">
        <v>17</v>
      </c>
      <c r="AB37" s="42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</row>
    <row r="38" spans="1:215" s="41" customFormat="1" ht="20.25" customHeight="1">
      <c r="A38" s="33"/>
      <c r="B38" s="34"/>
      <c r="C38" s="34"/>
      <c r="D38" s="34"/>
      <c r="E38" s="35"/>
      <c r="F38" s="35"/>
      <c r="G38" s="35"/>
      <c r="H38" s="36"/>
      <c r="I38" s="36"/>
      <c r="J38" s="35"/>
      <c r="K38" s="35"/>
      <c r="L38" s="35"/>
      <c r="M38" s="35"/>
      <c r="N38" s="35"/>
      <c r="O38" s="37"/>
      <c r="P38" s="35"/>
      <c r="Q38" s="35"/>
      <c r="R38" s="47"/>
      <c r="S38" s="35"/>
      <c r="T38" s="35"/>
      <c r="U38" s="35"/>
      <c r="V38" s="35"/>
      <c r="W38" s="37"/>
      <c r="X38" s="38"/>
      <c r="Y38" s="33"/>
      <c r="Z38" s="33"/>
      <c r="AA38" s="33"/>
      <c r="AB38" s="3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</row>
    <row r="39" spans="1:215" s="54" customFormat="1" ht="17.25" customHeight="1" thickBot="1">
      <c r="A39" s="48"/>
      <c r="B39" s="49"/>
      <c r="C39" s="49"/>
      <c r="D39" s="34"/>
      <c r="E39" s="50">
        <f>SUM(E11:E37)</f>
        <v>234461.84999999995</v>
      </c>
      <c r="F39" s="50">
        <f t="shared" ref="F39:X39" si="6">SUM(F11:F37)</f>
        <v>0</v>
      </c>
      <c r="G39" s="50">
        <f t="shared" si="6"/>
        <v>0</v>
      </c>
      <c r="H39" s="50">
        <f t="shared" si="6"/>
        <v>9596.98</v>
      </c>
      <c r="I39" s="50">
        <f t="shared" si="6"/>
        <v>14168.98</v>
      </c>
      <c r="J39" s="50">
        <f t="shared" si="6"/>
        <v>1467.7999999999997</v>
      </c>
      <c r="K39" s="50">
        <f t="shared" si="6"/>
        <v>0</v>
      </c>
      <c r="L39" s="50">
        <f t="shared" si="6"/>
        <v>0</v>
      </c>
      <c r="M39" s="50">
        <f t="shared" si="6"/>
        <v>0</v>
      </c>
      <c r="N39" s="50">
        <f t="shared" si="6"/>
        <v>0</v>
      </c>
      <c r="O39" s="50">
        <f t="shared" si="6"/>
        <v>259695.61</v>
      </c>
      <c r="P39" s="50">
        <f t="shared" si="6"/>
        <v>40376.46</v>
      </c>
      <c r="Q39" s="50">
        <f t="shared" si="6"/>
        <v>26963.160250000001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36894.800000000003</v>
      </c>
      <c r="V39" s="50">
        <f t="shared" si="6"/>
        <v>0</v>
      </c>
      <c r="W39" s="50">
        <f t="shared" si="6"/>
        <v>104234.42024999997</v>
      </c>
      <c r="X39" s="50">
        <f t="shared" si="6"/>
        <v>155461.17975000001</v>
      </c>
      <c r="Y39" s="51"/>
      <c r="Z39" s="51"/>
      <c r="AA39" s="51"/>
      <c r="AB39" s="52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ht="14.25" customHeight="1" thickTop="1">
      <c r="A40" s="55"/>
      <c r="D40" s="83"/>
      <c r="H40" s="55"/>
      <c r="I40" s="55"/>
      <c r="AB40" s="58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</row>
    <row r="41" spans="1:215" ht="15">
      <c r="A41" s="83"/>
      <c r="B41" s="83"/>
      <c r="C41" s="83"/>
      <c r="D41" s="83"/>
      <c r="H41" s="55"/>
      <c r="I41" s="55"/>
      <c r="AB41" s="62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15">
      <c r="A42" s="60"/>
      <c r="B42" s="60"/>
      <c r="I42" s="55"/>
      <c r="J42" s="141"/>
      <c r="K42" s="141"/>
      <c r="L42" s="141"/>
      <c r="M42" s="141"/>
      <c r="N42" s="141"/>
      <c r="O42" s="141"/>
      <c r="P42" s="141"/>
      <c r="Q42" s="60"/>
      <c r="R42" s="60"/>
      <c r="S42" s="60"/>
      <c r="T42" s="60"/>
      <c r="U42" s="60"/>
      <c r="V42" s="60"/>
      <c r="W42" s="57"/>
      <c r="Y42" s="60"/>
      <c r="Z42" s="60"/>
      <c r="AA42" s="60"/>
      <c r="AB42" s="81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</row>
    <row r="43" spans="1:215" ht="46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</row>
    <row r="44" spans="1:215" ht="15">
      <c r="A44" s="83"/>
      <c r="B44" s="83"/>
      <c r="C44" s="83"/>
      <c r="D44" s="83"/>
      <c r="I44" s="60"/>
      <c r="J44" s="141"/>
      <c r="K44" s="141"/>
      <c r="L44" s="141"/>
      <c r="M44" s="141"/>
      <c r="N44" s="141"/>
      <c r="O44" s="141"/>
      <c r="P44" s="141"/>
      <c r="U44" s="83"/>
      <c r="W44" s="57"/>
      <c r="X44" s="61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ht="15">
      <c r="A45" s="60"/>
      <c r="B45" s="60"/>
      <c r="C45" s="60"/>
      <c r="I45" s="60"/>
      <c r="J45" s="141"/>
      <c r="K45" s="141"/>
      <c r="L45" s="141"/>
      <c r="M45" s="141"/>
      <c r="N45" s="141"/>
      <c r="O45" s="141"/>
      <c r="P45" s="141"/>
      <c r="Q45" s="60"/>
      <c r="R45" s="60"/>
      <c r="S45" s="60"/>
      <c r="T45" s="60"/>
      <c r="U45" s="60"/>
      <c r="V45" s="60"/>
      <c r="W45" s="57"/>
      <c r="Y45" s="60"/>
      <c r="Z45" s="60"/>
      <c r="AA45" s="60"/>
      <c r="AB45" s="62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5" s="41" customFormat="1" ht="20.25" customHeight="1">
      <c r="A46" s="33"/>
      <c r="B46" s="34"/>
      <c r="C46" s="34"/>
      <c r="D46" s="83"/>
      <c r="E46" s="35"/>
      <c r="F46" s="35"/>
      <c r="G46" s="35"/>
      <c r="H46" s="36"/>
      <c r="I46" s="36"/>
      <c r="J46" s="35"/>
      <c r="K46" s="35"/>
      <c r="L46" s="35"/>
      <c r="M46" s="35"/>
      <c r="N46" s="35"/>
      <c r="O46" s="37"/>
      <c r="P46" s="35"/>
      <c r="Q46" s="35"/>
      <c r="R46" s="35"/>
      <c r="S46" s="35"/>
      <c r="T46" s="35"/>
      <c r="U46" s="35"/>
      <c r="V46" s="35"/>
      <c r="W46" s="37"/>
      <c r="X46" s="38"/>
      <c r="Y46" s="33"/>
      <c r="Z46" s="33"/>
      <c r="AA46" s="33"/>
      <c r="AB46" s="43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</row>
    <row r="47" spans="1:215">
      <c r="D47" s="60"/>
      <c r="AB47" s="67"/>
    </row>
    <row r="48" spans="1:215" s="54" customFormat="1" ht="17.25" customHeight="1">
      <c r="A48" s="48"/>
      <c r="B48" s="49"/>
      <c r="C48" s="49"/>
      <c r="D48" s="55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1"/>
      <c r="Z48" s="51"/>
      <c r="AA48" s="51"/>
      <c r="AB48" s="69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</row>
    <row r="49" spans="1:214" ht="14.25" customHeight="1">
      <c r="A49" s="55"/>
      <c r="H49" s="55"/>
      <c r="I49" s="55"/>
      <c r="J49" s="141"/>
      <c r="K49" s="141"/>
      <c r="L49" s="141"/>
      <c r="M49" s="141"/>
      <c r="N49" s="141"/>
      <c r="O49" s="141"/>
      <c r="P49" s="141"/>
      <c r="U49" s="56"/>
      <c r="W49" s="57"/>
      <c r="AB49" s="64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</row>
    <row r="50" spans="1:214" ht="15">
      <c r="A50" s="83"/>
      <c r="B50" s="83"/>
      <c r="C50" s="83"/>
      <c r="D50" s="71"/>
      <c r="I50" s="60"/>
      <c r="J50" s="141"/>
      <c r="K50" s="141"/>
      <c r="L50" s="141"/>
      <c r="M50" s="141"/>
      <c r="N50" s="141"/>
      <c r="O50" s="141"/>
      <c r="P50" s="141"/>
      <c r="U50" s="83"/>
      <c r="W50" s="57"/>
      <c r="X50" s="61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51" s="60"/>
      <c r="B51" s="60"/>
      <c r="C51" s="60"/>
      <c r="I51" s="60"/>
      <c r="J51" s="141"/>
      <c r="K51" s="141"/>
      <c r="L51" s="141"/>
      <c r="M51" s="141"/>
      <c r="N51" s="141"/>
      <c r="O51" s="141"/>
      <c r="P51" s="141"/>
      <c r="Q51" s="60"/>
      <c r="R51" s="60"/>
      <c r="S51" s="60"/>
      <c r="T51" s="60"/>
      <c r="U51" s="60"/>
      <c r="V51" s="60"/>
      <c r="W51" s="57"/>
      <c r="Y51" s="60"/>
      <c r="Z51" s="60"/>
      <c r="AA51" s="60"/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ht="15">
      <c r="D53" s="60"/>
      <c r="AB53" s="62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</row>
    <row r="54" spans="1:214" s="54" customFormat="1" ht="15">
      <c r="A54" s="48"/>
      <c r="B54" s="49"/>
      <c r="C54" s="71"/>
      <c r="D54" s="55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51"/>
      <c r="Z54" s="51"/>
      <c r="AA54" s="51"/>
      <c r="AB54" s="72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</row>
    <row r="55" spans="1:214">
      <c r="A55" s="55"/>
      <c r="H55" s="55"/>
      <c r="I55" s="55"/>
      <c r="J55" s="141"/>
      <c r="K55" s="141"/>
      <c r="L55" s="141"/>
      <c r="M55" s="141"/>
      <c r="N55" s="141"/>
      <c r="O55" s="141"/>
      <c r="P55" s="141"/>
      <c r="U55" s="56"/>
      <c r="W55" s="57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</row>
    <row r="56" spans="1:214" ht="15">
      <c r="A56" s="83"/>
      <c r="B56" s="83"/>
      <c r="I56" s="60"/>
      <c r="J56" s="141"/>
      <c r="K56" s="141"/>
      <c r="L56" s="141"/>
      <c r="M56" s="141"/>
      <c r="N56" s="141"/>
      <c r="O56" s="141"/>
      <c r="P56" s="141"/>
      <c r="U56" s="83"/>
      <c r="W56" s="57"/>
      <c r="X56" s="61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A57" s="60"/>
      <c r="B57" s="60"/>
      <c r="C57" s="60"/>
      <c r="I57" s="60"/>
      <c r="J57" s="141"/>
      <c r="K57" s="141"/>
      <c r="L57" s="141"/>
      <c r="M57" s="141"/>
      <c r="N57" s="141"/>
      <c r="O57" s="141"/>
      <c r="P57" s="141"/>
      <c r="Q57" s="60"/>
      <c r="R57" s="60"/>
      <c r="S57" s="60"/>
      <c r="T57" s="60"/>
      <c r="U57" s="83"/>
      <c r="V57" s="73"/>
      <c r="W57" s="57"/>
      <c r="Y57" s="60"/>
      <c r="Z57" s="60"/>
      <c r="AA57" s="6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83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83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83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83"/>
      <c r="V61" s="7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U62" s="8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 ht="15"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</row>
    <row r="67" spans="28:21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 ht="15"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</row>
    <row r="71" spans="28:21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 ht="15"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</row>
    <row r="86" spans="28:211"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 ht="15"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</row>
    <row r="90" spans="28:211"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 ht="15"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</row>
    <row r="108" spans="28:211"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 ht="15"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</row>
    <row r="112" spans="28:211"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 ht="15"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</row>
    <row r="130" spans="28:211"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 ht="15"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28:211"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 ht="15"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28:211"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 ht="15"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28:211"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 ht="15"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28:211"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 ht="15"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28:211"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 ht="15"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28:211"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 ht="15"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28:211"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5"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 ht="12.75"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</row>
    <row r="217" spans="28:211"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 ht="12.75"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</row>
    <row r="221" spans="28:211"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 ht="15"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28:211"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 ht="15"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28:211"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 ht="15"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28:211"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 ht="15"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28:211"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5"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 ht="12.75"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</row>
    <row r="282" spans="28:211"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 ht="12.75"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</row>
    <row r="286" spans="28:211"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 ht="15"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28:211"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 ht="15"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28:211"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 ht="15"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28:211"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 ht="15"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 ht="15"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</row>
    <row r="347" spans="28:211"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 ht="15"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 ht="15"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</row>
    <row r="370" spans="28:211"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 ht="15"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 ht="15"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</row>
    <row r="393" spans="28:211"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 ht="15"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 ht="15"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</row>
    <row r="416" spans="28:211"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 ht="15"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 ht="15"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</row>
    <row r="439" spans="28:211"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 ht="15"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 ht="15"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</row>
    <row r="462" spans="28:211"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 ht="15"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28:211"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</row>
  </sheetData>
  <mergeCells count="28">
    <mergeCell ref="J51:P51"/>
    <mergeCell ref="J55:P55"/>
    <mergeCell ref="J56:P56"/>
    <mergeCell ref="J57:P57"/>
    <mergeCell ref="P8:P9"/>
    <mergeCell ref="J49:P49"/>
    <mergeCell ref="J50:P50"/>
    <mergeCell ref="J42:P42"/>
    <mergeCell ref="A43:AA43"/>
    <mergeCell ref="J44:P44"/>
    <mergeCell ref="J45:P45"/>
    <mergeCell ref="H8:H9"/>
    <mergeCell ref="I8:I9"/>
    <mergeCell ref="J8:J9"/>
    <mergeCell ref="K8:K9"/>
    <mergeCell ref="L8:L9"/>
    <mergeCell ref="M8:M9"/>
    <mergeCell ref="AA7:AA8"/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V8:V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6"/>
  <sheetViews>
    <sheetView topLeftCell="A13" workbookViewId="0">
      <selection activeCell="A13"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88</v>
      </c>
      <c r="I2" s="6" t="s">
        <v>89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87"/>
      <c r="D7" s="87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1" t="s">
        <v>9</v>
      </c>
      <c r="D8" s="91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89" t="s">
        <v>83</v>
      </c>
      <c r="O8" s="89" t="s">
        <v>18</v>
      </c>
      <c r="P8" s="125" t="s">
        <v>19</v>
      </c>
      <c r="Q8" s="89" t="s">
        <v>20</v>
      </c>
      <c r="R8" s="89" t="s">
        <v>21</v>
      </c>
      <c r="S8" s="89"/>
      <c r="T8" s="89"/>
      <c r="U8" s="89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0"/>
      <c r="D9" s="90"/>
      <c r="E9" s="126"/>
      <c r="F9" s="126"/>
      <c r="G9" s="126"/>
      <c r="H9" s="144"/>
      <c r="I9" s="144"/>
      <c r="J9" s="147"/>
      <c r="K9" s="126"/>
      <c r="L9" s="126"/>
      <c r="M9" s="126"/>
      <c r="N9" s="90"/>
      <c r="O9" s="90" t="s">
        <v>25</v>
      </c>
      <c r="P9" s="126"/>
      <c r="Q9" s="90" t="s">
        <v>26</v>
      </c>
      <c r="R9" s="90" t="s">
        <v>27</v>
      </c>
      <c r="S9" s="90"/>
      <c r="T9" s="90"/>
      <c r="U9" s="90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146.08000000000001</v>
      </c>
      <c r="K11" s="26">
        <v>0</v>
      </c>
      <c r="L11" s="26">
        <v>0</v>
      </c>
      <c r="M11" s="26">
        <v>0</v>
      </c>
      <c r="N11" s="26"/>
      <c r="O11" s="28">
        <f>SUM(E11:M11)</f>
        <v>7793.43</v>
      </c>
      <c r="P11" s="26">
        <f>995.26-0.19</f>
        <v>995.06999999999994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3" si="0">SUM(P11:V11)</f>
        <v>4013.2327500000001</v>
      </c>
      <c r="X11" s="29">
        <f t="shared" ref="X11:X22" si="1">+O11-W11</f>
        <v>3780.1972500000002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1054.75+0.07</f>
        <v>1054.82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3589.06</v>
      </c>
      <c r="V13" s="26">
        <v>0</v>
      </c>
      <c r="W13" s="28">
        <f t="shared" si="0"/>
        <v>5446.9809999999998</v>
      </c>
      <c r="X13" s="29">
        <f t="shared" si="1"/>
        <v>2624.9989999999998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3" si="2">SUM(E14:M14)</f>
        <v>7756.9100000000008</v>
      </c>
      <c r="P14" s="35">
        <f>995.26-0.11</f>
        <v>995.15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3569.3127500000001</v>
      </c>
      <c r="X14" s="38">
        <f t="shared" si="1"/>
        <v>4187.5972500000007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922.86+0.14</f>
        <v>923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2867.13</v>
      </c>
      <c r="V15" s="26">
        <v>0</v>
      </c>
      <c r="W15" s="28">
        <f t="shared" si="0"/>
        <v>4532.1559999999999</v>
      </c>
      <c r="X15" s="29">
        <f t="shared" si="1"/>
        <v>2885.8040000000001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1054.75+0.02</f>
        <v>1054.77</v>
      </c>
      <c r="Q16" s="35">
        <v>803.09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347.06+0.08</f>
        <v>347.14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788.79174999999998</v>
      </c>
      <c r="X17" s="29">
        <f t="shared" si="1"/>
        <v>3574.1982499999999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73.040000000000006</v>
      </c>
      <c r="K19" s="26">
        <v>0</v>
      </c>
      <c r="L19" s="26">
        <v>0</v>
      </c>
      <c r="M19" s="26">
        <v>0</v>
      </c>
      <c r="N19" s="26"/>
      <c r="O19" s="28">
        <f t="shared" si="2"/>
        <v>5408.44</v>
      </c>
      <c r="P19" s="26">
        <f>521.74+0.07</f>
        <v>521.81000000000006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1066.8409999999999</v>
      </c>
      <c r="X19" s="29">
        <f t="shared" si="1"/>
        <v>4341.5990000000002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922.86+0.16</f>
        <v>923.02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3079.99</v>
      </c>
      <c r="V20" s="35">
        <v>0</v>
      </c>
      <c r="W20" s="37">
        <f t="shared" si="0"/>
        <v>4745.0360000000001</v>
      </c>
      <c r="X20" s="38">
        <f t="shared" si="1"/>
        <v>2636.4039999999995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32" customFormat="1" ht="21" customHeight="1">
      <c r="A21" s="24">
        <v>63</v>
      </c>
      <c r="B21" s="25" t="s">
        <v>49</v>
      </c>
      <c r="C21" s="25" t="s">
        <v>34</v>
      </c>
      <c r="D21" s="25" t="s">
        <v>77</v>
      </c>
      <c r="E21" s="26">
        <v>6816.3</v>
      </c>
      <c r="F21" s="26">
        <v>0</v>
      </c>
      <c r="G21" s="26">
        <v>0</v>
      </c>
      <c r="H21" s="27">
        <v>339.5</v>
      </c>
      <c r="I21" s="27">
        <v>546.5</v>
      </c>
      <c r="J21" s="26">
        <v>73.040000000000006</v>
      </c>
      <c r="K21" s="26">
        <v>0</v>
      </c>
      <c r="L21" s="26">
        <v>0</v>
      </c>
      <c r="M21" s="26">
        <v>0</v>
      </c>
      <c r="N21" s="26"/>
      <c r="O21" s="28">
        <f t="shared" si="2"/>
        <v>7775.34</v>
      </c>
      <c r="P21" s="26">
        <f>1006.99-0.06</f>
        <v>1006.9300000000001</v>
      </c>
      <c r="Q21" s="26">
        <f>+E21*0.115</f>
        <v>783.87450000000001</v>
      </c>
      <c r="R21" s="26">
        <v>0</v>
      </c>
      <c r="S21" s="26">
        <v>0</v>
      </c>
      <c r="T21" s="26">
        <v>0</v>
      </c>
      <c r="U21" s="26">
        <v>3439.54</v>
      </c>
      <c r="V21" s="26">
        <v>0</v>
      </c>
      <c r="W21" s="28">
        <f t="shared" si="0"/>
        <v>5230.3445000000002</v>
      </c>
      <c r="X21" s="29">
        <f t="shared" si="1"/>
        <v>2544.9955</v>
      </c>
      <c r="Y21" s="24">
        <v>12</v>
      </c>
      <c r="Z21" s="24"/>
      <c r="AA21" s="24">
        <v>11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</row>
    <row r="22" spans="1:215" s="41" customFormat="1" ht="21" customHeight="1">
      <c r="A22" s="33">
        <v>64</v>
      </c>
      <c r="B22" s="34" t="s">
        <v>50</v>
      </c>
      <c r="C22" s="34" t="s">
        <v>51</v>
      </c>
      <c r="D22" s="34" t="s">
        <v>76</v>
      </c>
      <c r="E22" s="35">
        <v>6983.4</v>
      </c>
      <c r="F22" s="35">
        <v>0</v>
      </c>
      <c r="G22" s="35">
        <v>0</v>
      </c>
      <c r="H22" s="36">
        <v>361</v>
      </c>
      <c r="I22" s="36">
        <v>581.5</v>
      </c>
      <c r="J22" s="35">
        <v>109.56</v>
      </c>
      <c r="K22" s="35">
        <v>0</v>
      </c>
      <c r="L22" s="35">
        <v>0</v>
      </c>
      <c r="M22" s="35">
        <v>0</v>
      </c>
      <c r="N22" s="35"/>
      <c r="O22" s="37">
        <f t="shared" si="2"/>
        <v>8035.46</v>
      </c>
      <c r="P22" s="35">
        <f>1054.75-0.06</f>
        <v>1054.69</v>
      </c>
      <c r="Q22" s="35">
        <f>+E22*0.115+0.01</f>
        <v>803.101</v>
      </c>
      <c r="R22" s="35">
        <v>0</v>
      </c>
      <c r="S22" s="35">
        <v>0</v>
      </c>
      <c r="T22" s="35">
        <v>0</v>
      </c>
      <c r="U22" s="35">
        <v>3417.27</v>
      </c>
      <c r="V22" s="35">
        <v>0</v>
      </c>
      <c r="W22" s="37">
        <f t="shared" si="0"/>
        <v>5275.0609999999997</v>
      </c>
      <c r="X22" s="38">
        <f t="shared" si="1"/>
        <v>2760.3990000000003</v>
      </c>
      <c r="Y22" s="33">
        <v>13</v>
      </c>
      <c r="Z22" s="33"/>
      <c r="AA22" s="33">
        <v>14</v>
      </c>
      <c r="AB22" s="78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</row>
    <row r="23" spans="1:215" s="32" customFormat="1" ht="21" customHeight="1">
      <c r="A23" s="24">
        <v>79</v>
      </c>
      <c r="B23" s="25" t="s">
        <v>52</v>
      </c>
      <c r="C23" s="25" t="s">
        <v>51</v>
      </c>
      <c r="D23" s="25" t="s">
        <v>76</v>
      </c>
      <c r="E23" s="26">
        <v>6268.5</v>
      </c>
      <c r="F23" s="26">
        <v>0</v>
      </c>
      <c r="G23" s="26">
        <v>0</v>
      </c>
      <c r="H23" s="27">
        <v>330.5</v>
      </c>
      <c r="I23" s="27">
        <v>478.5</v>
      </c>
      <c r="J23" s="26">
        <v>146.08000000000001</v>
      </c>
      <c r="K23" s="26">
        <v>0</v>
      </c>
      <c r="L23" s="26">
        <v>0</v>
      </c>
      <c r="M23" s="26">
        <v>0</v>
      </c>
      <c r="N23" s="26"/>
      <c r="O23" s="28">
        <f t="shared" si="2"/>
        <v>7223.58</v>
      </c>
      <c r="P23" s="26">
        <f>873.54+0.16</f>
        <v>873.69999999999993</v>
      </c>
      <c r="Q23" s="26">
        <v>720.88</v>
      </c>
      <c r="R23" s="26">
        <v>0</v>
      </c>
      <c r="S23" s="26">
        <v>0</v>
      </c>
      <c r="T23" s="26">
        <v>0</v>
      </c>
      <c r="U23" s="26">
        <v>2090</v>
      </c>
      <c r="V23" s="26">
        <v>0</v>
      </c>
      <c r="W23" s="28">
        <f t="shared" si="0"/>
        <v>3684.58</v>
      </c>
      <c r="X23" s="29">
        <f>+O23-W23</f>
        <v>3539</v>
      </c>
      <c r="Y23" s="24">
        <v>14</v>
      </c>
      <c r="Z23" s="24"/>
      <c r="AA23" s="24">
        <v>9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</row>
    <row r="24" spans="1:215" s="41" customFormat="1" ht="21" customHeight="1">
      <c r="A24" s="33">
        <v>92</v>
      </c>
      <c r="B24" s="34" t="s">
        <v>53</v>
      </c>
      <c r="C24" s="34" t="s">
        <v>42</v>
      </c>
      <c r="D24" s="34" t="s">
        <v>79</v>
      </c>
      <c r="E24" s="35">
        <v>4739.3999999999996</v>
      </c>
      <c r="F24" s="35">
        <v>0</v>
      </c>
      <c r="G24" s="35">
        <v>0</v>
      </c>
      <c r="H24" s="36">
        <v>227.5</v>
      </c>
      <c r="I24" s="36">
        <v>368.5</v>
      </c>
      <c r="J24" s="35">
        <v>80.040000000000006</v>
      </c>
      <c r="K24" s="35">
        <v>0</v>
      </c>
      <c r="L24" s="35">
        <v>0</v>
      </c>
      <c r="M24" s="35">
        <v>0</v>
      </c>
      <c r="N24" s="35"/>
      <c r="O24" s="37">
        <f>SUM(E24:M24)</f>
        <v>5415.44</v>
      </c>
      <c r="P24" s="35">
        <f>521.74+0.07</f>
        <v>521.81000000000006</v>
      </c>
      <c r="Q24" s="35">
        <f>+E24*0.115</f>
        <v>545.03099999999995</v>
      </c>
      <c r="R24" s="35">
        <v>0</v>
      </c>
      <c r="S24" s="35">
        <v>0</v>
      </c>
      <c r="T24" s="35">
        <v>0</v>
      </c>
      <c r="U24" s="35">
        <v>1564</v>
      </c>
      <c r="V24" s="35">
        <v>0</v>
      </c>
      <c r="W24" s="37">
        <f>SUM(P24:V24)</f>
        <v>2630.8409999999999</v>
      </c>
      <c r="X24" s="38">
        <f>+O24-W24</f>
        <v>2784.5989999999997</v>
      </c>
      <c r="Y24" s="33">
        <v>16</v>
      </c>
      <c r="Z24" s="33"/>
      <c r="AA24" s="33">
        <v>2</v>
      </c>
      <c r="AB24" s="78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</row>
    <row r="25" spans="1:215" s="32" customFormat="1" ht="20.25" customHeight="1">
      <c r="A25" s="24">
        <v>96</v>
      </c>
      <c r="B25" s="25" t="s">
        <v>54</v>
      </c>
      <c r="C25" s="25" t="s">
        <v>55</v>
      </c>
      <c r="D25" s="25" t="s">
        <v>78</v>
      </c>
      <c r="E25" s="26">
        <v>38469</v>
      </c>
      <c r="F25" s="26">
        <v>0</v>
      </c>
      <c r="G25" s="26">
        <v>0</v>
      </c>
      <c r="H25" s="27">
        <v>0</v>
      </c>
      <c r="I25" s="27">
        <v>0</v>
      </c>
      <c r="J25" s="26">
        <v>0</v>
      </c>
      <c r="K25" s="26">
        <v>0</v>
      </c>
      <c r="L25" s="26">
        <v>0</v>
      </c>
      <c r="M25" s="26">
        <v>0</v>
      </c>
      <c r="N25" s="26"/>
      <c r="O25" s="28">
        <f>SUM(E25:M25)</f>
        <v>38469</v>
      </c>
      <c r="P25" s="26">
        <f>9473.74-0.08</f>
        <v>9473.66</v>
      </c>
      <c r="Q25" s="26">
        <f>+E25*0.115</f>
        <v>4423.9350000000004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8">
        <f>SUM(P25:V25)</f>
        <v>13897.595000000001</v>
      </c>
      <c r="X25" s="29">
        <f>+O25-W25-0.01</f>
        <v>24571.395</v>
      </c>
      <c r="Y25" s="24">
        <v>17</v>
      </c>
      <c r="Z25" s="24"/>
      <c r="AA25" s="24">
        <v>30</v>
      </c>
      <c r="AB25" s="42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</row>
    <row r="26" spans="1:215" s="41" customFormat="1" ht="20.25" customHeight="1">
      <c r="A26" s="33">
        <v>99</v>
      </c>
      <c r="B26" s="34" t="s">
        <v>56</v>
      </c>
      <c r="C26" s="34" t="s">
        <v>66</v>
      </c>
      <c r="D26" s="34" t="s">
        <v>78</v>
      </c>
      <c r="E26" s="35">
        <v>13813.5</v>
      </c>
      <c r="F26" s="35">
        <v>0</v>
      </c>
      <c r="G26" s="35">
        <v>0</v>
      </c>
      <c r="H26" s="36">
        <v>559.5</v>
      </c>
      <c r="I26" s="36">
        <v>832</v>
      </c>
      <c r="J26" s="35">
        <v>0</v>
      </c>
      <c r="K26" s="35">
        <v>0</v>
      </c>
      <c r="L26" s="35">
        <v>0</v>
      </c>
      <c r="M26" s="35">
        <v>0</v>
      </c>
      <c r="N26" s="35"/>
      <c r="O26" s="37">
        <f>SUM(E26:M26)</f>
        <v>15205</v>
      </c>
      <c r="P26" s="35">
        <f>2679.84+0.01</f>
        <v>2679.8500000000004</v>
      </c>
      <c r="Q26" s="35">
        <f>+E26*0.115</f>
        <v>1588.5525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7">
        <f>SUM(P26:V26)</f>
        <v>4268.4025000000001</v>
      </c>
      <c r="X26" s="38">
        <f>+O26-W26</f>
        <v>10936.5975</v>
      </c>
      <c r="Y26" s="33">
        <v>19</v>
      </c>
      <c r="Z26" s="33"/>
      <c r="AA26" s="33">
        <v>20</v>
      </c>
      <c r="AB26" s="3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</row>
    <row r="27" spans="1:215" s="32" customFormat="1" ht="20.25" customHeight="1">
      <c r="A27" s="24">
        <v>100</v>
      </c>
      <c r="B27" s="25" t="s">
        <v>57</v>
      </c>
      <c r="C27" s="25" t="s">
        <v>58</v>
      </c>
      <c r="D27" s="25" t="s">
        <v>80</v>
      </c>
      <c r="E27" s="26">
        <v>13813.5</v>
      </c>
      <c r="F27" s="26">
        <v>0</v>
      </c>
      <c r="G27" s="26">
        <v>0</v>
      </c>
      <c r="H27" s="27">
        <v>559.5</v>
      </c>
      <c r="I27" s="27">
        <v>832</v>
      </c>
      <c r="J27" s="26">
        <v>0</v>
      </c>
      <c r="K27" s="26">
        <v>0</v>
      </c>
      <c r="L27" s="26">
        <v>0</v>
      </c>
      <c r="M27" s="26">
        <v>0</v>
      </c>
      <c r="N27" s="26"/>
      <c r="O27" s="28">
        <f>SUM(E27:M27)</f>
        <v>15205</v>
      </c>
      <c r="P27" s="26">
        <f>2679.84</f>
        <v>2679.84</v>
      </c>
      <c r="Q27" s="26">
        <f>+E27*0.115</f>
        <v>1588.5525</v>
      </c>
      <c r="R27" s="26">
        <v>0</v>
      </c>
      <c r="S27" s="26">
        <v>0</v>
      </c>
      <c r="T27" s="26">
        <v>0</v>
      </c>
      <c r="U27" s="26">
        <v>6435.81</v>
      </c>
      <c r="V27" s="26">
        <v>0</v>
      </c>
      <c r="W27" s="28">
        <f>SUM(P27:V27)</f>
        <v>10704.202499999999</v>
      </c>
      <c r="X27" s="29">
        <f>+O27-W27</f>
        <v>4500.7975000000006</v>
      </c>
      <c r="Y27" s="24">
        <v>20</v>
      </c>
      <c r="Z27" s="24"/>
      <c r="AA27" s="24">
        <v>20</v>
      </c>
      <c r="AB27" s="42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</row>
    <row r="28" spans="1:215" s="41" customFormat="1" ht="20.25" customHeight="1">
      <c r="A28" s="33">
        <v>101</v>
      </c>
      <c r="B28" s="34" t="s">
        <v>59</v>
      </c>
      <c r="C28" s="34" t="s">
        <v>67</v>
      </c>
      <c r="D28" s="34" t="s">
        <v>77</v>
      </c>
      <c r="E28" s="35">
        <v>8606.4</v>
      </c>
      <c r="F28" s="35">
        <v>0</v>
      </c>
      <c r="G28" s="35">
        <v>0</v>
      </c>
      <c r="H28" s="36">
        <v>389.5</v>
      </c>
      <c r="I28" s="36">
        <v>623.5</v>
      </c>
      <c r="J28" s="35">
        <v>0</v>
      </c>
      <c r="K28" s="35">
        <v>0</v>
      </c>
      <c r="L28" s="35">
        <v>0</v>
      </c>
      <c r="M28" s="35">
        <v>0</v>
      </c>
      <c r="N28" s="35"/>
      <c r="O28" s="37">
        <f t="shared" ref="O28:O34" si="3">SUM(E28:M28)</f>
        <v>9619.4</v>
      </c>
      <c r="P28" s="35">
        <f>1416.49+0.16</f>
        <v>1416.65</v>
      </c>
      <c r="Q28" s="35">
        <f>989.75</f>
        <v>989.75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7">
        <f t="shared" ref="W28:W37" si="4">SUM(P28:V28)</f>
        <v>2406.4</v>
      </c>
      <c r="X28" s="38">
        <f t="shared" ref="X28:X37" si="5">+O28-W28</f>
        <v>7213</v>
      </c>
      <c r="Y28" s="33">
        <v>21</v>
      </c>
      <c r="Z28" s="33"/>
      <c r="AA28" s="33">
        <v>16</v>
      </c>
      <c r="AB28" s="3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</row>
    <row r="29" spans="1:215" s="32" customFormat="1" ht="20.25" customHeight="1">
      <c r="A29" s="24">
        <v>104</v>
      </c>
      <c r="B29" s="25" t="s">
        <v>60</v>
      </c>
      <c r="C29" s="25" t="s">
        <v>69</v>
      </c>
      <c r="D29" s="25" t="s">
        <v>78</v>
      </c>
      <c r="E29" s="26">
        <v>6983.4</v>
      </c>
      <c r="F29" s="26">
        <v>0</v>
      </c>
      <c r="G29" s="26">
        <v>0</v>
      </c>
      <c r="H29" s="27">
        <v>581.5</v>
      </c>
      <c r="I29" s="27">
        <v>361</v>
      </c>
      <c r="J29" s="26">
        <v>0</v>
      </c>
      <c r="K29" s="26">
        <v>0</v>
      </c>
      <c r="L29" s="26">
        <v>0</v>
      </c>
      <c r="M29" s="26">
        <v>0</v>
      </c>
      <c r="N29" s="26"/>
      <c r="O29" s="28">
        <f t="shared" si="3"/>
        <v>7925.9</v>
      </c>
      <c r="P29" s="26">
        <f>1054.75-0.14</f>
        <v>1054.6099999999999</v>
      </c>
      <c r="Q29" s="26">
        <f>+E29*0.115</f>
        <v>803.09100000000001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8">
        <f t="shared" si="4"/>
        <v>1857.701</v>
      </c>
      <c r="X29" s="29">
        <f t="shared" si="5"/>
        <v>6068.1989999999996</v>
      </c>
      <c r="Y29" s="24">
        <v>22</v>
      </c>
      <c r="Z29" s="24"/>
      <c r="AA29" s="24">
        <v>14</v>
      </c>
      <c r="AB29" s="42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</row>
    <row r="30" spans="1:215" s="41" customFormat="1" ht="20.25" customHeight="1">
      <c r="A30" s="33">
        <v>105</v>
      </c>
      <c r="B30" s="34" t="s">
        <v>61</v>
      </c>
      <c r="C30" s="34" t="s">
        <v>42</v>
      </c>
      <c r="D30" s="34" t="s">
        <v>77</v>
      </c>
      <c r="E30" s="35">
        <v>3840.45</v>
      </c>
      <c r="F30" s="35">
        <v>0</v>
      </c>
      <c r="G30" s="35">
        <v>0</v>
      </c>
      <c r="H30" s="36">
        <v>277.98</v>
      </c>
      <c r="I30" s="36">
        <v>171.48</v>
      </c>
      <c r="J30" s="35">
        <v>0</v>
      </c>
      <c r="K30" s="35">
        <v>0</v>
      </c>
      <c r="L30" s="35">
        <v>0</v>
      </c>
      <c r="M30" s="35">
        <v>0</v>
      </c>
      <c r="N30" s="35"/>
      <c r="O30" s="37">
        <f t="shared" si="3"/>
        <v>4289.91</v>
      </c>
      <c r="P30" s="35">
        <f>347.05-0.19</f>
        <v>346.86</v>
      </c>
      <c r="Q30" s="35">
        <f>+E30*0.115</f>
        <v>441.65174999999999</v>
      </c>
      <c r="R30" s="47">
        <v>0</v>
      </c>
      <c r="S30" s="35">
        <v>0</v>
      </c>
      <c r="T30" s="35">
        <v>0</v>
      </c>
      <c r="U30" s="35">
        <v>0</v>
      </c>
      <c r="V30" s="35">
        <v>0</v>
      </c>
      <c r="W30" s="37">
        <f t="shared" si="4"/>
        <v>788.51175000000001</v>
      </c>
      <c r="X30" s="38">
        <f t="shared" si="5"/>
        <v>3501.3982499999997</v>
      </c>
      <c r="Y30" s="33">
        <v>23</v>
      </c>
      <c r="Z30" s="33"/>
      <c r="AA30" s="33">
        <v>1</v>
      </c>
      <c r="AB30" s="39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</row>
    <row r="31" spans="1:215" s="32" customFormat="1" ht="20.25" customHeight="1">
      <c r="A31" s="24">
        <v>107</v>
      </c>
      <c r="B31" s="25" t="s">
        <v>62</v>
      </c>
      <c r="C31" s="25" t="s">
        <v>70</v>
      </c>
      <c r="D31" s="25" t="s">
        <v>76</v>
      </c>
      <c r="E31" s="26">
        <v>6983.4</v>
      </c>
      <c r="F31" s="26">
        <v>0</v>
      </c>
      <c r="G31" s="26">
        <v>0</v>
      </c>
      <c r="H31" s="27">
        <v>361</v>
      </c>
      <c r="I31" s="27">
        <v>581.5</v>
      </c>
      <c r="J31" s="26">
        <v>0</v>
      </c>
      <c r="K31" s="26">
        <v>0</v>
      </c>
      <c r="L31" s="26">
        <v>0</v>
      </c>
      <c r="M31" s="26">
        <v>0</v>
      </c>
      <c r="N31" s="26"/>
      <c r="O31" s="28">
        <f t="shared" si="3"/>
        <v>7925.9</v>
      </c>
      <c r="P31" s="26">
        <f>1054.75+0.06</f>
        <v>1054.81</v>
      </c>
      <c r="Q31" s="26">
        <v>803.09</v>
      </c>
      <c r="R31" s="80">
        <v>0</v>
      </c>
      <c r="S31" s="26">
        <v>0</v>
      </c>
      <c r="T31" s="26">
        <v>0</v>
      </c>
      <c r="U31" s="26">
        <v>0</v>
      </c>
      <c r="V31" s="26">
        <v>0</v>
      </c>
      <c r="W31" s="28">
        <f t="shared" si="4"/>
        <v>1857.9</v>
      </c>
      <c r="X31" s="29">
        <f t="shared" si="5"/>
        <v>6068</v>
      </c>
      <c r="Y31" s="24">
        <v>24</v>
      </c>
      <c r="Z31" s="24"/>
      <c r="AA31" s="24">
        <v>14</v>
      </c>
      <c r="AB31" s="42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</row>
    <row r="32" spans="1:215" s="41" customFormat="1" ht="20.25" customHeight="1">
      <c r="A32" s="33">
        <v>108</v>
      </c>
      <c r="B32" s="34" t="s">
        <v>63</v>
      </c>
      <c r="C32" s="34" t="s">
        <v>48</v>
      </c>
      <c r="D32" s="34" t="s">
        <v>78</v>
      </c>
      <c r="E32" s="35">
        <v>4553.3999999999996</v>
      </c>
      <c r="F32" s="35">
        <v>0</v>
      </c>
      <c r="G32" s="35">
        <v>0</v>
      </c>
      <c r="H32" s="36">
        <v>223.5</v>
      </c>
      <c r="I32" s="36">
        <v>358.5</v>
      </c>
      <c r="J32" s="35">
        <v>0</v>
      </c>
      <c r="K32" s="35">
        <v>0</v>
      </c>
      <c r="L32" s="35">
        <v>0</v>
      </c>
      <c r="M32" s="35">
        <v>0</v>
      </c>
      <c r="N32" s="35"/>
      <c r="O32" s="37">
        <f t="shared" si="3"/>
        <v>5135.3999999999996</v>
      </c>
      <c r="P32" s="35">
        <f>485.9-0.14</f>
        <v>485.76</v>
      </c>
      <c r="Q32" s="35">
        <f>+E32*0.115</f>
        <v>523.64099999999996</v>
      </c>
      <c r="R32" s="47">
        <v>0</v>
      </c>
      <c r="S32" s="35">
        <v>0</v>
      </c>
      <c r="T32" s="35">
        <v>0</v>
      </c>
      <c r="U32" s="35">
        <v>759</v>
      </c>
      <c r="V32" s="35">
        <v>0</v>
      </c>
      <c r="W32" s="37">
        <f t="shared" si="4"/>
        <v>1768.4009999999998</v>
      </c>
      <c r="X32" s="38">
        <f t="shared" si="5"/>
        <v>3366.9989999999998</v>
      </c>
      <c r="Y32" s="33">
        <v>25</v>
      </c>
      <c r="Z32" s="33"/>
      <c r="AA32" s="33">
        <v>2</v>
      </c>
      <c r="AB32" s="39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</row>
    <row r="33" spans="1:215" s="32" customFormat="1" ht="20.25" customHeight="1">
      <c r="A33" s="24">
        <v>109</v>
      </c>
      <c r="B33" s="25" t="s">
        <v>71</v>
      </c>
      <c r="C33" s="25" t="s">
        <v>72</v>
      </c>
      <c r="D33" s="32" t="s">
        <v>76</v>
      </c>
      <c r="E33" s="26">
        <f>7562.4</f>
        <v>7562.4</v>
      </c>
      <c r="F33" s="26">
        <v>0</v>
      </c>
      <c r="G33" s="26">
        <v>0</v>
      </c>
      <c r="H33" s="27">
        <v>378</v>
      </c>
      <c r="I33" s="27">
        <v>603</v>
      </c>
      <c r="J33" s="26">
        <v>0</v>
      </c>
      <c r="K33" s="26">
        <v>0</v>
      </c>
      <c r="L33" s="26">
        <v>0</v>
      </c>
      <c r="M33" s="26">
        <v>0</v>
      </c>
      <c r="N33" s="26"/>
      <c r="O33" s="28">
        <f t="shared" si="3"/>
        <v>8543.4</v>
      </c>
      <c r="P33" s="26">
        <f>1186.65-0.13</f>
        <v>1186.52</v>
      </c>
      <c r="Q33" s="26">
        <v>869.68</v>
      </c>
      <c r="R33" s="80">
        <v>0</v>
      </c>
      <c r="S33" s="26">
        <v>0</v>
      </c>
      <c r="T33" s="26">
        <v>0</v>
      </c>
      <c r="U33" s="26">
        <v>0</v>
      </c>
      <c r="V33" s="26">
        <v>0</v>
      </c>
      <c r="W33" s="28">
        <f t="shared" si="4"/>
        <v>2056.1999999999998</v>
      </c>
      <c r="X33" s="29">
        <f t="shared" si="5"/>
        <v>6487.2</v>
      </c>
      <c r="Y33" s="24">
        <v>26</v>
      </c>
      <c r="Z33" s="24"/>
      <c r="AA33" s="24">
        <v>15</v>
      </c>
      <c r="AB33" s="42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</row>
    <row r="34" spans="1:215" s="41" customFormat="1" ht="20.25" customHeight="1">
      <c r="A34" s="33">
        <v>110</v>
      </c>
      <c r="B34" s="34" t="s">
        <v>64</v>
      </c>
      <c r="C34" s="34" t="s">
        <v>34</v>
      </c>
      <c r="D34" s="34" t="s">
        <v>76</v>
      </c>
      <c r="E34" s="35">
        <v>6273.9</v>
      </c>
      <c r="F34" s="35">
        <v>0</v>
      </c>
      <c r="G34" s="35">
        <v>0</v>
      </c>
      <c r="H34" s="36">
        <v>344.5</v>
      </c>
      <c r="I34" s="36">
        <v>549.5</v>
      </c>
      <c r="J34" s="35">
        <v>0</v>
      </c>
      <c r="K34" s="35">
        <v>0</v>
      </c>
      <c r="L34" s="35">
        <v>0</v>
      </c>
      <c r="M34" s="35">
        <v>0</v>
      </c>
      <c r="N34" s="35"/>
      <c r="O34" s="37">
        <f t="shared" si="3"/>
        <v>7167.9</v>
      </c>
      <c r="P34" s="35">
        <f>892.85+0.15</f>
        <v>893</v>
      </c>
      <c r="Q34" s="35">
        <f>+E34*0.115</f>
        <v>721.49850000000004</v>
      </c>
      <c r="R34" s="47">
        <v>0</v>
      </c>
      <c r="S34" s="35">
        <v>0</v>
      </c>
      <c r="T34" s="35">
        <v>0</v>
      </c>
      <c r="U34" s="35">
        <v>0</v>
      </c>
      <c r="V34" s="35">
        <v>0</v>
      </c>
      <c r="W34" s="37">
        <f t="shared" si="4"/>
        <v>1614.4985000000001</v>
      </c>
      <c r="X34" s="38">
        <f t="shared" si="5"/>
        <v>5553.4014999999999</v>
      </c>
      <c r="Y34" s="33">
        <v>27</v>
      </c>
      <c r="Z34" s="33"/>
      <c r="AA34" s="33">
        <v>16</v>
      </c>
      <c r="AB34" s="39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</row>
    <row r="35" spans="1:215" s="32" customFormat="1" ht="20.25" customHeight="1">
      <c r="A35" s="24">
        <v>111</v>
      </c>
      <c r="B35" s="25" t="s">
        <v>74</v>
      </c>
      <c r="C35" s="25" t="s">
        <v>68</v>
      </c>
      <c r="D35" s="25" t="s">
        <v>78</v>
      </c>
      <c r="E35" s="26">
        <v>13813.5</v>
      </c>
      <c r="F35" s="26">
        <v>0</v>
      </c>
      <c r="G35" s="26">
        <v>0</v>
      </c>
      <c r="H35" s="27">
        <v>559.5</v>
      </c>
      <c r="I35" s="27">
        <v>832</v>
      </c>
      <c r="J35" s="26">
        <v>0</v>
      </c>
      <c r="K35" s="26">
        <v>0</v>
      </c>
      <c r="L35" s="26">
        <v>0</v>
      </c>
      <c r="M35" s="26">
        <v>0</v>
      </c>
      <c r="N35" s="26"/>
      <c r="O35" s="28">
        <f>SUM(E35:M35)</f>
        <v>15205</v>
      </c>
      <c r="P35" s="26">
        <f>2679.84+0.01</f>
        <v>2679.8500000000004</v>
      </c>
      <c r="Q35" s="26">
        <f>+E35*0.115</f>
        <v>1588.5525</v>
      </c>
      <c r="R35" s="80">
        <v>0</v>
      </c>
      <c r="S35" s="26">
        <v>0</v>
      </c>
      <c r="T35" s="26">
        <v>0</v>
      </c>
      <c r="U35" s="26">
        <v>0</v>
      </c>
      <c r="V35" s="26">
        <v>0</v>
      </c>
      <c r="W35" s="28">
        <f t="shared" si="4"/>
        <v>4268.4025000000001</v>
      </c>
      <c r="X35" s="29">
        <f t="shared" si="5"/>
        <v>10936.5975</v>
      </c>
      <c r="Y35" s="24">
        <v>28</v>
      </c>
      <c r="Z35" s="24"/>
      <c r="AA35" s="24">
        <v>20</v>
      </c>
      <c r="AB35" s="42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</row>
    <row r="36" spans="1:215" s="41" customFormat="1" ht="20.25" customHeight="1">
      <c r="A36" s="33">
        <v>112</v>
      </c>
      <c r="B36" s="34" t="s">
        <v>82</v>
      </c>
      <c r="C36" s="34" t="s">
        <v>87</v>
      </c>
      <c r="D36" s="34" t="s">
        <v>78</v>
      </c>
      <c r="E36" s="35">
        <v>13813.5</v>
      </c>
      <c r="F36" s="35">
        <v>0</v>
      </c>
      <c r="G36" s="35">
        <v>0</v>
      </c>
      <c r="H36" s="36">
        <v>559.5</v>
      </c>
      <c r="I36" s="36">
        <v>832</v>
      </c>
      <c r="J36" s="35">
        <v>0</v>
      </c>
      <c r="K36" s="35">
        <v>0</v>
      </c>
      <c r="L36" s="35">
        <v>0</v>
      </c>
      <c r="M36" s="35">
        <v>0</v>
      </c>
      <c r="N36" s="35"/>
      <c r="O36" s="37">
        <f>SUM(E36:M36)</f>
        <v>15205</v>
      </c>
      <c r="P36" s="35">
        <f>2679.84+0.01</f>
        <v>2679.8500000000004</v>
      </c>
      <c r="Q36" s="35">
        <v>1588.55</v>
      </c>
      <c r="R36" s="47">
        <v>0</v>
      </c>
      <c r="S36" s="35">
        <v>0</v>
      </c>
      <c r="T36" s="35">
        <v>0</v>
      </c>
      <c r="U36" s="35">
        <v>0</v>
      </c>
      <c r="V36" s="35">
        <v>0</v>
      </c>
      <c r="W36" s="37">
        <f t="shared" si="4"/>
        <v>4268.4000000000005</v>
      </c>
      <c r="X36" s="38">
        <f t="shared" si="5"/>
        <v>10936.599999999999</v>
      </c>
      <c r="Y36" s="33">
        <v>29</v>
      </c>
      <c r="Z36" s="33"/>
      <c r="AA36" s="33">
        <v>20</v>
      </c>
      <c r="AB36" s="39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</row>
    <row r="37" spans="1:215" s="104" customFormat="1" ht="20.25" customHeight="1">
      <c r="A37" s="97">
        <v>113</v>
      </c>
      <c r="B37" s="98" t="s">
        <v>84</v>
      </c>
      <c r="C37" s="98" t="s">
        <v>46</v>
      </c>
      <c r="D37" s="98" t="s">
        <v>76</v>
      </c>
      <c r="E37" s="99">
        <v>9765.9</v>
      </c>
      <c r="F37" s="99">
        <v>0</v>
      </c>
      <c r="G37" s="99">
        <v>0</v>
      </c>
      <c r="H37" s="100">
        <v>493.5</v>
      </c>
      <c r="I37" s="100">
        <v>732.5</v>
      </c>
      <c r="J37" s="99">
        <v>0</v>
      </c>
      <c r="K37" s="99">
        <v>0</v>
      </c>
      <c r="L37" s="99">
        <v>0</v>
      </c>
      <c r="M37" s="99">
        <v>0</v>
      </c>
      <c r="N37" s="99"/>
      <c r="O37" s="101">
        <f>SUM(E37:M37)</f>
        <v>10991.9</v>
      </c>
      <c r="P37" s="99">
        <f>1709.65+0.17</f>
        <v>1709.8200000000002</v>
      </c>
      <c r="Q37" s="99">
        <v>1123.08</v>
      </c>
      <c r="R37" s="106">
        <v>0</v>
      </c>
      <c r="S37" s="99">
        <v>0</v>
      </c>
      <c r="T37" s="99">
        <v>0</v>
      </c>
      <c r="U37" s="99">
        <v>0</v>
      </c>
      <c r="V37" s="99">
        <v>0</v>
      </c>
      <c r="W37" s="101">
        <f t="shared" si="4"/>
        <v>2832.9</v>
      </c>
      <c r="X37" s="102">
        <f t="shared" si="5"/>
        <v>8159</v>
      </c>
      <c r="Y37" s="97">
        <v>30</v>
      </c>
      <c r="Z37" s="97"/>
      <c r="AA37" s="97">
        <v>17</v>
      </c>
      <c r="AB37" s="105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</row>
    <row r="38" spans="1:215" s="41" customFormat="1" ht="20.25" customHeight="1">
      <c r="A38" s="33"/>
      <c r="B38" s="34"/>
      <c r="C38" s="34"/>
      <c r="D38" s="34"/>
      <c r="E38" s="35"/>
      <c r="F38" s="35"/>
      <c r="G38" s="35"/>
      <c r="H38" s="36"/>
      <c r="I38" s="36"/>
      <c r="J38" s="35"/>
      <c r="K38" s="35"/>
      <c r="L38" s="35"/>
      <c r="M38" s="35"/>
      <c r="N38" s="35"/>
      <c r="O38" s="37"/>
      <c r="P38" s="35"/>
      <c r="Q38" s="35"/>
      <c r="R38" s="47"/>
      <c r="S38" s="35"/>
      <c r="T38" s="35"/>
      <c r="U38" s="35"/>
      <c r="V38" s="35"/>
      <c r="W38" s="37"/>
      <c r="X38" s="38"/>
      <c r="Y38" s="33"/>
      <c r="Z38" s="33"/>
      <c r="AA38" s="33"/>
      <c r="AB38" s="3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</row>
    <row r="39" spans="1:215" s="54" customFormat="1" ht="17.25" customHeight="1" thickBot="1">
      <c r="A39" s="48"/>
      <c r="B39" s="49"/>
      <c r="C39" s="49"/>
      <c r="D39" s="34"/>
      <c r="E39" s="50">
        <f>SUM(E11:E37)</f>
        <v>234461.84999999995</v>
      </c>
      <c r="F39" s="50">
        <f t="shared" ref="F39:X39" si="6">SUM(F11:F37)</f>
        <v>0</v>
      </c>
      <c r="G39" s="50">
        <f t="shared" si="6"/>
        <v>0</v>
      </c>
      <c r="H39" s="50">
        <f t="shared" si="6"/>
        <v>9596.98</v>
      </c>
      <c r="I39" s="50">
        <f t="shared" si="6"/>
        <v>14168.98</v>
      </c>
      <c r="J39" s="50">
        <f t="shared" si="6"/>
        <v>1467.7999999999997</v>
      </c>
      <c r="K39" s="50">
        <f t="shared" si="6"/>
        <v>0</v>
      </c>
      <c r="L39" s="50">
        <f t="shared" si="6"/>
        <v>0</v>
      </c>
      <c r="M39" s="50">
        <f t="shared" si="6"/>
        <v>0</v>
      </c>
      <c r="N39" s="50">
        <f t="shared" si="6"/>
        <v>0</v>
      </c>
      <c r="O39" s="50">
        <f t="shared" si="6"/>
        <v>259695.61</v>
      </c>
      <c r="P39" s="50">
        <f t="shared" si="6"/>
        <v>40376.46</v>
      </c>
      <c r="Q39" s="50">
        <f t="shared" si="6"/>
        <v>26963.160250000001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36894.800000000003</v>
      </c>
      <c r="V39" s="50">
        <f t="shared" si="6"/>
        <v>0</v>
      </c>
      <c r="W39" s="50">
        <f t="shared" si="6"/>
        <v>104234.42024999997</v>
      </c>
      <c r="X39" s="50">
        <f t="shared" si="6"/>
        <v>155461.17975000001</v>
      </c>
      <c r="Y39" s="51"/>
      <c r="Z39" s="51"/>
      <c r="AA39" s="51"/>
      <c r="AB39" s="52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ht="14.25" customHeight="1" thickTop="1">
      <c r="A40" s="55"/>
      <c r="D40" s="88"/>
      <c r="H40" s="55"/>
      <c r="I40" s="55"/>
      <c r="AB40" s="58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</row>
    <row r="41" spans="1:215" ht="15">
      <c r="A41" s="88"/>
      <c r="B41" s="88"/>
      <c r="C41" s="88"/>
      <c r="D41" s="88"/>
      <c r="H41" s="55"/>
      <c r="I41" s="55"/>
      <c r="AB41" s="62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15">
      <c r="A42" s="60"/>
      <c r="B42" s="60"/>
      <c r="I42" s="55"/>
      <c r="J42" s="141"/>
      <c r="K42" s="141"/>
      <c r="L42" s="141"/>
      <c r="M42" s="141"/>
      <c r="N42" s="141"/>
      <c r="O42" s="141"/>
      <c r="P42" s="141"/>
      <c r="Q42" s="60"/>
      <c r="R42" s="60"/>
      <c r="S42" s="60"/>
      <c r="T42" s="60"/>
      <c r="U42" s="60"/>
      <c r="V42" s="60"/>
      <c r="W42" s="57"/>
      <c r="Y42" s="60"/>
      <c r="Z42" s="60"/>
      <c r="AA42" s="60"/>
      <c r="AB42" s="81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</row>
    <row r="43" spans="1:215" ht="46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</row>
    <row r="44" spans="1:215" ht="15">
      <c r="A44" s="88"/>
      <c r="B44" s="88"/>
      <c r="C44" s="88"/>
      <c r="D44" s="88"/>
      <c r="I44" s="60"/>
      <c r="J44" s="141"/>
      <c r="K44" s="141"/>
      <c r="L44" s="141"/>
      <c r="M44" s="141"/>
      <c r="N44" s="141"/>
      <c r="O44" s="141"/>
      <c r="P44" s="141"/>
      <c r="U44" s="88"/>
      <c r="W44" s="57"/>
      <c r="X44" s="61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ht="15">
      <c r="A45" s="60"/>
      <c r="B45" s="60"/>
      <c r="C45" s="60"/>
      <c r="I45" s="60"/>
      <c r="J45" s="141"/>
      <c r="K45" s="141"/>
      <c r="L45" s="141"/>
      <c r="M45" s="141"/>
      <c r="N45" s="141"/>
      <c r="O45" s="141"/>
      <c r="P45" s="141"/>
      <c r="Q45" s="60"/>
      <c r="R45" s="60"/>
      <c r="S45" s="60"/>
      <c r="T45" s="60"/>
      <c r="U45" s="60"/>
      <c r="V45" s="60"/>
      <c r="W45" s="57"/>
      <c r="Y45" s="60"/>
      <c r="Z45" s="60"/>
      <c r="AA45" s="60"/>
      <c r="AB45" s="62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5" s="41" customFormat="1" ht="20.25" customHeight="1">
      <c r="A46" s="33"/>
      <c r="B46" s="34"/>
      <c r="C46" s="34"/>
      <c r="D46" s="88"/>
      <c r="E46" s="35"/>
      <c r="F46" s="35"/>
      <c r="G46" s="35"/>
      <c r="H46" s="36"/>
      <c r="I46" s="36"/>
      <c r="J46" s="35"/>
      <c r="K46" s="35"/>
      <c r="L46" s="35"/>
      <c r="M46" s="35"/>
      <c r="N46" s="35"/>
      <c r="O46" s="37"/>
      <c r="P46" s="35"/>
      <c r="Q46" s="35"/>
      <c r="R46" s="35"/>
      <c r="S46" s="35"/>
      <c r="T46" s="35"/>
      <c r="U46" s="35"/>
      <c r="V46" s="35"/>
      <c r="W46" s="37"/>
      <c r="X46" s="38"/>
      <c r="Y46" s="33"/>
      <c r="Z46" s="33"/>
      <c r="AA46" s="33"/>
      <c r="AB46" s="43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</row>
    <row r="47" spans="1:215">
      <c r="D47" s="60"/>
      <c r="AB47" s="67"/>
    </row>
    <row r="48" spans="1:215" s="54" customFormat="1" ht="17.25" customHeight="1">
      <c r="A48" s="48"/>
      <c r="B48" s="49"/>
      <c r="C48" s="49"/>
      <c r="D48" s="55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1"/>
      <c r="Z48" s="51"/>
      <c r="AA48" s="51"/>
      <c r="AB48" s="69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</row>
    <row r="49" spans="1:214" ht="14.25" customHeight="1">
      <c r="A49" s="55"/>
      <c r="H49" s="55"/>
      <c r="I49" s="55"/>
      <c r="J49" s="141"/>
      <c r="K49" s="141"/>
      <c r="L49" s="141"/>
      <c r="M49" s="141"/>
      <c r="N49" s="141"/>
      <c r="O49" s="141"/>
      <c r="P49" s="141"/>
      <c r="U49" s="56"/>
      <c r="W49" s="57"/>
      <c r="AB49" s="64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</row>
    <row r="50" spans="1:214" ht="15">
      <c r="A50" s="88"/>
      <c r="B50" s="88"/>
      <c r="C50" s="88"/>
      <c r="D50" s="71"/>
      <c r="I50" s="60"/>
      <c r="J50" s="141"/>
      <c r="K50" s="141"/>
      <c r="L50" s="141"/>
      <c r="M50" s="141"/>
      <c r="N50" s="141"/>
      <c r="O50" s="141"/>
      <c r="P50" s="141"/>
      <c r="U50" s="88"/>
      <c r="W50" s="57"/>
      <c r="X50" s="61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51" s="60"/>
      <c r="B51" s="60"/>
      <c r="C51" s="60"/>
      <c r="I51" s="60"/>
      <c r="J51" s="141"/>
      <c r="K51" s="141"/>
      <c r="L51" s="141"/>
      <c r="M51" s="141"/>
      <c r="N51" s="141"/>
      <c r="O51" s="141"/>
      <c r="P51" s="141"/>
      <c r="Q51" s="60"/>
      <c r="R51" s="60"/>
      <c r="S51" s="60"/>
      <c r="T51" s="60"/>
      <c r="U51" s="60"/>
      <c r="V51" s="60"/>
      <c r="W51" s="57"/>
      <c r="Y51" s="60"/>
      <c r="Z51" s="60"/>
      <c r="AA51" s="60"/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ht="15">
      <c r="D53" s="60"/>
      <c r="AB53" s="62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</row>
    <row r="54" spans="1:214" s="54" customFormat="1" ht="15">
      <c r="A54" s="48"/>
      <c r="B54" s="49"/>
      <c r="C54" s="71"/>
      <c r="D54" s="55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51"/>
      <c r="Z54" s="51"/>
      <c r="AA54" s="51"/>
      <c r="AB54" s="72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</row>
    <row r="55" spans="1:214">
      <c r="A55" s="55"/>
      <c r="H55" s="55"/>
      <c r="I55" s="55"/>
      <c r="J55" s="141"/>
      <c r="K55" s="141"/>
      <c r="L55" s="141"/>
      <c r="M55" s="141"/>
      <c r="N55" s="141"/>
      <c r="O55" s="141"/>
      <c r="P55" s="141"/>
      <c r="U55" s="56"/>
      <c r="W55" s="57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</row>
    <row r="56" spans="1:214" ht="15">
      <c r="A56" s="88"/>
      <c r="B56" s="88"/>
      <c r="I56" s="60"/>
      <c r="J56" s="141"/>
      <c r="K56" s="141"/>
      <c r="L56" s="141"/>
      <c r="M56" s="141"/>
      <c r="N56" s="141"/>
      <c r="O56" s="141"/>
      <c r="P56" s="141"/>
      <c r="U56" s="88"/>
      <c r="W56" s="57"/>
      <c r="X56" s="61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A57" s="60"/>
      <c r="B57" s="60"/>
      <c r="C57" s="60"/>
      <c r="I57" s="60"/>
      <c r="J57" s="141"/>
      <c r="K57" s="141"/>
      <c r="L57" s="141"/>
      <c r="M57" s="141"/>
      <c r="N57" s="141"/>
      <c r="O57" s="141"/>
      <c r="P57" s="141"/>
      <c r="Q57" s="60"/>
      <c r="R57" s="60"/>
      <c r="S57" s="60"/>
      <c r="T57" s="60"/>
      <c r="U57" s="88"/>
      <c r="V57" s="73"/>
      <c r="W57" s="57"/>
      <c r="Y57" s="60"/>
      <c r="Z57" s="60"/>
      <c r="AA57" s="6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88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88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88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88"/>
      <c r="V61" s="7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U62" s="88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 ht="15"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</row>
    <row r="67" spans="28:21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 ht="15"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</row>
    <row r="71" spans="28:21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 ht="15"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</row>
    <row r="86" spans="28:211"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 ht="15"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</row>
    <row r="90" spans="28:211"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 ht="15"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</row>
    <row r="108" spans="28:211"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 ht="15"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</row>
    <row r="112" spans="28:211"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 ht="15"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</row>
    <row r="130" spans="28:211"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 ht="15"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28:211"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 ht="15"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28:211"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 ht="15"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28:211"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 ht="15"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28:211"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 ht="15"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28:211"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 ht="15"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28:211"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 ht="15"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28:211"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5"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 ht="12.75"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</row>
    <row r="217" spans="28:211"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 ht="12.75"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</row>
    <row r="221" spans="28:211"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 ht="15"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28:211"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 ht="15"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28:211"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 ht="15"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28:211"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 ht="15"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28:211"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5"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 ht="12.75"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</row>
    <row r="282" spans="28:211"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 ht="12.75"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</row>
    <row r="286" spans="28:211"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 ht="15"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28:211"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 ht="15"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28:211"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 ht="15"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28:211"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 ht="15"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 ht="15"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</row>
    <row r="347" spans="28:211"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 ht="15"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 ht="15"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</row>
    <row r="370" spans="28:211"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 ht="15"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 ht="15"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</row>
    <row r="393" spans="28:211"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 ht="15"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 ht="15"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</row>
    <row r="416" spans="28:211"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 ht="15"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 ht="15"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</row>
    <row r="439" spans="28:211"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 ht="15"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 ht="15"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</row>
    <row r="462" spans="28:211"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 ht="15"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28:211"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</row>
  </sheetData>
  <mergeCells count="28">
    <mergeCell ref="J56:P56"/>
    <mergeCell ref="J57:P57"/>
    <mergeCell ref="J45:P45"/>
    <mergeCell ref="J49:P49"/>
    <mergeCell ref="J50:P50"/>
    <mergeCell ref="J51:P51"/>
    <mergeCell ref="J55:P55"/>
    <mergeCell ref="A7:B7"/>
    <mergeCell ref="E7:O7"/>
    <mergeCell ref="J42:P42"/>
    <mergeCell ref="A43:AA43"/>
    <mergeCell ref="J44:P44"/>
    <mergeCell ref="P7:W7"/>
    <mergeCell ref="X7:X9"/>
    <mergeCell ref="Y7:Y8"/>
    <mergeCell ref="AA7:AA8"/>
    <mergeCell ref="B8:B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P8:P9"/>
    <mergeCell ref="V8:V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6"/>
  <sheetViews>
    <sheetView workbookViewId="0">
      <selection activeCell="G2" sqref="G2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 t="s">
        <v>90</v>
      </c>
      <c r="H2" s="5"/>
      <c r="I2" s="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87"/>
      <c r="D7" s="87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1" t="s">
        <v>9</v>
      </c>
      <c r="D8" s="91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89" t="s">
        <v>83</v>
      </c>
      <c r="O8" s="89" t="s">
        <v>18</v>
      </c>
      <c r="P8" s="125" t="s">
        <v>19</v>
      </c>
      <c r="Q8" s="89" t="s">
        <v>20</v>
      </c>
      <c r="R8" s="89" t="s">
        <v>21</v>
      </c>
      <c r="S8" s="89"/>
      <c r="T8" s="89"/>
      <c r="U8" s="89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0"/>
      <c r="D9" s="90"/>
      <c r="E9" s="126"/>
      <c r="F9" s="126"/>
      <c r="G9" s="126"/>
      <c r="H9" s="144"/>
      <c r="I9" s="144"/>
      <c r="J9" s="147"/>
      <c r="K9" s="126"/>
      <c r="L9" s="126"/>
      <c r="M9" s="126"/>
      <c r="N9" s="90"/>
      <c r="O9" s="90" t="s">
        <v>25</v>
      </c>
      <c r="P9" s="126"/>
      <c r="Q9" s="90" t="s">
        <v>26</v>
      </c>
      <c r="R9" s="90" t="s">
        <v>27</v>
      </c>
      <c r="S9" s="90"/>
      <c r="T9" s="90"/>
      <c r="U9" s="90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f>+'Ene 1a'!E11+'Ene 2a'!E11</f>
        <v>13463.7</v>
      </c>
      <c r="F11" s="26">
        <f>+'Ene 1a'!F11+'Ene 2a'!F11</f>
        <v>0</v>
      </c>
      <c r="G11" s="26">
        <f>+'Ene 1a'!G11+'Ene 2a'!G11</f>
        <v>0</v>
      </c>
      <c r="H11" s="26">
        <f>+'Ene 1a'!H11+'Ene 2a'!H11</f>
        <v>703</v>
      </c>
      <c r="I11" s="26">
        <f>+'Ene 1a'!I11+'Ene 2a'!I11</f>
        <v>1128</v>
      </c>
      <c r="J11" s="26">
        <f>+'Ene 1a'!J11+'Ene 2a'!J11</f>
        <v>292.16000000000003</v>
      </c>
      <c r="K11" s="26">
        <f>+'Ene 1a'!K11+'Ene 2a'!K11</f>
        <v>0</v>
      </c>
      <c r="L11" s="26">
        <f>+'Ene 1a'!L11+'Ene 2a'!L11</f>
        <v>0</v>
      </c>
      <c r="M11" s="26">
        <f>+'Ene 1a'!M11+'Ene 2a'!M11</f>
        <v>0</v>
      </c>
      <c r="N11" s="26">
        <f>+'Ene 1a'!N11+'Ene 2a'!N11</f>
        <v>0</v>
      </c>
      <c r="O11" s="28">
        <f>SUM(E11:M11)</f>
        <v>15586.86</v>
      </c>
      <c r="P11" s="26">
        <f>+'Ene 1a'!P11+'Ene 2a'!P11</f>
        <v>1990.34</v>
      </c>
      <c r="Q11" s="26">
        <f>+'Ene 1a'!Q11+'Ene 2a'!Q11</f>
        <v>1548.3255000000001</v>
      </c>
      <c r="R11" s="26">
        <f>+'Ene 1a'!R11+'Ene 2a'!R11</f>
        <v>0</v>
      </c>
      <c r="S11" s="26">
        <f>+'Ene 1a'!S11+'Ene 2a'!S11</f>
        <v>0</v>
      </c>
      <c r="T11" s="26">
        <f>+'Ene 1a'!T11+'Ene 2a'!T11</f>
        <v>0</v>
      </c>
      <c r="U11" s="26">
        <f>+'Ene 1a'!U11+'Ene 2a'!U11</f>
        <v>4488</v>
      </c>
      <c r="V11" s="26">
        <f>+'Ene 1a'!V11+'Ene 2a'!V11</f>
        <v>0</v>
      </c>
      <c r="W11" s="28">
        <f t="shared" ref="W11:W23" si="0">SUM(P11:V11)</f>
        <v>8026.6655000000001</v>
      </c>
      <c r="X11" s="29">
        <f t="shared" ref="X11:X22" si="1">+O11-W11</f>
        <v>7560.1945000000005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f>+'Ene 1a'!E12+'Ene 2a'!E12</f>
        <v>17212.8</v>
      </c>
      <c r="F12" s="35">
        <f>+'Ene 1a'!F12+'Ene 2a'!F12</f>
        <v>0</v>
      </c>
      <c r="G12" s="35">
        <f>+'Ene 1a'!G12+'Ene 2a'!G12</f>
        <v>0</v>
      </c>
      <c r="H12" s="35">
        <f>+'Ene 1a'!H12+'Ene 2a'!H12</f>
        <v>779</v>
      </c>
      <c r="I12" s="35">
        <f>+'Ene 1a'!I12+'Ene 2a'!I12</f>
        <v>1247</v>
      </c>
      <c r="J12" s="35">
        <f>+'Ene 1a'!J12+'Ene 2a'!J12</f>
        <v>219.12</v>
      </c>
      <c r="K12" s="35">
        <f>+'Ene 1a'!K12+'Ene 2a'!K12</f>
        <v>0</v>
      </c>
      <c r="L12" s="35">
        <f>+'Ene 1a'!L12+'Ene 2a'!L12</f>
        <v>0</v>
      </c>
      <c r="M12" s="35">
        <f>+'Ene 1a'!M12+'Ene 2a'!M12</f>
        <v>0</v>
      </c>
      <c r="N12" s="35">
        <f>+'Ene 1a'!N12+'Ene 2a'!N12</f>
        <v>0</v>
      </c>
      <c r="O12" s="37">
        <f>SUM(E12:M12)</f>
        <v>19457.919999999998</v>
      </c>
      <c r="P12" s="35">
        <f>+'Ene 1a'!P12+'Ene 2a'!P12</f>
        <v>2833.02</v>
      </c>
      <c r="Q12" s="35">
        <f>+'Ene 1a'!Q12+'Ene 2a'!Q12</f>
        <v>1979.492</v>
      </c>
      <c r="R12" s="35">
        <f>+'Ene 1a'!R12+'Ene 2a'!R12</f>
        <v>0</v>
      </c>
      <c r="S12" s="35">
        <f>+'Ene 1a'!S12+'Ene 2a'!S12</f>
        <v>0</v>
      </c>
      <c r="T12" s="35">
        <f>+'Ene 1a'!T12+'Ene 2a'!T12</f>
        <v>0</v>
      </c>
      <c r="U12" s="35">
        <f>+'Ene 1a'!U12+'Ene 2a'!U12</f>
        <v>4000</v>
      </c>
      <c r="V12" s="35">
        <f>+'Ene 1a'!V12+'Ene 2a'!V12</f>
        <v>0</v>
      </c>
      <c r="W12" s="37">
        <f t="shared" si="0"/>
        <v>8812.5119999999988</v>
      </c>
      <c r="X12" s="38">
        <f t="shared" si="1"/>
        <v>10645.407999999999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f>+'Ene 1a'!E13+'Ene 2a'!E13</f>
        <v>13966.8</v>
      </c>
      <c r="F13" s="26">
        <f>+'Ene 1a'!F13+'Ene 2a'!F13</f>
        <v>0</v>
      </c>
      <c r="G13" s="26">
        <f>+'Ene 1a'!G13+'Ene 2a'!G13</f>
        <v>0</v>
      </c>
      <c r="H13" s="26">
        <f>+'Ene 1a'!H13+'Ene 2a'!H13</f>
        <v>722</v>
      </c>
      <c r="I13" s="26">
        <f>+'Ene 1a'!I13+'Ene 2a'!I13</f>
        <v>1163</v>
      </c>
      <c r="J13" s="26">
        <f>+'Ene 1a'!J13+'Ene 2a'!J13</f>
        <v>292.16000000000003</v>
      </c>
      <c r="K13" s="26">
        <f>+'Ene 1a'!K13+'Ene 2a'!K13</f>
        <v>0</v>
      </c>
      <c r="L13" s="26">
        <f>+'Ene 1a'!L13+'Ene 2a'!L13</f>
        <v>0</v>
      </c>
      <c r="M13" s="26">
        <f>+'Ene 1a'!M13+'Ene 2a'!M13</f>
        <v>0</v>
      </c>
      <c r="N13" s="26">
        <f>+'Ene 1a'!N13+'Ene 2a'!N13</f>
        <v>0</v>
      </c>
      <c r="O13" s="28">
        <f>SUM(E13:M13)</f>
        <v>16143.96</v>
      </c>
      <c r="P13" s="26">
        <f>+'Ene 1a'!P13+'Ene 2a'!P13</f>
        <v>2109.4399999999996</v>
      </c>
      <c r="Q13" s="26">
        <f>+'Ene 1a'!Q13+'Ene 2a'!Q13</f>
        <v>1606.202</v>
      </c>
      <c r="R13" s="26">
        <f>+'Ene 1a'!R13+'Ene 2a'!R13</f>
        <v>0</v>
      </c>
      <c r="S13" s="26">
        <f>+'Ene 1a'!S13+'Ene 2a'!S13</f>
        <v>0</v>
      </c>
      <c r="T13" s="26">
        <f>+'Ene 1a'!T13+'Ene 2a'!T13</f>
        <v>0</v>
      </c>
      <c r="U13" s="26">
        <f>+'Ene 1a'!U13+'Ene 2a'!U13</f>
        <v>7178.12</v>
      </c>
      <c r="V13" s="26">
        <f>+'Ene 1a'!V13+'Ene 2a'!V13</f>
        <v>0</v>
      </c>
      <c r="W13" s="28">
        <f t="shared" si="0"/>
        <v>10893.761999999999</v>
      </c>
      <c r="X13" s="29">
        <f t="shared" si="1"/>
        <v>5250.1980000000003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f>+'Ene 1a'!E14+'Ene 2a'!E14</f>
        <v>13463.7</v>
      </c>
      <c r="F14" s="35">
        <f>+'Ene 1a'!F14+'Ene 2a'!F14</f>
        <v>0</v>
      </c>
      <c r="G14" s="35">
        <f>+'Ene 1a'!G14+'Ene 2a'!G14</f>
        <v>0</v>
      </c>
      <c r="H14" s="35">
        <f>+'Ene 1a'!H14+'Ene 2a'!H14</f>
        <v>703</v>
      </c>
      <c r="I14" s="35">
        <f>+'Ene 1a'!I14+'Ene 2a'!I14</f>
        <v>1128</v>
      </c>
      <c r="J14" s="35">
        <f>+'Ene 1a'!J14+'Ene 2a'!J14</f>
        <v>219.12</v>
      </c>
      <c r="K14" s="35">
        <f>+'Ene 1a'!K14+'Ene 2a'!K14</f>
        <v>0</v>
      </c>
      <c r="L14" s="35">
        <f>+'Ene 1a'!L14+'Ene 2a'!L14</f>
        <v>0</v>
      </c>
      <c r="M14" s="35">
        <f>+'Ene 1a'!M14+'Ene 2a'!M14</f>
        <v>0</v>
      </c>
      <c r="N14" s="35">
        <f>+'Ene 1a'!N14+'Ene 2a'!N14</f>
        <v>0</v>
      </c>
      <c r="O14" s="37">
        <f t="shared" ref="O14:O23" si="2">SUM(E14:M14)</f>
        <v>15513.820000000002</v>
      </c>
      <c r="P14" s="35">
        <f>+'Ene 1a'!P14+'Ene 2a'!P14</f>
        <v>1990.5</v>
      </c>
      <c r="Q14" s="35">
        <f>+E14*0.115+0.01</f>
        <v>1548.3355000000001</v>
      </c>
      <c r="R14" s="35">
        <v>0</v>
      </c>
      <c r="S14" s="35">
        <v>0</v>
      </c>
      <c r="T14" s="35">
        <v>0</v>
      </c>
      <c r="U14" s="35">
        <f>+'Ene 1a'!U14+'Ene 2a'!U14</f>
        <v>3600</v>
      </c>
      <c r="V14" s="35">
        <v>0</v>
      </c>
      <c r="W14" s="37">
        <f>SUM(P14:V14)</f>
        <v>7138.8355000000001</v>
      </c>
      <c r="X14" s="38">
        <f t="shared" si="1"/>
        <v>8374.9845000000023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f>+'Ene 1a'!E15+'Ene 2a'!E15</f>
        <v>12904.8</v>
      </c>
      <c r="F15" s="26">
        <f>+'Ene 1a'!F15+'Ene 2a'!F15</f>
        <v>0</v>
      </c>
      <c r="G15" s="26">
        <f>+'Ene 1a'!G15+'Ene 2a'!G15</f>
        <v>0</v>
      </c>
      <c r="H15" s="26">
        <f>+'Ene 1a'!H15+'Ene 2a'!H15</f>
        <v>666</v>
      </c>
      <c r="I15" s="26">
        <f>+'Ene 1a'!I15+'Ene 2a'!I15</f>
        <v>1046</v>
      </c>
      <c r="J15" s="26">
        <f>+'Ene 1a'!J15+'Ene 2a'!J15</f>
        <v>219.12</v>
      </c>
      <c r="K15" s="26">
        <f>+'Ene 1a'!K15+'Ene 2a'!K15</f>
        <v>0</v>
      </c>
      <c r="L15" s="26">
        <f>+'Ene 1a'!L15+'Ene 2a'!L15</f>
        <v>0</v>
      </c>
      <c r="M15" s="26">
        <f>+'Ene 1a'!M15+'Ene 2a'!M15</f>
        <v>0</v>
      </c>
      <c r="N15" s="26">
        <f>+'Ene 1a'!N15+'Ene 2a'!N15</f>
        <v>0</v>
      </c>
      <c r="O15" s="28">
        <f t="shared" si="2"/>
        <v>14835.92</v>
      </c>
      <c r="P15" s="26">
        <f>+'Ene 1a'!P15+'Ene 2a'!P15</f>
        <v>1845.8000000000002</v>
      </c>
      <c r="Q15" s="26">
        <f>+'Ene 1a'!Q15+'Ene 2a'!Q15</f>
        <v>1484.0519999999999</v>
      </c>
      <c r="R15" s="26">
        <f>+'Ene 1a'!R15+'Ene 2a'!R15</f>
        <v>0</v>
      </c>
      <c r="S15" s="26">
        <f>+'Ene 1a'!S15+'Ene 2a'!S15</f>
        <v>0</v>
      </c>
      <c r="T15" s="26">
        <f>+'Ene 1a'!T15+'Ene 2a'!T15</f>
        <v>0</v>
      </c>
      <c r="U15" s="26">
        <f>+'Ene 1a'!U15+'Ene 2a'!U15</f>
        <v>5734.26</v>
      </c>
      <c r="V15" s="26">
        <f>+'Ene 1a'!V15+'Ene 2a'!V15</f>
        <v>0</v>
      </c>
      <c r="W15" s="28">
        <f t="shared" si="0"/>
        <v>9064.112000000001</v>
      </c>
      <c r="X15" s="29">
        <f t="shared" si="1"/>
        <v>5771.8079999999991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f>+'Ene 1a'!E16+'Ene 2a'!E16</f>
        <v>13966.8</v>
      </c>
      <c r="F16" s="35">
        <f>+'Ene 1a'!F16+'Ene 2a'!F16</f>
        <v>0</v>
      </c>
      <c r="G16" s="35">
        <f>+'Ene 1a'!G16+'Ene 2a'!G16</f>
        <v>0</v>
      </c>
      <c r="H16" s="35">
        <f>+'Ene 1a'!H16+'Ene 2a'!H16</f>
        <v>722</v>
      </c>
      <c r="I16" s="35">
        <f>+'Ene 1a'!I16+'Ene 2a'!I16</f>
        <v>1163</v>
      </c>
      <c r="J16" s="35">
        <f>+'Ene 1a'!J16+'Ene 2a'!J16</f>
        <v>219.12</v>
      </c>
      <c r="K16" s="35">
        <f>+'Ene 1a'!K16+'Ene 2a'!K16</f>
        <v>0</v>
      </c>
      <c r="L16" s="35">
        <f>+'Ene 1a'!L16+'Ene 2a'!L16</f>
        <v>0</v>
      </c>
      <c r="M16" s="35">
        <f>+'Ene 1a'!M16+'Ene 2a'!M16</f>
        <v>0</v>
      </c>
      <c r="N16" s="35">
        <f>+'Ene 1a'!N16+'Ene 2a'!N16</f>
        <v>0</v>
      </c>
      <c r="O16" s="37">
        <f t="shared" si="2"/>
        <v>16070.92</v>
      </c>
      <c r="P16" s="35">
        <f>+'Ene 1a'!P16+'Ene 2a'!P16</f>
        <v>2109.54</v>
      </c>
      <c r="Q16" s="35">
        <f>+E16*0.115+0.01</f>
        <v>1606.192</v>
      </c>
      <c r="R16" s="35">
        <v>0</v>
      </c>
      <c r="S16" s="35">
        <v>0</v>
      </c>
      <c r="T16" s="35">
        <v>0</v>
      </c>
      <c r="U16" s="35">
        <f>+'Ene 1a'!U16+'Ene 2a'!U16</f>
        <v>4656</v>
      </c>
      <c r="V16" s="35">
        <v>0</v>
      </c>
      <c r="W16" s="37">
        <f t="shared" si="0"/>
        <v>8371.732</v>
      </c>
      <c r="X16" s="38">
        <f t="shared" si="1"/>
        <v>7699.1880000000001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f>+'Ene 1a'!E17+'Ene 2a'!E17</f>
        <v>7680.9</v>
      </c>
      <c r="F17" s="26">
        <f>+'Ene 1a'!F17+'Ene 2a'!F17</f>
        <v>0</v>
      </c>
      <c r="G17" s="26">
        <f>+'Ene 1a'!G17+'Ene 2a'!G17</f>
        <v>0</v>
      </c>
      <c r="H17" s="26">
        <f>+'Ene 1a'!H17+'Ene 2a'!H17</f>
        <v>343</v>
      </c>
      <c r="I17" s="26">
        <f>+'Ene 1a'!I17+'Ene 2a'!I17</f>
        <v>556</v>
      </c>
      <c r="J17" s="26">
        <f>+'Ene 1a'!J17+'Ene 2a'!J17</f>
        <v>146.08000000000001</v>
      </c>
      <c r="K17" s="26">
        <f>+'Ene 1a'!K17+'Ene 2a'!K17</f>
        <v>0</v>
      </c>
      <c r="L17" s="26">
        <f>+'Ene 1a'!L17+'Ene 2a'!L17</f>
        <v>0</v>
      </c>
      <c r="M17" s="26">
        <f>+'Ene 1a'!M17+'Ene 2a'!M17</f>
        <v>0</v>
      </c>
      <c r="N17" s="26">
        <f>+'Ene 1a'!N17+'Ene 2a'!N17</f>
        <v>0</v>
      </c>
      <c r="O17" s="28">
        <f t="shared" si="2"/>
        <v>8725.98</v>
      </c>
      <c r="P17" s="26">
        <f>+'Ene 1a'!P17+'Ene 2a'!P17</f>
        <v>694.28</v>
      </c>
      <c r="Q17" s="26">
        <f>+'Ene 1a'!Q17+'Ene 2a'!Q17</f>
        <v>883.30349999999999</v>
      </c>
      <c r="R17" s="26">
        <f>+'Ene 1a'!R17+'Ene 2a'!R17</f>
        <v>0</v>
      </c>
      <c r="S17" s="26">
        <f>+'Ene 1a'!S17+'Ene 2a'!S17</f>
        <v>0</v>
      </c>
      <c r="T17" s="26">
        <f>+'Ene 1a'!T17+'Ene 2a'!T17</f>
        <v>0</v>
      </c>
      <c r="U17" s="26">
        <f>+'Ene 1a'!U17+'Ene 2a'!U17</f>
        <v>0</v>
      </c>
      <c r="V17" s="26">
        <f>+'Ene 1a'!V17+'Ene 2a'!V17</f>
        <v>0</v>
      </c>
      <c r="W17" s="28">
        <f t="shared" si="0"/>
        <v>1577.5835</v>
      </c>
      <c r="X17" s="29">
        <f t="shared" si="1"/>
        <v>7148.3964999999998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f>+'Ene 1a'!E18+'Ene 2a'!E18</f>
        <v>7680.9</v>
      </c>
      <c r="F18" s="35">
        <f>+'Ene 1a'!F18+'Ene 2a'!F18</f>
        <v>0</v>
      </c>
      <c r="G18" s="35">
        <f>+'Ene 1a'!G18+'Ene 2a'!G18</f>
        <v>0</v>
      </c>
      <c r="H18" s="35">
        <f>+'Ene 1a'!H18+'Ene 2a'!H18</f>
        <v>343</v>
      </c>
      <c r="I18" s="35">
        <f>+'Ene 1a'!I18+'Ene 2a'!I18</f>
        <v>556</v>
      </c>
      <c r="J18" s="35">
        <f>+'Ene 1a'!J18+'Ene 2a'!J18</f>
        <v>219.12</v>
      </c>
      <c r="K18" s="35">
        <f>+'Ene 1a'!K18+'Ene 2a'!K18</f>
        <v>0</v>
      </c>
      <c r="L18" s="35">
        <f>+'Ene 1a'!L18+'Ene 2a'!L18</f>
        <v>0</v>
      </c>
      <c r="M18" s="35">
        <f>+'Ene 1a'!M18+'Ene 2a'!M18</f>
        <v>0</v>
      </c>
      <c r="N18" s="35">
        <f>+'Ene 1a'!N18+'Ene 2a'!N18</f>
        <v>0</v>
      </c>
      <c r="O18" s="37">
        <f t="shared" si="2"/>
        <v>8799.02</v>
      </c>
      <c r="P18" s="35">
        <f>+'Ene 1a'!P18+'Ene 2a'!P18</f>
        <v>694.12</v>
      </c>
      <c r="Q18" s="35">
        <f>+E18*0.115+0.01</f>
        <v>883.31349999999998</v>
      </c>
      <c r="R18" s="35">
        <v>0</v>
      </c>
      <c r="S18" s="35">
        <v>0</v>
      </c>
      <c r="T18" s="35">
        <v>0</v>
      </c>
      <c r="U18" s="35">
        <f>+'Ene 1a'!U18+'Ene 2a'!U18</f>
        <v>2562</v>
      </c>
      <c r="V18" s="35">
        <v>0</v>
      </c>
      <c r="W18" s="37">
        <f t="shared" si="0"/>
        <v>4139.4335000000001</v>
      </c>
      <c r="X18" s="38">
        <f t="shared" si="1"/>
        <v>4659.5865000000003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f>+'Ene 1a'!E19+'Ene 2a'!E19</f>
        <v>9478.7999999999993</v>
      </c>
      <c r="F19" s="26">
        <f>+'Ene 1a'!F19+'Ene 2a'!F19</f>
        <v>0</v>
      </c>
      <c r="G19" s="26">
        <f>+'Ene 1a'!G19+'Ene 2a'!G19</f>
        <v>0</v>
      </c>
      <c r="H19" s="26">
        <f>+'Ene 1a'!H19+'Ene 2a'!H19</f>
        <v>455</v>
      </c>
      <c r="I19" s="26">
        <f>+'Ene 1a'!I19+'Ene 2a'!I19</f>
        <v>737</v>
      </c>
      <c r="J19" s="26">
        <f>+'Ene 1a'!J19+'Ene 2a'!J19</f>
        <v>146.08000000000001</v>
      </c>
      <c r="K19" s="26">
        <f>+'Ene 1a'!K19+'Ene 2a'!K19</f>
        <v>0</v>
      </c>
      <c r="L19" s="26">
        <f>+'Ene 1a'!L19+'Ene 2a'!L19</f>
        <v>0</v>
      </c>
      <c r="M19" s="26">
        <f>+'Ene 1a'!M19+'Ene 2a'!M19</f>
        <v>0</v>
      </c>
      <c r="N19" s="26">
        <f>+'Ene 1a'!N19+'Ene 2a'!N19</f>
        <v>0</v>
      </c>
      <c r="O19" s="28">
        <f t="shared" si="2"/>
        <v>10816.88</v>
      </c>
      <c r="P19" s="26">
        <f>+'Ene 1a'!P19+'Ene 2a'!P19</f>
        <v>1043.42</v>
      </c>
      <c r="Q19" s="26">
        <f>+'Ene 1a'!Q19+'Ene 2a'!Q19</f>
        <v>1090.0619999999999</v>
      </c>
      <c r="R19" s="26">
        <f>+'Ene 1a'!R19+'Ene 2a'!R19</f>
        <v>0</v>
      </c>
      <c r="S19" s="26">
        <f>+'Ene 1a'!S19+'Ene 2a'!S19</f>
        <v>0</v>
      </c>
      <c r="T19" s="26">
        <f>+'Ene 1a'!T19+'Ene 2a'!T19</f>
        <v>0</v>
      </c>
      <c r="U19" s="26">
        <f>+'Ene 1a'!U19+'Ene 2a'!U19</f>
        <v>0</v>
      </c>
      <c r="V19" s="26">
        <f>+'Ene 1a'!V19+'Ene 2a'!V19</f>
        <v>0</v>
      </c>
      <c r="W19" s="28">
        <f t="shared" si="0"/>
        <v>2133.482</v>
      </c>
      <c r="X19" s="29">
        <f t="shared" si="1"/>
        <v>8683.3979999999992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f>+'Ene 1a'!E20+'Ene 2a'!E20</f>
        <v>12904.8</v>
      </c>
      <c r="F20" s="35">
        <f>+'Ene 1a'!F20+'Ene 2a'!F20</f>
        <v>0</v>
      </c>
      <c r="G20" s="35">
        <f>+'Ene 1a'!G20+'Ene 2a'!G20</f>
        <v>0</v>
      </c>
      <c r="H20" s="35">
        <f>+'Ene 1a'!H20+'Ene 2a'!H20</f>
        <v>666</v>
      </c>
      <c r="I20" s="35">
        <f>+'Ene 1a'!I20+'Ene 2a'!I20</f>
        <v>1046</v>
      </c>
      <c r="J20" s="35">
        <f>+'Ene 1a'!J20+'Ene 2a'!J20</f>
        <v>146.08000000000001</v>
      </c>
      <c r="K20" s="35">
        <f>+'Ene 1a'!K20+'Ene 2a'!K20</f>
        <v>0</v>
      </c>
      <c r="L20" s="35">
        <f>+'Ene 1a'!L20+'Ene 2a'!L20</f>
        <v>0</v>
      </c>
      <c r="M20" s="35">
        <f>+'Ene 1a'!M20+'Ene 2a'!M20</f>
        <v>0</v>
      </c>
      <c r="N20" s="35">
        <f>+'Ene 1a'!N20+'Ene 2a'!N20</f>
        <v>0</v>
      </c>
      <c r="O20" s="37">
        <f t="shared" si="2"/>
        <v>14762.88</v>
      </c>
      <c r="P20" s="35">
        <f>+'Ene 1a'!P20+'Ene 2a'!P20</f>
        <v>1845.8400000000001</v>
      </c>
      <c r="Q20" s="35">
        <f>+E20*0.115+0.01</f>
        <v>1484.0619999999999</v>
      </c>
      <c r="R20" s="35">
        <v>0</v>
      </c>
      <c r="S20" s="35">
        <v>0</v>
      </c>
      <c r="T20" s="35">
        <v>0</v>
      </c>
      <c r="U20" s="35">
        <f>+'Ene 1a'!U20+'Ene 2a'!U20</f>
        <v>6159.98</v>
      </c>
      <c r="V20" s="35">
        <v>0</v>
      </c>
      <c r="W20" s="37">
        <f t="shared" si="0"/>
        <v>9489.8819999999996</v>
      </c>
      <c r="X20" s="38">
        <f t="shared" si="1"/>
        <v>5272.9979999999996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32" customFormat="1" ht="21" customHeight="1">
      <c r="A21" s="24">
        <v>63</v>
      </c>
      <c r="B21" s="25" t="s">
        <v>49</v>
      </c>
      <c r="C21" s="25" t="s">
        <v>34</v>
      </c>
      <c r="D21" s="25" t="s">
        <v>77</v>
      </c>
      <c r="E21" s="26">
        <f>+'Ene 1a'!E21+'Ene 2a'!E21</f>
        <v>13632.6</v>
      </c>
      <c r="F21" s="26">
        <f>+'Ene 1a'!F21+'Ene 2a'!F21</f>
        <v>0</v>
      </c>
      <c r="G21" s="26">
        <f>+'Ene 1a'!G21+'Ene 2a'!G21</f>
        <v>0</v>
      </c>
      <c r="H21" s="26">
        <f>+'Ene 1a'!H21+'Ene 2a'!H21</f>
        <v>679</v>
      </c>
      <c r="I21" s="26">
        <f>+'Ene 1a'!I21+'Ene 2a'!I21</f>
        <v>1093</v>
      </c>
      <c r="J21" s="26">
        <f>+'Ene 1a'!J21+'Ene 2a'!J21</f>
        <v>146.08000000000001</v>
      </c>
      <c r="K21" s="26">
        <f>+'Ene 1a'!K21+'Ene 2a'!K21</f>
        <v>0</v>
      </c>
      <c r="L21" s="26">
        <f>+'Ene 1a'!L21+'Ene 2a'!L21</f>
        <v>0</v>
      </c>
      <c r="M21" s="26">
        <f>+'Ene 1a'!M21+'Ene 2a'!M21</f>
        <v>0</v>
      </c>
      <c r="N21" s="26">
        <f>+'Ene 1a'!N21+'Ene 2a'!N21</f>
        <v>0</v>
      </c>
      <c r="O21" s="28">
        <f t="shared" si="2"/>
        <v>15550.68</v>
      </c>
      <c r="P21" s="26">
        <f>+'Ene 1a'!P21+'Ene 2a'!P21</f>
        <v>2013.8600000000001</v>
      </c>
      <c r="Q21" s="26">
        <f>+'Ene 1a'!Q21+'Ene 2a'!Q21</f>
        <v>1567.749</v>
      </c>
      <c r="R21" s="26">
        <f>+'Ene 1a'!R21+'Ene 2a'!R21</f>
        <v>0</v>
      </c>
      <c r="S21" s="26">
        <f>+'Ene 1a'!S21+'Ene 2a'!S21</f>
        <v>0</v>
      </c>
      <c r="T21" s="26">
        <f>+'Ene 1a'!T21+'Ene 2a'!T21</f>
        <v>0</v>
      </c>
      <c r="U21" s="26">
        <f>+'Ene 1a'!U21+'Ene 2a'!U21</f>
        <v>6879.08</v>
      </c>
      <c r="V21" s="26">
        <f>+'Ene 1a'!V21+'Ene 2a'!V21</f>
        <v>0</v>
      </c>
      <c r="W21" s="28">
        <f t="shared" si="0"/>
        <v>10460.689</v>
      </c>
      <c r="X21" s="29">
        <f t="shared" si="1"/>
        <v>5089.991</v>
      </c>
      <c r="Y21" s="24">
        <v>12</v>
      </c>
      <c r="Z21" s="24"/>
      <c r="AA21" s="24">
        <v>11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</row>
    <row r="22" spans="1:215" s="41" customFormat="1" ht="21" customHeight="1">
      <c r="A22" s="33">
        <v>64</v>
      </c>
      <c r="B22" s="34" t="s">
        <v>50</v>
      </c>
      <c r="C22" s="34" t="s">
        <v>51</v>
      </c>
      <c r="D22" s="34" t="s">
        <v>76</v>
      </c>
      <c r="E22" s="35">
        <f>+'Ene 1a'!E22+'Ene 2a'!E22</f>
        <v>13966.8</v>
      </c>
      <c r="F22" s="35">
        <f>+'Ene 1a'!F22+'Ene 2a'!F22</f>
        <v>0</v>
      </c>
      <c r="G22" s="35">
        <f>+'Ene 1a'!G22+'Ene 2a'!G22</f>
        <v>0</v>
      </c>
      <c r="H22" s="35">
        <f>+'Ene 1a'!H22+'Ene 2a'!H22</f>
        <v>722</v>
      </c>
      <c r="I22" s="35">
        <f>+'Ene 1a'!I22+'Ene 2a'!I22</f>
        <v>1163</v>
      </c>
      <c r="J22" s="35">
        <f>+'Ene 1a'!J22+'Ene 2a'!J22</f>
        <v>219.12</v>
      </c>
      <c r="K22" s="35">
        <f>+'Ene 1a'!K22+'Ene 2a'!K22</f>
        <v>0</v>
      </c>
      <c r="L22" s="35">
        <f>+'Ene 1a'!L22+'Ene 2a'!L22</f>
        <v>0</v>
      </c>
      <c r="M22" s="35">
        <f>+'Ene 1a'!M22+'Ene 2a'!M22</f>
        <v>0</v>
      </c>
      <c r="N22" s="35">
        <f>+'Ene 1a'!N22+'Ene 2a'!N22</f>
        <v>0</v>
      </c>
      <c r="O22" s="37">
        <f t="shared" si="2"/>
        <v>16070.92</v>
      </c>
      <c r="P22" s="35">
        <f>+'Ene 1a'!P22+'Ene 2a'!P22</f>
        <v>2109.38</v>
      </c>
      <c r="Q22" s="35">
        <f>+E22*0.115+0.01</f>
        <v>1606.192</v>
      </c>
      <c r="R22" s="35">
        <v>0</v>
      </c>
      <c r="S22" s="35">
        <v>0</v>
      </c>
      <c r="T22" s="35">
        <v>0</v>
      </c>
      <c r="U22" s="35">
        <f>+'Ene 1a'!U22+'Ene 2a'!U22</f>
        <v>6834.54</v>
      </c>
      <c r="V22" s="35">
        <v>0</v>
      </c>
      <c r="W22" s="37">
        <f t="shared" si="0"/>
        <v>10550.112000000001</v>
      </c>
      <c r="X22" s="38">
        <f t="shared" si="1"/>
        <v>5520.8079999999991</v>
      </c>
      <c r="Y22" s="33">
        <v>13</v>
      </c>
      <c r="Z22" s="33"/>
      <c r="AA22" s="33">
        <v>14</v>
      </c>
      <c r="AB22" s="78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</row>
    <row r="23" spans="1:215" s="32" customFormat="1" ht="21" customHeight="1">
      <c r="A23" s="24">
        <v>79</v>
      </c>
      <c r="B23" s="25" t="s">
        <v>52</v>
      </c>
      <c r="C23" s="25" t="s">
        <v>51</v>
      </c>
      <c r="D23" s="25" t="s">
        <v>76</v>
      </c>
      <c r="E23" s="26">
        <f>+'Ene 1a'!E23+'Ene 2a'!E23</f>
        <v>12537</v>
      </c>
      <c r="F23" s="26">
        <f>+'Ene 1a'!F23+'Ene 2a'!F23</f>
        <v>0</v>
      </c>
      <c r="G23" s="26">
        <f>+'Ene 1a'!G23+'Ene 2a'!G23</f>
        <v>0</v>
      </c>
      <c r="H23" s="26">
        <f>+'Ene 1a'!H23+'Ene 2a'!H23</f>
        <v>661</v>
      </c>
      <c r="I23" s="26">
        <f>+'Ene 1a'!I23+'Ene 2a'!I23</f>
        <v>957</v>
      </c>
      <c r="J23" s="26">
        <f>+'Ene 1a'!J23+'Ene 2a'!J23</f>
        <v>292.16000000000003</v>
      </c>
      <c r="K23" s="26">
        <f>+'Ene 1a'!K23+'Ene 2a'!K23</f>
        <v>0</v>
      </c>
      <c r="L23" s="26">
        <f>+'Ene 1a'!L23+'Ene 2a'!L23</f>
        <v>0</v>
      </c>
      <c r="M23" s="26">
        <f>+'Ene 1a'!M23+'Ene 2a'!M23</f>
        <v>0</v>
      </c>
      <c r="N23" s="26">
        <f>+'Ene 1a'!N23+'Ene 2a'!N23</f>
        <v>0</v>
      </c>
      <c r="O23" s="28">
        <f t="shared" si="2"/>
        <v>14447.16</v>
      </c>
      <c r="P23" s="26">
        <f>+'Ene 1a'!P23+'Ene 2a'!P23</f>
        <v>1747.1999999999998</v>
      </c>
      <c r="Q23" s="26">
        <f>+'Ene 1a'!Q23+'Ene 2a'!Q23</f>
        <v>1441.76</v>
      </c>
      <c r="R23" s="26">
        <f>+'Ene 1a'!R23+'Ene 2a'!R23</f>
        <v>0</v>
      </c>
      <c r="S23" s="26">
        <f>+'Ene 1a'!S23+'Ene 2a'!S23</f>
        <v>0</v>
      </c>
      <c r="T23" s="26">
        <f>+'Ene 1a'!T23+'Ene 2a'!T23</f>
        <v>0</v>
      </c>
      <c r="U23" s="26">
        <f>+'Ene 1a'!U23+'Ene 2a'!U23</f>
        <v>4180</v>
      </c>
      <c r="V23" s="26">
        <f>+'Ene 1a'!V23+'Ene 2a'!V23</f>
        <v>0</v>
      </c>
      <c r="W23" s="28">
        <f t="shared" si="0"/>
        <v>7368.96</v>
      </c>
      <c r="X23" s="29">
        <f>+O23-W23</f>
        <v>7078.2</v>
      </c>
      <c r="Y23" s="24">
        <v>14</v>
      </c>
      <c r="Z23" s="24"/>
      <c r="AA23" s="24">
        <v>9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</row>
    <row r="24" spans="1:215" s="41" customFormat="1" ht="21" customHeight="1">
      <c r="A24" s="33">
        <v>92</v>
      </c>
      <c r="B24" s="34" t="s">
        <v>53</v>
      </c>
      <c r="C24" s="34" t="s">
        <v>42</v>
      </c>
      <c r="D24" s="34" t="s">
        <v>79</v>
      </c>
      <c r="E24" s="35">
        <f>+'Ene 1a'!E24+'Ene 2a'!E24</f>
        <v>9478.7999999999993</v>
      </c>
      <c r="F24" s="35">
        <f>+'Ene 1a'!F24+'Ene 2a'!F24</f>
        <v>0</v>
      </c>
      <c r="G24" s="35">
        <f>+'Ene 1a'!G24+'Ene 2a'!G24</f>
        <v>0</v>
      </c>
      <c r="H24" s="35">
        <f>+'Ene 1a'!H24+'Ene 2a'!H24</f>
        <v>455</v>
      </c>
      <c r="I24" s="35">
        <f>+'Ene 1a'!I24+'Ene 2a'!I24</f>
        <v>737</v>
      </c>
      <c r="J24" s="35">
        <f>+'Ene 1a'!J24+'Ene 2a'!J24</f>
        <v>160.08000000000001</v>
      </c>
      <c r="K24" s="35">
        <f>+'Ene 1a'!K24+'Ene 2a'!K24</f>
        <v>0</v>
      </c>
      <c r="L24" s="35">
        <f>+'Ene 1a'!L24+'Ene 2a'!L24</f>
        <v>0</v>
      </c>
      <c r="M24" s="35">
        <f>+'Ene 1a'!M24+'Ene 2a'!M24</f>
        <v>0</v>
      </c>
      <c r="N24" s="35">
        <f>+'Ene 1a'!N24+'Ene 2a'!N24</f>
        <v>0</v>
      </c>
      <c r="O24" s="37">
        <f>SUM(E24:M24)</f>
        <v>10830.88</v>
      </c>
      <c r="P24" s="35">
        <f>+'Ene 1a'!P24+'Ene 2a'!P24</f>
        <v>1043.6200000000001</v>
      </c>
      <c r="Q24" s="35">
        <f>+E24*0.115+0.01</f>
        <v>1090.0719999999999</v>
      </c>
      <c r="R24" s="35">
        <v>0</v>
      </c>
      <c r="S24" s="35">
        <v>0</v>
      </c>
      <c r="T24" s="35">
        <v>0</v>
      </c>
      <c r="U24" s="35">
        <f>+'Ene 1a'!U24+'Ene 2a'!U24</f>
        <v>3128</v>
      </c>
      <c r="V24" s="35">
        <v>0</v>
      </c>
      <c r="W24" s="37">
        <f>SUM(P24:V24)</f>
        <v>5261.692</v>
      </c>
      <c r="X24" s="38">
        <f>+O24-W24</f>
        <v>5569.1879999999992</v>
      </c>
      <c r="Y24" s="33">
        <v>16</v>
      </c>
      <c r="Z24" s="33"/>
      <c r="AA24" s="33">
        <v>2</v>
      </c>
      <c r="AB24" s="78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</row>
    <row r="25" spans="1:215" s="32" customFormat="1" ht="20.25" customHeight="1">
      <c r="A25" s="24">
        <v>96</v>
      </c>
      <c r="B25" s="25" t="s">
        <v>54</v>
      </c>
      <c r="C25" s="25" t="s">
        <v>55</v>
      </c>
      <c r="D25" s="25" t="s">
        <v>78</v>
      </c>
      <c r="E25" s="26">
        <f>+'Ene 1a'!E25+'Ene 2a'!E25</f>
        <v>76938</v>
      </c>
      <c r="F25" s="26">
        <f>+'Ene 1a'!F25+'Ene 2a'!F25</f>
        <v>0</v>
      </c>
      <c r="G25" s="26">
        <f>+'Ene 1a'!G25+'Ene 2a'!G25</f>
        <v>0</v>
      </c>
      <c r="H25" s="26">
        <f>+'Ene 1a'!H25+'Ene 2a'!H25</f>
        <v>0</v>
      </c>
      <c r="I25" s="26">
        <f>+'Ene 1a'!I25+'Ene 2a'!I25</f>
        <v>0</v>
      </c>
      <c r="J25" s="26">
        <f>+'Ene 1a'!J25+'Ene 2a'!J25</f>
        <v>0</v>
      </c>
      <c r="K25" s="26">
        <f>+'Ene 1a'!K25+'Ene 2a'!K25</f>
        <v>0</v>
      </c>
      <c r="L25" s="26">
        <f>+'Ene 1a'!L25+'Ene 2a'!L25</f>
        <v>0</v>
      </c>
      <c r="M25" s="26">
        <f>+'Ene 1a'!M25+'Ene 2a'!M25</f>
        <v>0</v>
      </c>
      <c r="N25" s="26">
        <f>+'Ene 1a'!N25+'Ene 2a'!N25</f>
        <v>0</v>
      </c>
      <c r="O25" s="28">
        <f>SUM(E25:M25)</f>
        <v>76938</v>
      </c>
      <c r="P25" s="26">
        <f>+'Ene 1a'!P25+'Ene 2a'!P25</f>
        <v>18947.32</v>
      </c>
      <c r="Q25" s="26">
        <f>+'Ene 1a'!Q25+'Ene 2a'!Q25</f>
        <v>8847.8700000000008</v>
      </c>
      <c r="R25" s="26">
        <f>+'Ene 1a'!R25+'Ene 2a'!R25</f>
        <v>0</v>
      </c>
      <c r="S25" s="26">
        <f>+'Ene 1a'!S25+'Ene 2a'!S25</f>
        <v>0</v>
      </c>
      <c r="T25" s="26">
        <f>+'Ene 1a'!T25+'Ene 2a'!T25</f>
        <v>0</v>
      </c>
      <c r="U25" s="26">
        <f>+'Ene 1a'!U25+'Ene 2a'!U25</f>
        <v>0</v>
      </c>
      <c r="V25" s="26">
        <f>+'Ene 1a'!V25+'Ene 2a'!V25</f>
        <v>0</v>
      </c>
      <c r="W25" s="28">
        <f>SUM(P25:V25)</f>
        <v>27795.190000000002</v>
      </c>
      <c r="X25" s="29">
        <f>+O25-W25-0.01</f>
        <v>49142.799999999996</v>
      </c>
      <c r="Y25" s="24">
        <v>17</v>
      </c>
      <c r="Z25" s="24"/>
      <c r="AA25" s="24">
        <v>30</v>
      </c>
      <c r="AB25" s="42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</row>
    <row r="26" spans="1:215" s="41" customFormat="1" ht="20.25" customHeight="1">
      <c r="A26" s="33">
        <v>99</v>
      </c>
      <c r="B26" s="34" t="s">
        <v>56</v>
      </c>
      <c r="C26" s="34" t="s">
        <v>66</v>
      </c>
      <c r="D26" s="34" t="s">
        <v>78</v>
      </c>
      <c r="E26" s="35">
        <f>+'Ene 1a'!E26+'Ene 2a'!E26</f>
        <v>27627</v>
      </c>
      <c r="F26" s="35">
        <f>+'Ene 1a'!F26+'Ene 2a'!F26</f>
        <v>0</v>
      </c>
      <c r="G26" s="35">
        <f>+'Ene 1a'!G26+'Ene 2a'!G26</f>
        <v>0</v>
      </c>
      <c r="H26" s="35">
        <f>+'Ene 1a'!H26+'Ene 2a'!H26</f>
        <v>1119</v>
      </c>
      <c r="I26" s="35">
        <f>+'Ene 1a'!I26+'Ene 2a'!I26</f>
        <v>1664</v>
      </c>
      <c r="J26" s="35">
        <f>+'Ene 1a'!J26+'Ene 2a'!J26</f>
        <v>0</v>
      </c>
      <c r="K26" s="35">
        <f>+'Ene 1a'!K26+'Ene 2a'!K26</f>
        <v>0</v>
      </c>
      <c r="L26" s="35">
        <f>+'Ene 1a'!L26+'Ene 2a'!L26</f>
        <v>0</v>
      </c>
      <c r="M26" s="35">
        <f>+'Ene 1a'!M26+'Ene 2a'!M26</f>
        <v>0</v>
      </c>
      <c r="N26" s="35">
        <f>+'Ene 1a'!N26+'Ene 2a'!N26</f>
        <v>0</v>
      </c>
      <c r="O26" s="37">
        <f>SUM(E26:M26)</f>
        <v>30410</v>
      </c>
      <c r="P26" s="35">
        <f>+'Ene 1a'!P26+'Ene 2a'!P26</f>
        <v>5359.7000000000007</v>
      </c>
      <c r="Q26" s="35">
        <f>+E26*0.115+0.01</f>
        <v>3177.1150000000002</v>
      </c>
      <c r="R26" s="35">
        <v>0</v>
      </c>
      <c r="S26" s="35">
        <v>0</v>
      </c>
      <c r="T26" s="35">
        <v>0</v>
      </c>
      <c r="U26" s="35">
        <f>+'Ene 1a'!U26+'Ene 2a'!U26</f>
        <v>0</v>
      </c>
      <c r="V26" s="35">
        <v>0</v>
      </c>
      <c r="W26" s="37">
        <f>SUM(P26:V26)</f>
        <v>8536.8150000000005</v>
      </c>
      <c r="X26" s="38">
        <f>+O26-W26</f>
        <v>21873.184999999998</v>
      </c>
      <c r="Y26" s="33">
        <v>19</v>
      </c>
      <c r="Z26" s="33"/>
      <c r="AA26" s="33">
        <v>20</v>
      </c>
      <c r="AB26" s="3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</row>
    <row r="27" spans="1:215" s="32" customFormat="1" ht="20.25" customHeight="1">
      <c r="A27" s="24">
        <v>100</v>
      </c>
      <c r="B27" s="25" t="s">
        <v>57</v>
      </c>
      <c r="C27" s="25" t="s">
        <v>58</v>
      </c>
      <c r="D27" s="25" t="s">
        <v>80</v>
      </c>
      <c r="E27" s="26">
        <f>+'Ene 1a'!E27+'Ene 2a'!E27</f>
        <v>27627</v>
      </c>
      <c r="F27" s="26">
        <f>+'Ene 1a'!F27+'Ene 2a'!F27</f>
        <v>0</v>
      </c>
      <c r="G27" s="26">
        <f>+'Ene 1a'!G27+'Ene 2a'!G27</f>
        <v>0</v>
      </c>
      <c r="H27" s="26">
        <f>+'Ene 1a'!H27+'Ene 2a'!H27</f>
        <v>1119</v>
      </c>
      <c r="I27" s="26">
        <f>+'Ene 1a'!I27+'Ene 2a'!I27</f>
        <v>1664</v>
      </c>
      <c r="J27" s="26">
        <f>+'Ene 1a'!J27+'Ene 2a'!J27</f>
        <v>0</v>
      </c>
      <c r="K27" s="26">
        <f>+'Ene 1a'!K27+'Ene 2a'!K27</f>
        <v>0</v>
      </c>
      <c r="L27" s="26">
        <f>+'Ene 1a'!L27+'Ene 2a'!L27</f>
        <v>0</v>
      </c>
      <c r="M27" s="26">
        <f>+'Ene 1a'!M27+'Ene 2a'!M27</f>
        <v>0</v>
      </c>
      <c r="N27" s="26">
        <f>+'Ene 1a'!N27+'Ene 2a'!N27</f>
        <v>0</v>
      </c>
      <c r="O27" s="28">
        <f>SUM(E27:M27)</f>
        <v>30410</v>
      </c>
      <c r="P27" s="26">
        <f>+'Ene 1a'!P27+'Ene 2a'!P27</f>
        <v>5359.68</v>
      </c>
      <c r="Q27" s="26">
        <f>+'Ene 1a'!Q27+'Ene 2a'!Q27</f>
        <v>3177.105</v>
      </c>
      <c r="R27" s="26">
        <f>+'Ene 1a'!R27+'Ene 2a'!R27</f>
        <v>0</v>
      </c>
      <c r="S27" s="26">
        <f>+'Ene 1a'!S27+'Ene 2a'!S27</f>
        <v>0</v>
      </c>
      <c r="T27" s="26">
        <f>+'Ene 1a'!T27+'Ene 2a'!T27</f>
        <v>0</v>
      </c>
      <c r="U27" s="26">
        <f>+'Ene 1a'!U27+'Ene 2a'!U27</f>
        <v>12871.62</v>
      </c>
      <c r="V27" s="26">
        <f>+'Ene 1a'!V27+'Ene 2a'!V27</f>
        <v>0</v>
      </c>
      <c r="W27" s="28">
        <f>SUM(P27:V27)</f>
        <v>21408.404999999999</v>
      </c>
      <c r="X27" s="29">
        <f>+O27-W27</f>
        <v>9001.5950000000012</v>
      </c>
      <c r="Y27" s="24">
        <v>20</v>
      </c>
      <c r="Z27" s="24"/>
      <c r="AA27" s="24">
        <v>20</v>
      </c>
      <c r="AB27" s="42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</row>
    <row r="28" spans="1:215" s="41" customFormat="1" ht="20.25" customHeight="1">
      <c r="A28" s="33">
        <v>101</v>
      </c>
      <c r="B28" s="34" t="s">
        <v>59</v>
      </c>
      <c r="C28" s="34" t="s">
        <v>67</v>
      </c>
      <c r="D28" s="34" t="s">
        <v>77</v>
      </c>
      <c r="E28" s="35">
        <f>+'Ene 1a'!E28+'Ene 2a'!E28</f>
        <v>17212.8</v>
      </c>
      <c r="F28" s="35">
        <f>+'Ene 1a'!F28+'Ene 2a'!F28</f>
        <v>0</v>
      </c>
      <c r="G28" s="35">
        <f>+'Ene 1a'!G28+'Ene 2a'!G28</f>
        <v>0</v>
      </c>
      <c r="H28" s="35">
        <f>+'Ene 1a'!H28+'Ene 2a'!H28</f>
        <v>779</v>
      </c>
      <c r="I28" s="35">
        <f>+'Ene 1a'!I28+'Ene 2a'!I28</f>
        <v>1247</v>
      </c>
      <c r="J28" s="35">
        <f>+'Ene 1a'!J28+'Ene 2a'!J28</f>
        <v>0</v>
      </c>
      <c r="K28" s="35">
        <f>+'Ene 1a'!K28+'Ene 2a'!K28</f>
        <v>0</v>
      </c>
      <c r="L28" s="35">
        <f>+'Ene 1a'!L28+'Ene 2a'!L28</f>
        <v>0</v>
      </c>
      <c r="M28" s="35">
        <f>+'Ene 1a'!M28+'Ene 2a'!M28</f>
        <v>0</v>
      </c>
      <c r="N28" s="35">
        <f>+'Ene 1a'!N28+'Ene 2a'!N28</f>
        <v>0</v>
      </c>
      <c r="O28" s="37">
        <f t="shared" ref="O28:O34" si="3">SUM(E28:M28)</f>
        <v>19238.8</v>
      </c>
      <c r="P28" s="35">
        <f>+'Ene 1a'!P28+'Ene 2a'!P28</f>
        <v>2833.1000000000004</v>
      </c>
      <c r="Q28" s="35">
        <f>+E28*0.115+0.01</f>
        <v>1979.482</v>
      </c>
      <c r="R28" s="35">
        <v>0</v>
      </c>
      <c r="S28" s="35">
        <v>0</v>
      </c>
      <c r="T28" s="35">
        <v>0</v>
      </c>
      <c r="U28" s="35">
        <f>+'Ene 1a'!U28+'Ene 2a'!U28</f>
        <v>0</v>
      </c>
      <c r="V28" s="35">
        <v>0</v>
      </c>
      <c r="W28" s="37">
        <f t="shared" ref="W28:W37" si="4">SUM(P28:V28)</f>
        <v>4812.5820000000003</v>
      </c>
      <c r="X28" s="38">
        <f t="shared" ref="X28:X37" si="5">+O28-W28</f>
        <v>14426.217999999999</v>
      </c>
      <c r="Y28" s="33">
        <v>21</v>
      </c>
      <c r="Z28" s="33"/>
      <c r="AA28" s="33">
        <v>16</v>
      </c>
      <c r="AB28" s="3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</row>
    <row r="29" spans="1:215" s="32" customFormat="1" ht="20.25" customHeight="1">
      <c r="A29" s="24">
        <v>104</v>
      </c>
      <c r="B29" s="25" t="s">
        <v>60</v>
      </c>
      <c r="C29" s="25" t="s">
        <v>69</v>
      </c>
      <c r="D29" s="25" t="s">
        <v>78</v>
      </c>
      <c r="E29" s="26">
        <f>+'Ene 1a'!E29+'Ene 2a'!E29</f>
        <v>13966.8</v>
      </c>
      <c r="F29" s="26">
        <f>+'Ene 1a'!F29+'Ene 2a'!F29</f>
        <v>0</v>
      </c>
      <c r="G29" s="26">
        <f>+'Ene 1a'!G29+'Ene 2a'!G29</f>
        <v>0</v>
      </c>
      <c r="H29" s="26">
        <f>+'Ene 1a'!H29+'Ene 2a'!H29</f>
        <v>1163</v>
      </c>
      <c r="I29" s="26">
        <f>+'Ene 1a'!I29+'Ene 2a'!I29</f>
        <v>722</v>
      </c>
      <c r="J29" s="26">
        <f>+'Ene 1a'!J29+'Ene 2a'!J29</f>
        <v>0</v>
      </c>
      <c r="K29" s="26">
        <f>+'Ene 1a'!K29+'Ene 2a'!K29</f>
        <v>0</v>
      </c>
      <c r="L29" s="26">
        <f>+'Ene 1a'!L29+'Ene 2a'!L29</f>
        <v>0</v>
      </c>
      <c r="M29" s="26">
        <f>+'Ene 1a'!M29+'Ene 2a'!M29</f>
        <v>0</v>
      </c>
      <c r="N29" s="26">
        <f>+'Ene 1a'!N29+'Ene 2a'!N29</f>
        <v>0</v>
      </c>
      <c r="O29" s="28">
        <f t="shared" si="3"/>
        <v>15851.8</v>
      </c>
      <c r="P29" s="26">
        <f>+'Ene 1a'!P29+'Ene 2a'!P29</f>
        <v>2109.42</v>
      </c>
      <c r="Q29" s="26">
        <f>+'Ene 1a'!Q29+'Ene 2a'!Q29</f>
        <v>1606.182</v>
      </c>
      <c r="R29" s="26">
        <f>+'Ene 1a'!R29+'Ene 2a'!R29</f>
        <v>0</v>
      </c>
      <c r="S29" s="26">
        <f>+'Ene 1a'!S29+'Ene 2a'!S29</f>
        <v>0</v>
      </c>
      <c r="T29" s="26">
        <f>+'Ene 1a'!T29+'Ene 2a'!T29</f>
        <v>0</v>
      </c>
      <c r="U29" s="26">
        <f>+'Ene 1a'!U29+'Ene 2a'!U29</f>
        <v>0</v>
      </c>
      <c r="V29" s="26">
        <f>+'Ene 1a'!V29+'Ene 2a'!V29</f>
        <v>0</v>
      </c>
      <c r="W29" s="28">
        <f t="shared" si="4"/>
        <v>3715.6019999999999</v>
      </c>
      <c r="X29" s="29">
        <f t="shared" si="5"/>
        <v>12136.198</v>
      </c>
      <c r="Y29" s="24">
        <v>22</v>
      </c>
      <c r="Z29" s="24"/>
      <c r="AA29" s="24">
        <v>14</v>
      </c>
      <c r="AB29" s="42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</row>
    <row r="30" spans="1:215" s="41" customFormat="1" ht="20.25" customHeight="1">
      <c r="A30" s="33">
        <v>105</v>
      </c>
      <c r="B30" s="34" t="s">
        <v>61</v>
      </c>
      <c r="C30" s="34" t="s">
        <v>42</v>
      </c>
      <c r="D30" s="34" t="s">
        <v>77</v>
      </c>
      <c r="E30" s="35">
        <f>+'Ene 1a'!E30+'Ene 2a'!E30</f>
        <v>7680.9</v>
      </c>
      <c r="F30" s="35">
        <f>+'Ene 1a'!F30+'Ene 2a'!F30</f>
        <v>0</v>
      </c>
      <c r="G30" s="35">
        <f>+'Ene 1a'!G30+'Ene 2a'!G30</f>
        <v>0</v>
      </c>
      <c r="H30" s="35">
        <f>+'Ene 1a'!H30+'Ene 2a'!H30</f>
        <v>555.96</v>
      </c>
      <c r="I30" s="35">
        <f>+'Ene 1a'!I30+'Ene 2a'!I30</f>
        <v>342.96</v>
      </c>
      <c r="J30" s="35">
        <f>+'Ene 1a'!J30+'Ene 2a'!J30</f>
        <v>0</v>
      </c>
      <c r="K30" s="35">
        <f>+'Ene 1a'!K30+'Ene 2a'!K30</f>
        <v>0</v>
      </c>
      <c r="L30" s="35">
        <f>+'Ene 1a'!L30+'Ene 2a'!L30</f>
        <v>0</v>
      </c>
      <c r="M30" s="35">
        <f>+'Ene 1a'!M30+'Ene 2a'!M30</f>
        <v>0</v>
      </c>
      <c r="N30" s="35">
        <f>+'Ene 1a'!N30+'Ene 2a'!N30</f>
        <v>0</v>
      </c>
      <c r="O30" s="37">
        <f t="shared" si="3"/>
        <v>8579.82</v>
      </c>
      <c r="P30" s="35">
        <f>+'Ene 1a'!P30+'Ene 2a'!P30</f>
        <v>693.92000000000007</v>
      </c>
      <c r="Q30" s="35">
        <f>+E30*0.115+0.01</f>
        <v>883.31349999999998</v>
      </c>
      <c r="R30" s="35">
        <v>0</v>
      </c>
      <c r="S30" s="35">
        <v>0</v>
      </c>
      <c r="T30" s="35">
        <v>0</v>
      </c>
      <c r="U30" s="35">
        <f>+'Ene 1a'!U30+'Ene 2a'!U30</f>
        <v>0</v>
      </c>
      <c r="V30" s="35">
        <v>0</v>
      </c>
      <c r="W30" s="37">
        <f t="shared" si="4"/>
        <v>1577.2335</v>
      </c>
      <c r="X30" s="38">
        <f t="shared" si="5"/>
        <v>7002.5864999999994</v>
      </c>
      <c r="Y30" s="33">
        <v>23</v>
      </c>
      <c r="Z30" s="33"/>
      <c r="AA30" s="33">
        <v>1</v>
      </c>
      <c r="AB30" s="39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</row>
    <row r="31" spans="1:215" s="32" customFormat="1" ht="20.25" customHeight="1">
      <c r="A31" s="24">
        <v>107</v>
      </c>
      <c r="B31" s="25" t="s">
        <v>62</v>
      </c>
      <c r="C31" s="25" t="s">
        <v>70</v>
      </c>
      <c r="D31" s="25" t="s">
        <v>76</v>
      </c>
      <c r="E31" s="26">
        <f>+'Ene 1a'!E31+'Ene 2a'!E31</f>
        <v>13966.8</v>
      </c>
      <c r="F31" s="26">
        <f>+'Ene 1a'!F31+'Ene 2a'!F31</f>
        <v>0</v>
      </c>
      <c r="G31" s="26">
        <f>+'Ene 1a'!G31+'Ene 2a'!G31</f>
        <v>0</v>
      </c>
      <c r="H31" s="26">
        <f>+'Ene 1a'!H31+'Ene 2a'!H31</f>
        <v>722</v>
      </c>
      <c r="I31" s="26">
        <f>+'Ene 1a'!I31+'Ene 2a'!I31</f>
        <v>1163</v>
      </c>
      <c r="J31" s="26">
        <f>+'Ene 1a'!J31+'Ene 2a'!J31</f>
        <v>0</v>
      </c>
      <c r="K31" s="26">
        <f>+'Ene 1a'!K31+'Ene 2a'!K31</f>
        <v>0</v>
      </c>
      <c r="L31" s="26">
        <f>+'Ene 1a'!L31+'Ene 2a'!L31</f>
        <v>0</v>
      </c>
      <c r="M31" s="26">
        <f>+'Ene 1a'!M31+'Ene 2a'!M31</f>
        <v>0</v>
      </c>
      <c r="N31" s="26">
        <f>+'Ene 1a'!N31+'Ene 2a'!N31</f>
        <v>0</v>
      </c>
      <c r="O31" s="28">
        <f t="shared" si="3"/>
        <v>15851.8</v>
      </c>
      <c r="P31" s="26">
        <f>+'Ene 1a'!P31+'Ene 2a'!P31</f>
        <v>2109.62</v>
      </c>
      <c r="Q31" s="26">
        <f>+'Ene 1a'!Q31+'Ene 2a'!Q31</f>
        <v>1606.18</v>
      </c>
      <c r="R31" s="26">
        <f>+'Ene 1a'!R31+'Ene 2a'!R31</f>
        <v>0</v>
      </c>
      <c r="S31" s="26">
        <f>+'Ene 1a'!S31+'Ene 2a'!S31</f>
        <v>0</v>
      </c>
      <c r="T31" s="26">
        <f>+'Ene 1a'!T31+'Ene 2a'!T31</f>
        <v>0</v>
      </c>
      <c r="U31" s="26">
        <f>+'Ene 1a'!U31+'Ene 2a'!U31</f>
        <v>0</v>
      </c>
      <c r="V31" s="26">
        <f>+'Ene 1a'!V31+'Ene 2a'!V31</f>
        <v>0</v>
      </c>
      <c r="W31" s="28">
        <f t="shared" si="4"/>
        <v>3715.8</v>
      </c>
      <c r="X31" s="29">
        <f t="shared" si="5"/>
        <v>12136</v>
      </c>
      <c r="Y31" s="24">
        <v>24</v>
      </c>
      <c r="Z31" s="24"/>
      <c r="AA31" s="24">
        <v>14</v>
      </c>
      <c r="AB31" s="42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</row>
    <row r="32" spans="1:215" s="41" customFormat="1" ht="20.25" customHeight="1">
      <c r="A32" s="33">
        <v>108</v>
      </c>
      <c r="B32" s="34" t="s">
        <v>63</v>
      </c>
      <c r="C32" s="34" t="s">
        <v>48</v>
      </c>
      <c r="D32" s="34" t="s">
        <v>78</v>
      </c>
      <c r="E32" s="35">
        <f>+'Ene 1a'!E32+'Ene 2a'!E32</f>
        <v>9106.7999999999993</v>
      </c>
      <c r="F32" s="35">
        <f>+'Ene 1a'!F32+'Ene 2a'!F32</f>
        <v>0</v>
      </c>
      <c r="G32" s="35">
        <f>+'Ene 1a'!G32+'Ene 2a'!G32</f>
        <v>0</v>
      </c>
      <c r="H32" s="35">
        <f>+'Ene 1a'!H32+'Ene 2a'!H32</f>
        <v>447</v>
      </c>
      <c r="I32" s="35">
        <f>+'Ene 1a'!I32+'Ene 2a'!I32</f>
        <v>717</v>
      </c>
      <c r="J32" s="35">
        <f>+'Ene 1a'!J32+'Ene 2a'!J32</f>
        <v>0</v>
      </c>
      <c r="K32" s="35">
        <f>+'Ene 1a'!K32+'Ene 2a'!K32</f>
        <v>0</v>
      </c>
      <c r="L32" s="35">
        <f>+'Ene 1a'!L32+'Ene 2a'!L32</f>
        <v>0</v>
      </c>
      <c r="M32" s="35">
        <f>+'Ene 1a'!M32+'Ene 2a'!M32</f>
        <v>0</v>
      </c>
      <c r="N32" s="35">
        <f>+'Ene 1a'!N32+'Ene 2a'!N32</f>
        <v>0</v>
      </c>
      <c r="O32" s="37">
        <f t="shared" si="3"/>
        <v>10270.799999999999</v>
      </c>
      <c r="P32" s="35">
        <f>+'Ene 1a'!P32+'Ene 2a'!P32</f>
        <v>971.72</v>
      </c>
      <c r="Q32" s="35">
        <f>+E32*0.115+0.01</f>
        <v>1047.2919999999999</v>
      </c>
      <c r="R32" s="35">
        <v>0</v>
      </c>
      <c r="S32" s="35">
        <v>0</v>
      </c>
      <c r="T32" s="35">
        <v>0</v>
      </c>
      <c r="U32" s="35">
        <f>+'Ene 1a'!U32+'Ene 2a'!U32</f>
        <v>1518</v>
      </c>
      <c r="V32" s="35">
        <v>0</v>
      </c>
      <c r="W32" s="37">
        <f t="shared" si="4"/>
        <v>3537.0119999999997</v>
      </c>
      <c r="X32" s="38">
        <f t="shared" si="5"/>
        <v>6733.7879999999996</v>
      </c>
      <c r="Y32" s="33">
        <v>25</v>
      </c>
      <c r="Z32" s="33"/>
      <c r="AA32" s="33">
        <v>2</v>
      </c>
      <c r="AB32" s="39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</row>
    <row r="33" spans="1:215" s="32" customFormat="1" ht="20.25" customHeight="1">
      <c r="A33" s="24">
        <v>109</v>
      </c>
      <c r="B33" s="25" t="s">
        <v>71</v>
      </c>
      <c r="C33" s="25" t="s">
        <v>72</v>
      </c>
      <c r="D33" s="32" t="s">
        <v>76</v>
      </c>
      <c r="E33" s="26">
        <f>+'Ene 1a'!E33+'Ene 2a'!E33</f>
        <v>15124.8</v>
      </c>
      <c r="F33" s="26">
        <f>+'Ene 1a'!F33+'Ene 2a'!F33</f>
        <v>0</v>
      </c>
      <c r="G33" s="26">
        <f>+'Ene 1a'!G33+'Ene 2a'!G33</f>
        <v>0</v>
      </c>
      <c r="H33" s="26">
        <f>+'Ene 1a'!H33+'Ene 2a'!H33</f>
        <v>756</v>
      </c>
      <c r="I33" s="26">
        <f>+'Ene 1a'!I33+'Ene 2a'!I33</f>
        <v>1206</v>
      </c>
      <c r="J33" s="26">
        <f>+'Ene 1a'!J33+'Ene 2a'!J33</f>
        <v>0</v>
      </c>
      <c r="K33" s="26">
        <f>+'Ene 1a'!K33+'Ene 2a'!K33</f>
        <v>0</v>
      </c>
      <c r="L33" s="26">
        <f>+'Ene 1a'!L33+'Ene 2a'!L33</f>
        <v>0</v>
      </c>
      <c r="M33" s="26">
        <f>+'Ene 1a'!M33+'Ene 2a'!M33</f>
        <v>0</v>
      </c>
      <c r="N33" s="26">
        <f>+'Ene 1a'!N33+'Ene 2a'!N33</f>
        <v>0</v>
      </c>
      <c r="O33" s="28">
        <f t="shared" si="3"/>
        <v>17086.8</v>
      </c>
      <c r="P33" s="26">
        <f>+'Ene 1a'!P33+'Ene 2a'!P33</f>
        <v>2373.2399999999998</v>
      </c>
      <c r="Q33" s="26">
        <f>+'Ene 1a'!Q33+'Ene 2a'!Q33</f>
        <v>1739.36</v>
      </c>
      <c r="R33" s="26">
        <f>+'Ene 1a'!R33+'Ene 2a'!R33</f>
        <v>0</v>
      </c>
      <c r="S33" s="26">
        <f>+'Ene 1a'!S33+'Ene 2a'!S33</f>
        <v>0</v>
      </c>
      <c r="T33" s="26">
        <f>+'Ene 1a'!T33+'Ene 2a'!T33</f>
        <v>0</v>
      </c>
      <c r="U33" s="26">
        <f>+'Ene 1a'!U33+'Ene 2a'!U33</f>
        <v>0</v>
      </c>
      <c r="V33" s="26">
        <f>+'Ene 1a'!V33+'Ene 2a'!V33</f>
        <v>0</v>
      </c>
      <c r="W33" s="28">
        <f t="shared" si="4"/>
        <v>4112.5999999999995</v>
      </c>
      <c r="X33" s="29">
        <f t="shared" si="5"/>
        <v>12974.2</v>
      </c>
      <c r="Y33" s="24">
        <v>26</v>
      </c>
      <c r="Z33" s="24"/>
      <c r="AA33" s="24">
        <v>15</v>
      </c>
      <c r="AB33" s="42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</row>
    <row r="34" spans="1:215" s="41" customFormat="1" ht="20.25" customHeight="1">
      <c r="A34" s="33">
        <v>110</v>
      </c>
      <c r="B34" s="34" t="s">
        <v>64</v>
      </c>
      <c r="C34" s="34" t="s">
        <v>34</v>
      </c>
      <c r="D34" s="34" t="s">
        <v>76</v>
      </c>
      <c r="E34" s="35">
        <f>+'Ene 1a'!E34+'Ene 2a'!E34</f>
        <v>12547.8</v>
      </c>
      <c r="F34" s="35">
        <f>+'Ene 1a'!F34+'Ene 2a'!F34</f>
        <v>0</v>
      </c>
      <c r="G34" s="35">
        <f>+'Ene 1a'!G34+'Ene 2a'!G34</f>
        <v>0</v>
      </c>
      <c r="H34" s="35">
        <f>+'Ene 1a'!H34+'Ene 2a'!H34</f>
        <v>689</v>
      </c>
      <c r="I34" s="35">
        <f>+'Ene 1a'!I34+'Ene 2a'!I34</f>
        <v>1099</v>
      </c>
      <c r="J34" s="35">
        <f>+'Ene 1a'!J34+'Ene 2a'!J34</f>
        <v>0</v>
      </c>
      <c r="K34" s="35">
        <f>+'Ene 1a'!K34+'Ene 2a'!K34</f>
        <v>0</v>
      </c>
      <c r="L34" s="35">
        <f>+'Ene 1a'!L34+'Ene 2a'!L34</f>
        <v>0</v>
      </c>
      <c r="M34" s="35">
        <f>+'Ene 1a'!M34+'Ene 2a'!M34</f>
        <v>0</v>
      </c>
      <c r="N34" s="35">
        <f>+'Ene 1a'!N34+'Ene 2a'!N34</f>
        <v>0</v>
      </c>
      <c r="O34" s="37">
        <f t="shared" si="3"/>
        <v>14335.8</v>
      </c>
      <c r="P34" s="35">
        <f>+'Ene 1a'!P34+'Ene 2a'!P34</f>
        <v>1785.8000000000002</v>
      </c>
      <c r="Q34" s="35">
        <f>+E34*0.115+0.01</f>
        <v>1443.0070000000001</v>
      </c>
      <c r="R34" s="35">
        <v>0</v>
      </c>
      <c r="S34" s="35">
        <v>0</v>
      </c>
      <c r="T34" s="35">
        <v>0</v>
      </c>
      <c r="U34" s="35">
        <f>+'Ene 1a'!U34+'Ene 2a'!U34</f>
        <v>0</v>
      </c>
      <c r="V34" s="35">
        <v>0</v>
      </c>
      <c r="W34" s="37">
        <f t="shared" si="4"/>
        <v>3228.8070000000002</v>
      </c>
      <c r="X34" s="38">
        <f t="shared" si="5"/>
        <v>11106.992999999999</v>
      </c>
      <c r="Y34" s="33">
        <v>27</v>
      </c>
      <c r="Z34" s="33"/>
      <c r="AA34" s="33">
        <v>16</v>
      </c>
      <c r="AB34" s="39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</row>
    <row r="35" spans="1:215" s="32" customFormat="1" ht="20.25" customHeight="1">
      <c r="A35" s="24">
        <v>111</v>
      </c>
      <c r="B35" s="25" t="s">
        <v>74</v>
      </c>
      <c r="C35" s="25" t="s">
        <v>68</v>
      </c>
      <c r="D35" s="25" t="s">
        <v>78</v>
      </c>
      <c r="E35" s="26">
        <f>+'Ene 1a'!E35+'Ene 2a'!E35</f>
        <v>27627</v>
      </c>
      <c r="F35" s="26">
        <f>+'Ene 1a'!F35+'Ene 2a'!F35</f>
        <v>0</v>
      </c>
      <c r="G35" s="26">
        <f>+'Ene 1a'!G35+'Ene 2a'!G35</f>
        <v>0</v>
      </c>
      <c r="H35" s="26">
        <f>+'Ene 1a'!H35+'Ene 2a'!H35</f>
        <v>1119</v>
      </c>
      <c r="I35" s="26">
        <f>+'Ene 1a'!I35+'Ene 2a'!I35</f>
        <v>1664</v>
      </c>
      <c r="J35" s="26">
        <f>+'Ene 1a'!J35+'Ene 2a'!J35</f>
        <v>0</v>
      </c>
      <c r="K35" s="26">
        <f>+'Ene 1a'!K35+'Ene 2a'!K35</f>
        <v>0</v>
      </c>
      <c r="L35" s="26">
        <f>+'Ene 1a'!L35+'Ene 2a'!L35</f>
        <v>0</v>
      </c>
      <c r="M35" s="26">
        <f>+'Ene 1a'!M35+'Ene 2a'!M35</f>
        <v>0</v>
      </c>
      <c r="N35" s="26">
        <f>+'Ene 1a'!N35+'Ene 2a'!N35</f>
        <v>0</v>
      </c>
      <c r="O35" s="28">
        <f>SUM(E35:M35)</f>
        <v>30410</v>
      </c>
      <c r="P35" s="26">
        <f>+'Ene 1a'!P35+'Ene 2a'!P35</f>
        <v>5359.7000000000007</v>
      </c>
      <c r="Q35" s="26">
        <f>+'Ene 1a'!Q35+'Ene 2a'!Q35</f>
        <v>3177.105</v>
      </c>
      <c r="R35" s="26">
        <f>+'Ene 1a'!R35+'Ene 2a'!R35</f>
        <v>0</v>
      </c>
      <c r="S35" s="26">
        <f>+'Ene 1a'!S35+'Ene 2a'!S35</f>
        <v>0</v>
      </c>
      <c r="T35" s="26">
        <f>+'Ene 1a'!T35+'Ene 2a'!T35</f>
        <v>0</v>
      </c>
      <c r="U35" s="26">
        <f>+'Ene 1a'!U35+'Ene 2a'!U35</f>
        <v>0</v>
      </c>
      <c r="V35" s="26">
        <f>+'Ene 1a'!V35+'Ene 2a'!V35</f>
        <v>0</v>
      </c>
      <c r="W35" s="28">
        <f t="shared" si="4"/>
        <v>8536.8050000000003</v>
      </c>
      <c r="X35" s="29">
        <f t="shared" si="5"/>
        <v>21873.195</v>
      </c>
      <c r="Y35" s="24">
        <v>28</v>
      </c>
      <c r="Z35" s="24"/>
      <c r="AA35" s="24">
        <v>20</v>
      </c>
      <c r="AB35" s="42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</row>
    <row r="36" spans="1:215" s="41" customFormat="1" ht="20.25" customHeight="1">
      <c r="A36" s="33">
        <v>112</v>
      </c>
      <c r="B36" s="34" t="s">
        <v>82</v>
      </c>
      <c r="C36" s="34" t="s">
        <v>87</v>
      </c>
      <c r="D36" s="34" t="s">
        <v>78</v>
      </c>
      <c r="E36" s="35">
        <f>+'Ene 1a'!E36+'Ene 2a'!E36</f>
        <v>27627</v>
      </c>
      <c r="F36" s="35">
        <f>+'Ene 1a'!F36+'Ene 2a'!F36</f>
        <v>0</v>
      </c>
      <c r="G36" s="35">
        <f>+'Ene 1a'!G36+'Ene 2a'!G36</f>
        <v>0</v>
      </c>
      <c r="H36" s="35">
        <f>+'Ene 1a'!H36+'Ene 2a'!H36</f>
        <v>1119</v>
      </c>
      <c r="I36" s="35">
        <f>+'Ene 1a'!I36+'Ene 2a'!I36</f>
        <v>1664</v>
      </c>
      <c r="J36" s="35">
        <f>+'Ene 1a'!J36+'Ene 2a'!J36</f>
        <v>0</v>
      </c>
      <c r="K36" s="35">
        <f>+'Ene 1a'!K36+'Ene 2a'!K36</f>
        <v>0</v>
      </c>
      <c r="L36" s="35">
        <f>+'Ene 1a'!L36+'Ene 2a'!L36</f>
        <v>0</v>
      </c>
      <c r="M36" s="35">
        <f>+'Ene 1a'!M36+'Ene 2a'!M36</f>
        <v>0</v>
      </c>
      <c r="N36" s="35">
        <f>+'Ene 1a'!N36+'Ene 2a'!N36</f>
        <v>0</v>
      </c>
      <c r="O36" s="37">
        <f>SUM(E36:M36)</f>
        <v>30410</v>
      </c>
      <c r="P36" s="35">
        <f>+'Ene 1a'!P36+'Ene 2a'!P36</f>
        <v>5359.7000000000007</v>
      </c>
      <c r="Q36" s="35">
        <f>+E36*0.115+0.01</f>
        <v>3177.1150000000002</v>
      </c>
      <c r="R36" s="35">
        <v>0</v>
      </c>
      <c r="S36" s="35">
        <v>0</v>
      </c>
      <c r="T36" s="35">
        <v>0</v>
      </c>
      <c r="U36" s="35">
        <f>+'Ene 1a'!U36+'Ene 2a'!U36</f>
        <v>0</v>
      </c>
      <c r="V36" s="35">
        <v>0</v>
      </c>
      <c r="W36" s="37">
        <f t="shared" si="4"/>
        <v>8536.8150000000005</v>
      </c>
      <c r="X36" s="38">
        <f t="shared" si="5"/>
        <v>21873.184999999998</v>
      </c>
      <c r="Y36" s="33">
        <v>29</v>
      </c>
      <c r="Z36" s="33"/>
      <c r="AA36" s="33">
        <v>20</v>
      </c>
      <c r="AB36" s="39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</row>
    <row r="37" spans="1:215" s="104" customFormat="1" ht="20.25" customHeight="1">
      <c r="A37" s="97">
        <v>113</v>
      </c>
      <c r="B37" s="98" t="s">
        <v>84</v>
      </c>
      <c r="C37" s="98" t="s">
        <v>46</v>
      </c>
      <c r="D37" s="98" t="s">
        <v>76</v>
      </c>
      <c r="E37" s="26">
        <f>+'Ene 1a'!E37+'Ene 2a'!E37</f>
        <v>19531.8</v>
      </c>
      <c r="F37" s="26">
        <f>+'Ene 1a'!F37+'Ene 2a'!F37</f>
        <v>0</v>
      </c>
      <c r="G37" s="26">
        <f>+'Ene 1a'!G37+'Ene 2a'!G37</f>
        <v>0</v>
      </c>
      <c r="H37" s="26">
        <f>+'Ene 1a'!H37+'Ene 2a'!H37</f>
        <v>987</v>
      </c>
      <c r="I37" s="26">
        <f>+'Ene 1a'!I37+'Ene 2a'!I37</f>
        <v>1465</v>
      </c>
      <c r="J37" s="26">
        <f>+'Ene 1a'!J37+'Ene 2a'!J37</f>
        <v>0</v>
      </c>
      <c r="K37" s="26">
        <f>+'Ene 1a'!K37+'Ene 2a'!K37</f>
        <v>0</v>
      </c>
      <c r="L37" s="26">
        <f>+'Ene 1a'!L37+'Ene 2a'!L37</f>
        <v>0</v>
      </c>
      <c r="M37" s="26">
        <f>+'Ene 1a'!M37+'Ene 2a'!M37</f>
        <v>0</v>
      </c>
      <c r="N37" s="26">
        <f>+'Ene 1a'!N37+'Ene 2a'!N37</f>
        <v>0</v>
      </c>
      <c r="O37" s="28">
        <f>SUM(E37:M37)</f>
        <v>21983.8</v>
      </c>
      <c r="P37" s="35">
        <f>+'Ene 1a'!P37+'Ene 2a'!P37</f>
        <v>3419.6400000000003</v>
      </c>
      <c r="Q37" s="26">
        <f>+E37*0.115+0.01</f>
        <v>2246.1670000000004</v>
      </c>
      <c r="R37" s="26">
        <v>0</v>
      </c>
      <c r="S37" s="26">
        <v>0</v>
      </c>
      <c r="T37" s="26">
        <v>0</v>
      </c>
      <c r="U37" s="35">
        <f>+'Ene 1a'!U37+'Ene 2a'!U37</f>
        <v>0</v>
      </c>
      <c r="V37" s="26">
        <v>0</v>
      </c>
      <c r="W37" s="101">
        <f t="shared" si="4"/>
        <v>5665.8070000000007</v>
      </c>
      <c r="X37" s="102">
        <f t="shared" si="5"/>
        <v>16317.992999999999</v>
      </c>
      <c r="Y37" s="97">
        <v>30</v>
      </c>
      <c r="Z37" s="97"/>
      <c r="AA37" s="97">
        <v>17</v>
      </c>
      <c r="AB37" s="105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</row>
    <row r="38" spans="1:215" s="41" customFormat="1" ht="20.25" customHeight="1">
      <c r="A38" s="33"/>
      <c r="B38" s="34"/>
      <c r="C38" s="34"/>
      <c r="D38" s="34"/>
      <c r="E38" s="35"/>
      <c r="F38" s="35"/>
      <c r="G38" s="35"/>
      <c r="H38" s="36"/>
      <c r="I38" s="36"/>
      <c r="J38" s="35"/>
      <c r="K38" s="35"/>
      <c r="L38" s="35"/>
      <c r="M38" s="35"/>
      <c r="N38" s="35"/>
      <c r="O38" s="37"/>
      <c r="P38" s="35"/>
      <c r="Q38" s="35"/>
      <c r="R38" s="47"/>
      <c r="S38" s="35"/>
      <c r="T38" s="35"/>
      <c r="U38" s="35"/>
      <c r="V38" s="35"/>
      <c r="W38" s="37"/>
      <c r="X38" s="38"/>
      <c r="Y38" s="33"/>
      <c r="Z38" s="33"/>
      <c r="AA38" s="33"/>
      <c r="AB38" s="3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</row>
    <row r="39" spans="1:215" s="54" customFormat="1" ht="17.25" customHeight="1" thickBot="1">
      <c r="A39" s="48"/>
      <c r="B39" s="49"/>
      <c r="C39" s="49"/>
      <c r="D39" s="34"/>
      <c r="E39" s="50">
        <f>SUM(E11:E37)</f>
        <v>468923.6999999999</v>
      </c>
      <c r="F39" s="50">
        <f t="shared" ref="F39:X39" si="6">SUM(F11:F37)</f>
        <v>0</v>
      </c>
      <c r="G39" s="50">
        <f t="shared" si="6"/>
        <v>0</v>
      </c>
      <c r="H39" s="50">
        <f t="shared" si="6"/>
        <v>19193.96</v>
      </c>
      <c r="I39" s="50">
        <f t="shared" si="6"/>
        <v>28337.96</v>
      </c>
      <c r="J39" s="50">
        <f t="shared" si="6"/>
        <v>2935.5999999999995</v>
      </c>
      <c r="K39" s="50">
        <f t="shared" si="6"/>
        <v>0</v>
      </c>
      <c r="L39" s="50">
        <f t="shared" si="6"/>
        <v>0</v>
      </c>
      <c r="M39" s="50">
        <f t="shared" si="6"/>
        <v>0</v>
      </c>
      <c r="N39" s="50">
        <f t="shared" si="6"/>
        <v>0</v>
      </c>
      <c r="O39" s="50">
        <f t="shared" si="6"/>
        <v>519391.22</v>
      </c>
      <c r="P39" s="50">
        <f>SUM(P11:P37)</f>
        <v>80752.92</v>
      </c>
      <c r="Q39" s="50">
        <f t="shared" si="6"/>
        <v>53926.406499999997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73789.600000000006</v>
      </c>
      <c r="V39" s="50">
        <f t="shared" si="6"/>
        <v>0</v>
      </c>
      <c r="W39" s="50">
        <f t="shared" si="6"/>
        <v>208468.92649999997</v>
      </c>
      <c r="X39" s="50">
        <f t="shared" si="6"/>
        <v>310922.28350000002</v>
      </c>
      <c r="Y39" s="51"/>
      <c r="Z39" s="51"/>
      <c r="AA39" s="51"/>
      <c r="AB39" s="52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ht="14.25" customHeight="1" thickTop="1">
      <c r="A40" s="55"/>
      <c r="D40" s="88"/>
      <c r="H40" s="55"/>
      <c r="I40" s="55"/>
      <c r="AB40" s="58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</row>
    <row r="41" spans="1:215" ht="15">
      <c r="A41" s="88"/>
      <c r="B41" s="88"/>
      <c r="C41" s="88"/>
      <c r="D41" s="88"/>
      <c r="H41" s="55"/>
      <c r="I41" s="55"/>
      <c r="AB41" s="62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15">
      <c r="A42" s="60"/>
      <c r="B42" s="60"/>
      <c r="H42" s="55"/>
      <c r="I42" s="55"/>
      <c r="Y42" s="60"/>
      <c r="Z42" s="60"/>
      <c r="AA42" s="60"/>
      <c r="AB42" s="81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</row>
    <row r="43" spans="1:215" ht="46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</row>
    <row r="44" spans="1:215" ht="15">
      <c r="A44" s="88"/>
      <c r="B44" s="88"/>
      <c r="C44" s="88"/>
      <c r="D44" s="88"/>
      <c r="I44" s="60"/>
      <c r="J44" s="141"/>
      <c r="K44" s="141"/>
      <c r="L44" s="141"/>
      <c r="M44" s="141"/>
      <c r="N44" s="141"/>
      <c r="O44" s="141"/>
      <c r="P44" s="141"/>
      <c r="U44" s="88"/>
      <c r="W44" s="57"/>
      <c r="X44" s="61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ht="15">
      <c r="A45" s="60"/>
      <c r="B45" s="60"/>
      <c r="C45" s="60"/>
      <c r="I45" s="60"/>
      <c r="J45" s="141"/>
      <c r="K45" s="141"/>
      <c r="L45" s="141"/>
      <c r="M45" s="141"/>
      <c r="N45" s="141"/>
      <c r="O45" s="141"/>
      <c r="P45" s="141"/>
      <c r="Q45" s="60"/>
      <c r="R45" s="60"/>
      <c r="S45" s="60"/>
      <c r="T45" s="60"/>
      <c r="U45" s="60"/>
      <c r="V45" s="60"/>
      <c r="W45" s="57"/>
      <c r="Y45" s="60"/>
      <c r="Z45" s="60"/>
      <c r="AA45" s="60"/>
      <c r="AB45" s="62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5" s="41" customFormat="1" ht="20.25" customHeight="1">
      <c r="A46" s="33"/>
      <c r="B46" s="34"/>
      <c r="C46" s="34"/>
      <c r="D46" s="88"/>
      <c r="E46" s="35"/>
      <c r="F46" s="35"/>
      <c r="G46" s="35"/>
      <c r="H46" s="36"/>
      <c r="I46" s="36"/>
      <c r="J46" s="35"/>
      <c r="K46" s="35"/>
      <c r="L46" s="35"/>
      <c r="M46" s="35"/>
      <c r="N46" s="35"/>
      <c r="O46" s="37"/>
      <c r="P46" s="35"/>
      <c r="Q46" s="35"/>
      <c r="R46" s="35"/>
      <c r="S46" s="35"/>
      <c r="T46" s="35"/>
      <c r="U46" s="35"/>
      <c r="V46" s="35"/>
      <c r="W46" s="37"/>
      <c r="X46" s="38"/>
      <c r="Y46" s="33"/>
      <c r="Z46" s="33"/>
      <c r="AA46" s="33"/>
      <c r="AB46" s="43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</row>
    <row r="47" spans="1:215">
      <c r="D47" s="60"/>
      <c r="AB47" s="67"/>
    </row>
    <row r="48" spans="1:215" s="54" customFormat="1" ht="17.25" customHeight="1">
      <c r="A48" s="48"/>
      <c r="B48" s="49"/>
      <c r="C48" s="49"/>
      <c r="D48" s="55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1"/>
      <c r="Z48" s="51"/>
      <c r="AA48" s="51"/>
      <c r="AB48" s="69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</row>
    <row r="49" spans="1:214" ht="14.25" customHeight="1">
      <c r="A49" s="55"/>
      <c r="H49" s="55"/>
      <c r="I49" s="55"/>
      <c r="J49" s="141"/>
      <c r="K49" s="141"/>
      <c r="L49" s="141"/>
      <c r="M49" s="141"/>
      <c r="N49" s="141"/>
      <c r="O49" s="141"/>
      <c r="P49" s="141"/>
      <c r="U49" s="56"/>
      <c r="W49" s="57"/>
      <c r="AB49" s="64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</row>
    <row r="50" spans="1:214" ht="15">
      <c r="A50" s="88"/>
      <c r="B50" s="88"/>
      <c r="C50" s="88"/>
      <c r="D50" s="71"/>
      <c r="I50" s="60"/>
      <c r="J50" s="141"/>
      <c r="K50" s="141"/>
      <c r="L50" s="141"/>
      <c r="M50" s="141"/>
      <c r="N50" s="141"/>
      <c r="O50" s="141"/>
      <c r="P50" s="141"/>
      <c r="U50" s="88"/>
      <c r="W50" s="57"/>
      <c r="X50" s="61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51" s="60"/>
      <c r="B51" s="60"/>
      <c r="C51" s="60"/>
      <c r="I51" s="60"/>
      <c r="J51" s="141"/>
      <c r="K51" s="141"/>
      <c r="L51" s="141"/>
      <c r="M51" s="141"/>
      <c r="N51" s="141"/>
      <c r="O51" s="141"/>
      <c r="P51" s="141"/>
      <c r="Q51" s="60"/>
      <c r="R51" s="60"/>
      <c r="S51" s="60"/>
      <c r="T51" s="60"/>
      <c r="U51" s="60"/>
      <c r="V51" s="60"/>
      <c r="W51" s="57"/>
      <c r="Y51" s="60"/>
      <c r="Z51" s="60"/>
      <c r="AA51" s="60"/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ht="15">
      <c r="D53" s="60"/>
      <c r="AB53" s="62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</row>
    <row r="54" spans="1:214" s="54" customFormat="1" ht="15">
      <c r="A54" s="48"/>
      <c r="B54" s="49"/>
      <c r="C54" s="71"/>
      <c r="D54" s="55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51"/>
      <c r="Z54" s="51"/>
      <c r="AA54" s="51"/>
      <c r="AB54" s="72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</row>
    <row r="55" spans="1:214">
      <c r="A55" s="55"/>
      <c r="H55" s="55"/>
      <c r="I55" s="55"/>
      <c r="J55" s="141"/>
      <c r="K55" s="141"/>
      <c r="L55" s="141"/>
      <c r="M55" s="141"/>
      <c r="N55" s="141"/>
      <c r="O55" s="141"/>
      <c r="P55" s="141"/>
      <c r="U55" s="56"/>
      <c r="W55" s="57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</row>
    <row r="56" spans="1:214" ht="15">
      <c r="A56" s="88"/>
      <c r="B56" s="88"/>
      <c r="I56" s="60"/>
      <c r="J56" s="141"/>
      <c r="K56" s="141"/>
      <c r="L56" s="141"/>
      <c r="M56" s="141"/>
      <c r="N56" s="141"/>
      <c r="O56" s="141"/>
      <c r="P56" s="141"/>
      <c r="U56" s="88"/>
      <c r="W56" s="57"/>
      <c r="X56" s="61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A57" s="60"/>
      <c r="B57" s="60"/>
      <c r="C57" s="60"/>
      <c r="I57" s="60"/>
      <c r="J57" s="141"/>
      <c r="K57" s="141"/>
      <c r="L57" s="141"/>
      <c r="M57" s="141"/>
      <c r="N57" s="141"/>
      <c r="O57" s="141"/>
      <c r="P57" s="141"/>
      <c r="Q57" s="60"/>
      <c r="R57" s="60"/>
      <c r="S57" s="60"/>
      <c r="T57" s="60"/>
      <c r="U57" s="88"/>
      <c r="V57" s="73"/>
      <c r="W57" s="57"/>
      <c r="Y57" s="60"/>
      <c r="Z57" s="60"/>
      <c r="AA57" s="6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88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88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88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88"/>
      <c r="V61" s="7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U62" s="88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 ht="15"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</row>
    <row r="67" spans="28:21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 ht="15"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</row>
    <row r="71" spans="28:21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 ht="15"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</row>
    <row r="86" spans="28:211"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 ht="15"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</row>
    <row r="90" spans="28:211"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 ht="15"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</row>
    <row r="108" spans="28:211"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 ht="15"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</row>
    <row r="112" spans="28:211"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 ht="15"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</row>
    <row r="130" spans="28:211"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 ht="15"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28:211"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 ht="15"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28:211"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 ht="15"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28:211"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 ht="15"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28:211"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 ht="15"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28:211"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 ht="15"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28:211"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 ht="15"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28:211"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5"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 ht="12.75"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</row>
    <row r="217" spans="28:211"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 ht="12.75"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</row>
    <row r="221" spans="28:211"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 ht="15"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28:211"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 ht="15"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28:211"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 ht="15"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28:211"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 ht="15"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28:211"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5"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 ht="12.75"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</row>
    <row r="282" spans="28:211"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 ht="12.75"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</row>
    <row r="286" spans="28:211"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 ht="15"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28:211"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 ht="15"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28:211"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 ht="15"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28:211"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 ht="15"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 ht="15"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</row>
    <row r="347" spans="28:211"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 ht="15"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 ht="15"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</row>
    <row r="370" spans="28:211"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 ht="15"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 ht="15"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</row>
    <row r="393" spans="28:211"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 ht="15"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 ht="15"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</row>
    <row r="416" spans="28:211"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 ht="15"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 ht="15"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</row>
    <row r="439" spans="28:211"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 ht="15"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 ht="15"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</row>
    <row r="462" spans="28:211"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 ht="15"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28:211"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</row>
  </sheetData>
  <mergeCells count="27">
    <mergeCell ref="J55:P55"/>
    <mergeCell ref="J56:P56"/>
    <mergeCell ref="J57:P57"/>
    <mergeCell ref="AA7:AA8"/>
    <mergeCell ref="B8:B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P8:P9"/>
    <mergeCell ref="V8:V9"/>
    <mergeCell ref="A7:B7"/>
    <mergeCell ref="E7:O7"/>
    <mergeCell ref="P7:W7"/>
    <mergeCell ref="X7:X9"/>
    <mergeCell ref="A43:AA43"/>
    <mergeCell ref="Y7:Y8"/>
    <mergeCell ref="J44:P44"/>
    <mergeCell ref="J45:P45"/>
    <mergeCell ref="J49:P49"/>
    <mergeCell ref="J50:P50"/>
    <mergeCell ref="J51:P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opLeftCell="A16" workbookViewId="0">
      <selection activeCell="A11" sqref="A11:XFD141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91</v>
      </c>
      <c r="I2" s="6" t="s">
        <v>92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96"/>
      <c r="D7" s="96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5" t="s">
        <v>9</v>
      </c>
      <c r="D8" s="95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93" t="s">
        <v>83</v>
      </c>
      <c r="O8" s="93" t="s">
        <v>18</v>
      </c>
      <c r="P8" s="125" t="s">
        <v>19</v>
      </c>
      <c r="Q8" s="93" t="s">
        <v>20</v>
      </c>
      <c r="R8" s="93" t="s">
        <v>21</v>
      </c>
      <c r="S8" s="93"/>
      <c r="T8" s="93"/>
      <c r="U8" s="93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4"/>
      <c r="D9" s="94"/>
      <c r="E9" s="126"/>
      <c r="F9" s="126"/>
      <c r="G9" s="126"/>
      <c r="H9" s="144"/>
      <c r="I9" s="144"/>
      <c r="J9" s="147"/>
      <c r="K9" s="126"/>
      <c r="L9" s="126"/>
      <c r="M9" s="126"/>
      <c r="N9" s="94"/>
      <c r="O9" s="94" t="s">
        <v>25</v>
      </c>
      <c r="P9" s="126"/>
      <c r="Q9" s="94" t="s">
        <v>26</v>
      </c>
      <c r="R9" s="94" t="s">
        <v>27</v>
      </c>
      <c r="S9" s="94"/>
      <c r="T9" s="94"/>
      <c r="U9" s="94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146.08000000000001</v>
      </c>
      <c r="K11" s="26">
        <v>0</v>
      </c>
      <c r="L11" s="26">
        <v>0</v>
      </c>
      <c r="M11" s="26">
        <v>0</v>
      </c>
      <c r="N11" s="26"/>
      <c r="O11" s="28">
        <f>SUM(E11:M11)</f>
        <v>7793.43</v>
      </c>
      <c r="P11" s="26">
        <f>995.26+0.01</f>
        <v>995.27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4013.4327499999999</v>
      </c>
      <c r="X11" s="29">
        <f t="shared" ref="X11:X21" si="1">+O11-W11</f>
        <v>3779.9972500000003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1054.75-0.05</f>
        <v>1054.7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3821.18</v>
      </c>
      <c r="V13" s="26">
        <v>0</v>
      </c>
      <c r="W13" s="28">
        <f t="shared" si="0"/>
        <v>5678.9809999999998</v>
      </c>
      <c r="X13" s="29">
        <f t="shared" si="1"/>
        <v>2392.9989999999998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2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922.86-0.11</f>
        <v>922.75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3053.58</v>
      </c>
      <c r="V15" s="26">
        <v>0</v>
      </c>
      <c r="W15" s="28">
        <f t="shared" si="0"/>
        <v>4718.3559999999998</v>
      </c>
      <c r="X15" s="29">
        <f t="shared" si="1"/>
        <v>2699.6040000000003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1054.75+0.01</f>
        <v>1054.76</v>
      </c>
      <c r="Q16" s="35">
        <v>810.1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4192.8600000000006</v>
      </c>
      <c r="X16" s="38">
        <f t="shared" si="1"/>
        <v>3842.5999999999995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347.06-0.12</f>
        <v>346.94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788.59175000000005</v>
      </c>
      <c r="X17" s="29">
        <f t="shared" si="1"/>
        <v>3574.3982499999997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73.040000000000006</v>
      </c>
      <c r="K19" s="26">
        <v>0</v>
      </c>
      <c r="L19" s="26">
        <v>0</v>
      </c>
      <c r="M19" s="26">
        <v>0</v>
      </c>
      <c r="N19" s="26"/>
      <c r="O19" s="28">
        <f t="shared" si="2"/>
        <v>5408.44</v>
      </c>
      <c r="P19" s="26">
        <f>521.74+0.07</f>
        <v>521.81000000000006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1066.8409999999999</v>
      </c>
      <c r="X19" s="29">
        <f t="shared" si="1"/>
        <v>4341.5990000000002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922.86-0.04</f>
        <v>922.82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3276.79</v>
      </c>
      <c r="V20" s="35">
        <v>0</v>
      </c>
      <c r="W20" s="37">
        <f t="shared" si="0"/>
        <v>4941.6360000000004</v>
      </c>
      <c r="X20" s="38">
        <f t="shared" si="1"/>
        <v>2439.8039999999992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109.56</v>
      </c>
      <c r="K21" s="35">
        <v>0</v>
      </c>
      <c r="L21" s="35">
        <v>0</v>
      </c>
      <c r="M21" s="35">
        <v>0</v>
      </c>
      <c r="N21" s="35"/>
      <c r="O21" s="37">
        <f t="shared" si="2"/>
        <v>8035.46</v>
      </c>
      <c r="P21" s="35">
        <f>1054.75-0.02</f>
        <v>1054.73</v>
      </c>
      <c r="Q21" s="35">
        <f>+E21*0.115+0.01</f>
        <v>803.101</v>
      </c>
      <c r="R21" s="35">
        <v>0</v>
      </c>
      <c r="S21" s="35">
        <v>0</v>
      </c>
      <c r="T21" s="35">
        <v>0</v>
      </c>
      <c r="U21" s="35">
        <v>3629.23</v>
      </c>
      <c r="V21" s="35">
        <v>0</v>
      </c>
      <c r="W21" s="37">
        <f t="shared" si="0"/>
        <v>5487.0609999999997</v>
      </c>
      <c r="X21" s="38">
        <f t="shared" si="1"/>
        <v>2548.3990000000003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0</v>
      </c>
      <c r="L22" s="26">
        <v>0</v>
      </c>
      <c r="M22" s="26">
        <v>0</v>
      </c>
      <c r="N22" s="26"/>
      <c r="O22" s="28">
        <f t="shared" si="2"/>
        <v>7223.58</v>
      </c>
      <c r="P22" s="26">
        <f>873.54-0.04</f>
        <v>873.5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3684.38</v>
      </c>
      <c r="X22" s="29">
        <f>+O22-W22</f>
        <v>3539.2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0</v>
      </c>
      <c r="L23" s="35">
        <v>0</v>
      </c>
      <c r="M23" s="35">
        <v>0</v>
      </c>
      <c r="N23" s="35"/>
      <c r="O23" s="37">
        <f>SUM(E23:M23)</f>
        <v>5415.44</v>
      </c>
      <c r="P23" s="35">
        <f>521.74-0.13</f>
        <v>521.61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2630.6410000000001</v>
      </c>
      <c r="X23" s="38">
        <f>+O23-W23</f>
        <v>2784.7989999999995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0</v>
      </c>
      <c r="L24" s="26">
        <v>0</v>
      </c>
      <c r="M24" s="26">
        <v>0</v>
      </c>
      <c r="N24" s="26"/>
      <c r="O24" s="28">
        <f>SUM(E24:M24)</f>
        <v>38469</v>
      </c>
      <c r="P24" s="26">
        <f>9473.74+0.12</f>
        <v>9473.86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13897.795000000002</v>
      </c>
      <c r="X24" s="29">
        <f>+O24-W24-0.01</f>
        <v>24571.195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0</v>
      </c>
      <c r="L25" s="35">
        <v>0</v>
      </c>
      <c r="M25" s="35">
        <v>0</v>
      </c>
      <c r="N25" s="35"/>
      <c r="O25" s="37">
        <f>SUM(E25:M25)</f>
        <v>15205</v>
      </c>
      <c r="P25" s="35">
        <f>2679.84+0.01</f>
        <v>2679.8500000000004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4268.4025000000001</v>
      </c>
      <c r="X25" s="38">
        <f>+O25-W25</f>
        <v>10936.5975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0</v>
      </c>
      <c r="L26" s="26">
        <v>0</v>
      </c>
      <c r="M26" s="26">
        <v>0</v>
      </c>
      <c r="N26" s="26"/>
      <c r="O26" s="28">
        <f>SUM(E26:M26)</f>
        <v>15205</v>
      </c>
      <c r="P26" s="26">
        <f>2679.84-0.08</f>
        <v>2679.76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6851.09</v>
      </c>
      <c r="V26" s="26">
        <v>0</v>
      </c>
      <c r="W26" s="28">
        <f>SUM(P26:V26)</f>
        <v>11119.4025</v>
      </c>
      <c r="X26" s="29">
        <f>+O26-W26</f>
        <v>4085.5974999999999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0</v>
      </c>
      <c r="L27" s="35">
        <v>0</v>
      </c>
      <c r="M27" s="35">
        <v>0</v>
      </c>
      <c r="N27" s="35"/>
      <c r="O27" s="37">
        <f t="shared" ref="O27:O33" si="3">SUM(E27:M27)</f>
        <v>9619.4</v>
      </c>
      <c r="P27" s="35">
        <f>1416.49-0.04</f>
        <v>1416.45</v>
      </c>
      <c r="Q27" s="35">
        <f>989.75</f>
        <v>989.75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2406.1999999999998</v>
      </c>
      <c r="X27" s="38">
        <f t="shared" ref="X27:X36" si="5">+O27-W27</f>
        <v>7213.2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0</v>
      </c>
      <c r="L28" s="26">
        <v>0</v>
      </c>
      <c r="M28" s="26">
        <v>0</v>
      </c>
      <c r="N28" s="26"/>
      <c r="O28" s="28">
        <f t="shared" si="3"/>
        <v>7925.9</v>
      </c>
      <c r="P28" s="26">
        <f>1054.75+0.06</f>
        <v>1054.81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1857.9009999999998</v>
      </c>
      <c r="X28" s="29">
        <f t="shared" si="5"/>
        <v>6067.9989999999998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0</v>
      </c>
      <c r="L29" s="35">
        <v>0</v>
      </c>
      <c r="M29" s="35">
        <v>0</v>
      </c>
      <c r="N29" s="35"/>
      <c r="O29" s="37">
        <f t="shared" si="3"/>
        <v>4289.91</v>
      </c>
      <c r="P29" s="35">
        <f>347.05+0.01</f>
        <v>347.06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788.71174999999994</v>
      </c>
      <c r="X29" s="38">
        <f t="shared" si="5"/>
        <v>3501.1982499999999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0</v>
      </c>
      <c r="L30" s="26">
        <v>0</v>
      </c>
      <c r="M30" s="26">
        <v>0</v>
      </c>
      <c r="N30" s="26"/>
      <c r="O30" s="28">
        <f t="shared" si="3"/>
        <v>7925.9</v>
      </c>
      <c r="P30" s="26">
        <f>1054.75+0.06</f>
        <v>1054.81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1857.9</v>
      </c>
      <c r="X30" s="29">
        <f t="shared" si="5"/>
        <v>6068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0</v>
      </c>
      <c r="L31" s="35">
        <v>0</v>
      </c>
      <c r="M31" s="35">
        <v>0</v>
      </c>
      <c r="N31" s="35"/>
      <c r="O31" s="37">
        <f t="shared" si="3"/>
        <v>5135.3999999999996</v>
      </c>
      <c r="P31" s="35">
        <f>485.9+0.06</f>
        <v>485.96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1768.6009999999999</v>
      </c>
      <c r="X31" s="38">
        <f t="shared" si="5"/>
        <v>3366.799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0</v>
      </c>
      <c r="L32" s="26">
        <v>0</v>
      </c>
      <c r="M32" s="26">
        <v>0</v>
      </c>
      <c r="N32" s="26"/>
      <c r="O32" s="28">
        <f t="shared" si="3"/>
        <v>8543.4</v>
      </c>
      <c r="P32" s="26">
        <f>1186.65+0.07</f>
        <v>1186.72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2056.4</v>
      </c>
      <c r="X32" s="29">
        <f t="shared" si="5"/>
        <v>6487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0</v>
      </c>
      <c r="L33" s="35">
        <v>0</v>
      </c>
      <c r="M33" s="35">
        <v>0</v>
      </c>
      <c r="N33" s="35"/>
      <c r="O33" s="37">
        <f t="shared" si="3"/>
        <v>7167.9</v>
      </c>
      <c r="P33" s="35">
        <f>892.85-0.05</f>
        <v>892.80000000000007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1614.2985000000001</v>
      </c>
      <c r="X33" s="38">
        <f t="shared" si="5"/>
        <v>5553.6014999999998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0</v>
      </c>
      <c r="L34" s="26">
        <v>0</v>
      </c>
      <c r="M34" s="26">
        <v>0</v>
      </c>
      <c r="N34" s="26"/>
      <c r="O34" s="28">
        <f>SUM(E34:M34)</f>
        <v>15205</v>
      </c>
      <c r="P34" s="26">
        <f>2679.84+0.01</f>
        <v>2679.8500000000004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4268.4025000000001</v>
      </c>
      <c r="X34" s="29">
        <f t="shared" si="5"/>
        <v>10936.5975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0</v>
      </c>
      <c r="L35" s="35">
        <v>0</v>
      </c>
      <c r="M35" s="35">
        <v>0</v>
      </c>
      <c r="N35" s="35"/>
      <c r="O35" s="37">
        <f>SUM(E35:M35)</f>
        <v>15205</v>
      </c>
      <c r="P35" s="35">
        <f>2679.84+0.01</f>
        <v>2679.8500000000004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4268.4000000000005</v>
      </c>
      <c r="X35" s="38">
        <f t="shared" si="5"/>
        <v>10936.599999999999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0</v>
      </c>
      <c r="L36" s="99">
        <v>0</v>
      </c>
      <c r="M36" s="99">
        <v>0</v>
      </c>
      <c r="N36" s="99"/>
      <c r="O36" s="101">
        <f>SUM(E36:M36)</f>
        <v>10991.9</v>
      </c>
      <c r="P36" s="99">
        <f>1709.65-0.03</f>
        <v>1709.6200000000001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2832.7</v>
      </c>
      <c r="X36" s="102">
        <f t="shared" si="5"/>
        <v>8159.2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1394.7599999999998</v>
      </c>
      <c r="K38" s="50">
        <f t="shared" si="6"/>
        <v>0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251920.26999999996</v>
      </c>
      <c r="P38" s="50">
        <f t="shared" si="6"/>
        <v>39369.110000000008</v>
      </c>
      <c r="Q38" s="50">
        <f t="shared" si="6"/>
        <v>26186.295750000005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34697.870000000003</v>
      </c>
      <c r="V38" s="50">
        <f t="shared" si="6"/>
        <v>0</v>
      </c>
      <c r="W38" s="50">
        <f t="shared" si="6"/>
        <v>100253.27574999997</v>
      </c>
      <c r="X38" s="50">
        <f t="shared" si="6"/>
        <v>151666.98425000001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92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92"/>
      <c r="B40" s="92"/>
      <c r="C40" s="92"/>
      <c r="D40" s="92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92"/>
      <c r="B43" s="92"/>
      <c r="C43" s="92"/>
      <c r="D43" s="92"/>
      <c r="I43" s="60"/>
      <c r="J43" s="141"/>
      <c r="K43" s="141"/>
      <c r="L43" s="141"/>
      <c r="M43" s="141"/>
      <c r="N43" s="141"/>
      <c r="O43" s="141"/>
      <c r="P43" s="141"/>
      <c r="U43" s="92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92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92"/>
      <c r="B49" s="92"/>
      <c r="C49" s="92"/>
      <c r="D49" s="71"/>
      <c r="I49" s="60"/>
      <c r="J49" s="141"/>
      <c r="K49" s="141"/>
      <c r="L49" s="141"/>
      <c r="M49" s="141"/>
      <c r="N49" s="141"/>
      <c r="O49" s="141"/>
      <c r="P49" s="141"/>
      <c r="U49" s="92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92"/>
      <c r="B55" s="92"/>
      <c r="I55" s="60"/>
      <c r="J55" s="141"/>
      <c r="K55" s="141"/>
      <c r="L55" s="141"/>
      <c r="M55" s="141"/>
      <c r="N55" s="141"/>
      <c r="O55" s="141"/>
      <c r="P55" s="141"/>
      <c r="U55" s="92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92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92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92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92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92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92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M8:M9"/>
    <mergeCell ref="AA7:AA8"/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V8:V9"/>
    <mergeCell ref="J50:P50"/>
    <mergeCell ref="J54:P54"/>
    <mergeCell ref="J55:P55"/>
    <mergeCell ref="J56:P56"/>
    <mergeCell ref="P8:P9"/>
    <mergeCell ref="J48:P48"/>
    <mergeCell ref="J49:P49"/>
    <mergeCell ref="J41:P41"/>
    <mergeCell ref="A42:AA42"/>
    <mergeCell ref="J43:P43"/>
    <mergeCell ref="J44:P44"/>
    <mergeCell ref="H8:H9"/>
    <mergeCell ref="I8:I9"/>
    <mergeCell ref="J8:J9"/>
    <mergeCell ref="K8:K9"/>
    <mergeCell ref="L8:L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workbookViewId="0">
      <selection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93</v>
      </c>
      <c r="I2" s="6" t="s">
        <v>94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96"/>
      <c r="D7" s="96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5" t="s">
        <v>9</v>
      </c>
      <c r="D8" s="95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93" t="s">
        <v>83</v>
      </c>
      <c r="O8" s="93" t="s">
        <v>18</v>
      </c>
      <c r="P8" s="125" t="s">
        <v>19</v>
      </c>
      <c r="Q8" s="93" t="s">
        <v>20</v>
      </c>
      <c r="R8" s="93" t="s">
        <v>21</v>
      </c>
      <c r="S8" s="93"/>
      <c r="T8" s="93"/>
      <c r="U8" s="93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4"/>
      <c r="D9" s="94"/>
      <c r="E9" s="126"/>
      <c r="F9" s="126"/>
      <c r="G9" s="126"/>
      <c r="H9" s="144"/>
      <c r="I9" s="144"/>
      <c r="J9" s="147"/>
      <c r="K9" s="126"/>
      <c r="L9" s="126"/>
      <c r="M9" s="126"/>
      <c r="N9" s="94"/>
      <c r="O9" s="94" t="s">
        <v>25</v>
      </c>
      <c r="P9" s="126"/>
      <c r="Q9" s="94" t="s">
        <v>26</v>
      </c>
      <c r="R9" s="94" t="s">
        <v>27</v>
      </c>
      <c r="S9" s="94"/>
      <c r="T9" s="94"/>
      <c r="U9" s="94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366.98</v>
      </c>
      <c r="K11" s="26">
        <v>0</v>
      </c>
      <c r="L11" s="26">
        <v>0</v>
      </c>
      <c r="M11" s="26">
        <v>0</v>
      </c>
      <c r="N11" s="26"/>
      <c r="O11" s="28">
        <f>SUM(E11:M11)</f>
        <v>8014.33</v>
      </c>
      <c r="P11" s="26">
        <f>995.26+0.11</f>
        <v>995.37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4013.5327500000003</v>
      </c>
      <c r="X11" s="29">
        <f t="shared" ref="X11:X21" si="1">+O11-W11</f>
        <v>4000.7972499999996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1054.75-0.05</f>
        <v>1054.7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3821.18</v>
      </c>
      <c r="V13" s="26">
        <v>0</v>
      </c>
      <c r="W13" s="28">
        <f t="shared" si="0"/>
        <v>5678.9809999999998</v>
      </c>
      <c r="X13" s="29">
        <f t="shared" si="1"/>
        <v>2392.9989999999998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2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922.86+0.09</f>
        <v>922.95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3053.58</v>
      </c>
      <c r="V15" s="26">
        <v>0</v>
      </c>
      <c r="W15" s="28">
        <f t="shared" si="0"/>
        <v>4718.5560000000005</v>
      </c>
      <c r="X15" s="29">
        <f t="shared" si="1"/>
        <v>2699.4039999999995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1054.75+0.01</f>
        <v>1054.76</v>
      </c>
      <c r="Q16" s="35">
        <v>803.1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347.06+0.08</f>
        <v>347.14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788.79174999999998</v>
      </c>
      <c r="X17" s="29">
        <f t="shared" si="1"/>
        <v>3574.1982499999999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205.58</v>
      </c>
      <c r="K19" s="26">
        <v>0</v>
      </c>
      <c r="L19" s="26">
        <v>0</v>
      </c>
      <c r="M19" s="26">
        <v>0</v>
      </c>
      <c r="N19" s="26"/>
      <c r="O19" s="28">
        <f t="shared" si="2"/>
        <v>5540.98</v>
      </c>
      <c r="P19" s="26">
        <f>521.74-0.19</f>
        <v>521.54999999999995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1066.5809999999999</v>
      </c>
      <c r="X19" s="29">
        <f t="shared" si="1"/>
        <v>4474.3989999999994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922.86-0.04</f>
        <v>922.82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3276.79</v>
      </c>
      <c r="V20" s="35">
        <v>0</v>
      </c>
      <c r="W20" s="37">
        <f t="shared" si="0"/>
        <v>4941.6360000000004</v>
      </c>
      <c r="X20" s="38">
        <f t="shared" si="1"/>
        <v>2439.8039999999992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73.040000000000006</v>
      </c>
      <c r="K21" s="35">
        <v>0</v>
      </c>
      <c r="L21" s="35">
        <v>0</v>
      </c>
      <c r="M21" s="35">
        <v>0</v>
      </c>
      <c r="N21" s="35"/>
      <c r="O21" s="37">
        <f t="shared" si="2"/>
        <v>7998.94</v>
      </c>
      <c r="P21" s="35">
        <f>1054.75-0.02</f>
        <v>1054.73</v>
      </c>
      <c r="Q21" s="35">
        <f>+E21*0.115+0.01</f>
        <v>803.101</v>
      </c>
      <c r="R21" s="35">
        <v>0</v>
      </c>
      <c r="S21" s="35">
        <v>0</v>
      </c>
      <c r="T21" s="35">
        <v>0</v>
      </c>
      <c r="U21" s="35">
        <v>3629.23</v>
      </c>
      <c r="V21" s="35">
        <v>0</v>
      </c>
      <c r="W21" s="37">
        <f t="shared" si="0"/>
        <v>5487.0609999999997</v>
      </c>
      <c r="X21" s="38">
        <f t="shared" si="1"/>
        <v>2511.8789999999999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0</v>
      </c>
      <c r="L22" s="26">
        <v>0</v>
      </c>
      <c r="M22" s="26">
        <v>0</v>
      </c>
      <c r="N22" s="26"/>
      <c r="O22" s="28">
        <f t="shared" si="2"/>
        <v>7223.58</v>
      </c>
      <c r="P22" s="26">
        <f>873.54-0.04</f>
        <v>873.5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3684.38</v>
      </c>
      <c r="X22" s="29">
        <f>+O22-W22</f>
        <v>3539.2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0</v>
      </c>
      <c r="L23" s="35">
        <v>0</v>
      </c>
      <c r="M23" s="35">
        <v>0</v>
      </c>
      <c r="N23" s="35"/>
      <c r="O23" s="37">
        <f>SUM(E23:M23)</f>
        <v>5415.44</v>
      </c>
      <c r="P23" s="35">
        <f>521.74-0.13</f>
        <v>521.61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2630.6410000000001</v>
      </c>
      <c r="X23" s="38">
        <f>+O23-W23</f>
        <v>2784.7989999999995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0</v>
      </c>
      <c r="L24" s="26">
        <v>0</v>
      </c>
      <c r="M24" s="26">
        <v>0</v>
      </c>
      <c r="N24" s="26"/>
      <c r="O24" s="28">
        <f>SUM(E24:M24)</f>
        <v>38469</v>
      </c>
      <c r="P24" s="26">
        <f>9473.74+0.12</f>
        <v>9473.86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13897.795000000002</v>
      </c>
      <c r="X24" s="29">
        <f>+O24-W24-0.01</f>
        <v>24571.195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0</v>
      </c>
      <c r="L25" s="35">
        <v>0</v>
      </c>
      <c r="M25" s="35">
        <v>0</v>
      </c>
      <c r="N25" s="35"/>
      <c r="O25" s="37">
        <f>SUM(E25:M25)</f>
        <v>15205</v>
      </c>
      <c r="P25" s="35">
        <f>2679.84+0.01</f>
        <v>2679.8500000000004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4268.4025000000001</v>
      </c>
      <c r="X25" s="38">
        <f>+O25-W25</f>
        <v>10936.5975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0</v>
      </c>
      <c r="L26" s="26">
        <v>0</v>
      </c>
      <c r="M26" s="26">
        <v>0</v>
      </c>
      <c r="N26" s="26"/>
      <c r="O26" s="28">
        <f>SUM(E26:M26)</f>
        <v>15205</v>
      </c>
      <c r="P26" s="26">
        <f>2679.84-0.08</f>
        <v>2679.76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6851.09</v>
      </c>
      <c r="V26" s="26">
        <v>0</v>
      </c>
      <c r="W26" s="28">
        <f>SUM(P26:V26)</f>
        <v>11119.4025</v>
      </c>
      <c r="X26" s="29">
        <f>+O26-W26</f>
        <v>4085.5974999999999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0</v>
      </c>
      <c r="L27" s="35">
        <v>0</v>
      </c>
      <c r="M27" s="35">
        <v>0</v>
      </c>
      <c r="N27" s="35"/>
      <c r="O27" s="37">
        <f t="shared" ref="O27:O33" si="3">SUM(E27:M27)</f>
        <v>9619.4</v>
      </c>
      <c r="P27" s="35">
        <f>1416.49-0.04</f>
        <v>1416.45</v>
      </c>
      <c r="Q27" s="35">
        <f>989.75</f>
        <v>989.75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2406.1999999999998</v>
      </c>
      <c r="X27" s="38">
        <f t="shared" ref="X27:X36" si="5">+O27-W27</f>
        <v>7213.2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0</v>
      </c>
      <c r="L28" s="26">
        <v>0</v>
      </c>
      <c r="M28" s="26">
        <v>0</v>
      </c>
      <c r="N28" s="26"/>
      <c r="O28" s="28">
        <f t="shared" si="3"/>
        <v>7925.9</v>
      </c>
      <c r="P28" s="26">
        <f>1054.75+0.06</f>
        <v>1054.81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1857.9009999999998</v>
      </c>
      <c r="X28" s="29">
        <f t="shared" si="5"/>
        <v>6067.9989999999998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0</v>
      </c>
      <c r="L29" s="35">
        <v>0</v>
      </c>
      <c r="M29" s="35">
        <v>0</v>
      </c>
      <c r="N29" s="35"/>
      <c r="O29" s="37">
        <f t="shared" si="3"/>
        <v>4289.91</v>
      </c>
      <c r="P29" s="35">
        <f>347.05+0.01</f>
        <v>347.06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788.71174999999994</v>
      </c>
      <c r="X29" s="38">
        <f t="shared" si="5"/>
        <v>3501.1982499999999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0</v>
      </c>
      <c r="L30" s="26">
        <v>0</v>
      </c>
      <c r="M30" s="26">
        <v>0</v>
      </c>
      <c r="N30" s="26"/>
      <c r="O30" s="28">
        <f t="shared" si="3"/>
        <v>7925.9</v>
      </c>
      <c r="P30" s="26">
        <f>1054.75+0.06</f>
        <v>1054.81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1857.9</v>
      </c>
      <c r="X30" s="29">
        <f t="shared" si="5"/>
        <v>6068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0</v>
      </c>
      <c r="L31" s="35">
        <v>0</v>
      </c>
      <c r="M31" s="35">
        <v>0</v>
      </c>
      <c r="N31" s="35"/>
      <c r="O31" s="37">
        <f t="shared" si="3"/>
        <v>5135.3999999999996</v>
      </c>
      <c r="P31" s="35">
        <f>485.9+0.06</f>
        <v>485.96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1768.6009999999999</v>
      </c>
      <c r="X31" s="38">
        <f t="shared" si="5"/>
        <v>3366.799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0</v>
      </c>
      <c r="L32" s="26">
        <v>0</v>
      </c>
      <c r="M32" s="26">
        <v>0</v>
      </c>
      <c r="N32" s="26"/>
      <c r="O32" s="28">
        <f t="shared" si="3"/>
        <v>8543.4</v>
      </c>
      <c r="P32" s="26">
        <f>1186.65-0.13</f>
        <v>1186.52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2056.1999999999998</v>
      </c>
      <c r="X32" s="29">
        <f t="shared" si="5"/>
        <v>6487.2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0</v>
      </c>
      <c r="L33" s="35">
        <v>0</v>
      </c>
      <c r="M33" s="35">
        <v>0</v>
      </c>
      <c r="N33" s="35"/>
      <c r="O33" s="37">
        <f t="shared" si="3"/>
        <v>7167.9</v>
      </c>
      <c r="P33" s="35">
        <f>892.85-0.05</f>
        <v>892.80000000000007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1614.2985000000001</v>
      </c>
      <c r="X33" s="38">
        <f t="shared" si="5"/>
        <v>5553.6014999999998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0</v>
      </c>
      <c r="L34" s="26">
        <v>0</v>
      </c>
      <c r="M34" s="26">
        <v>0</v>
      </c>
      <c r="N34" s="26"/>
      <c r="O34" s="28">
        <f>SUM(E34:M34)</f>
        <v>15205</v>
      </c>
      <c r="P34" s="26">
        <f>2679.84+0.01</f>
        <v>2679.8500000000004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4268.4025000000001</v>
      </c>
      <c r="X34" s="29">
        <f t="shared" si="5"/>
        <v>10936.5975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0</v>
      </c>
      <c r="L35" s="35">
        <v>0</v>
      </c>
      <c r="M35" s="35">
        <v>0</v>
      </c>
      <c r="N35" s="35"/>
      <c r="O35" s="37">
        <f>SUM(E35:M35)</f>
        <v>15205</v>
      </c>
      <c r="P35" s="35">
        <f>2679.84+0.01</f>
        <v>2679.8500000000004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4268.4000000000005</v>
      </c>
      <c r="X35" s="38">
        <f t="shared" si="5"/>
        <v>10936.599999999999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0</v>
      </c>
      <c r="L36" s="99">
        <v>0</v>
      </c>
      <c r="M36" s="99">
        <v>0</v>
      </c>
      <c r="N36" s="99"/>
      <c r="O36" s="101">
        <f>SUM(E36:M36)</f>
        <v>10991.9</v>
      </c>
      <c r="P36" s="99">
        <f>1709.65-0.03</f>
        <v>1709.6200000000001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2832.7</v>
      </c>
      <c r="X36" s="102">
        <f t="shared" si="5"/>
        <v>8159.2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1711.6799999999996</v>
      </c>
      <c r="K38" s="50">
        <f t="shared" si="6"/>
        <v>0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252237.18999999997</v>
      </c>
      <c r="P38" s="50">
        <f t="shared" si="6"/>
        <v>39369.150000000009</v>
      </c>
      <c r="Q38" s="50">
        <f t="shared" si="6"/>
        <v>26179.295750000005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34697.870000000003</v>
      </c>
      <c r="V38" s="50">
        <f t="shared" si="6"/>
        <v>0</v>
      </c>
      <c r="W38" s="50">
        <f t="shared" si="6"/>
        <v>100246.31574999998</v>
      </c>
      <c r="X38" s="50">
        <f t="shared" si="6"/>
        <v>151990.86425000001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92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92"/>
      <c r="B40" s="92"/>
      <c r="C40" s="92"/>
      <c r="D40" s="92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92"/>
      <c r="B43" s="92"/>
      <c r="C43" s="92"/>
      <c r="D43" s="92"/>
      <c r="I43" s="60"/>
      <c r="J43" s="141"/>
      <c r="K43" s="141"/>
      <c r="L43" s="141"/>
      <c r="M43" s="141"/>
      <c r="N43" s="141"/>
      <c r="O43" s="141"/>
      <c r="P43" s="141"/>
      <c r="U43" s="92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92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92"/>
      <c r="B49" s="92"/>
      <c r="C49" s="92"/>
      <c r="D49" s="71"/>
      <c r="I49" s="60"/>
      <c r="J49" s="141"/>
      <c r="K49" s="141"/>
      <c r="L49" s="141"/>
      <c r="M49" s="141"/>
      <c r="N49" s="141"/>
      <c r="O49" s="141"/>
      <c r="P49" s="141"/>
      <c r="U49" s="92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92"/>
      <c r="B55" s="92"/>
      <c r="I55" s="60"/>
      <c r="J55" s="141"/>
      <c r="K55" s="141"/>
      <c r="L55" s="141"/>
      <c r="M55" s="141"/>
      <c r="N55" s="141"/>
      <c r="O55" s="141"/>
      <c r="P55" s="141"/>
      <c r="U55" s="92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92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92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92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92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92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92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M8:M9"/>
    <mergeCell ref="AA7:AA8"/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V8:V9"/>
    <mergeCell ref="J50:P50"/>
    <mergeCell ref="J54:P54"/>
    <mergeCell ref="J55:P55"/>
    <mergeCell ref="J56:P56"/>
    <mergeCell ref="P8:P9"/>
    <mergeCell ref="J48:P48"/>
    <mergeCell ref="J49:P49"/>
    <mergeCell ref="J41:P41"/>
    <mergeCell ref="A42:AA42"/>
    <mergeCell ref="J43:P43"/>
    <mergeCell ref="J44:P44"/>
    <mergeCell ref="H8:H9"/>
    <mergeCell ref="I8:I9"/>
    <mergeCell ref="J8:J9"/>
    <mergeCell ref="K8:K9"/>
    <mergeCell ref="L8:L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465"/>
  <sheetViews>
    <sheetView workbookViewId="0">
      <selection activeCell="I2" sqref="I2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hidden="1" customWidth="1"/>
    <col min="7" max="7" width="12.7109375" style="55" hidden="1" customWidth="1"/>
    <col min="8" max="8" width="11.140625" style="56" customWidth="1"/>
    <col min="9" max="9" width="12.7109375" style="56" customWidth="1"/>
    <col min="10" max="10" width="11.28515625" style="55" bestFit="1" customWidth="1"/>
    <col min="11" max="11" width="12.28515625" style="55" customWidth="1"/>
    <col min="12" max="12" width="13.85546875" style="55" bestFit="1" customWidth="1"/>
    <col min="13" max="13" width="12.28515625" style="55" bestFit="1" customWidth="1"/>
    <col min="14" max="14" width="11.28515625" style="55" bestFit="1" customWidth="1"/>
    <col min="15" max="15" width="10.28515625" style="55" bestFit="1" customWidth="1"/>
    <col min="16" max="16" width="13.5703125" style="55" customWidth="1"/>
    <col min="17" max="17" width="10.42578125" style="55" customWidth="1"/>
    <col min="18" max="18" width="11.42578125" style="55" bestFit="1" customWidth="1"/>
    <col min="19" max="19" width="11" style="55" customWidth="1"/>
    <col min="20" max="20" width="12.28515625" style="55" bestFit="1" customWidth="1"/>
    <col min="21" max="21" width="13.85546875" style="55" bestFit="1" customWidth="1"/>
    <col min="22" max="22" width="6.7109375" style="55" bestFit="1" customWidth="1"/>
    <col min="23" max="23" width="1.28515625" style="55" customWidth="1"/>
    <col min="24" max="24" width="5.5703125" style="55" bestFit="1" customWidth="1"/>
    <col min="25" max="25" width="12.140625" style="55" customWidth="1"/>
    <col min="26" max="26" width="11.42578125" style="55"/>
    <col min="27" max="27" width="12.85546875" style="55" bestFit="1" customWidth="1"/>
    <col min="28" max="28" width="11.5703125" style="55" bestFit="1" customWidth="1"/>
    <col min="29" max="16384" width="11.42578125" style="55"/>
  </cols>
  <sheetData>
    <row r="1" spans="1:212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12" s="1" customFormat="1" ht="13.5">
      <c r="C2" s="3"/>
      <c r="D2" s="3"/>
      <c r="E2" s="4"/>
      <c r="F2" s="4"/>
      <c r="G2" s="4" t="s">
        <v>95</v>
      </c>
      <c r="H2" s="5"/>
      <c r="I2" s="4" t="s">
        <v>95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12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 t="s">
        <v>1</v>
      </c>
      <c r="U3" s="3"/>
      <c r="V3" s="3"/>
      <c r="W3" s="3"/>
      <c r="X3" s="3"/>
    </row>
    <row r="4" spans="1:212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12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12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12" s="1" customFormat="1" ht="15.75" customHeight="1" thickBot="1">
      <c r="A7" s="129" t="s">
        <v>2</v>
      </c>
      <c r="B7" s="130"/>
      <c r="C7" s="96"/>
      <c r="D7" s="96"/>
      <c r="E7" s="131" t="s">
        <v>3</v>
      </c>
      <c r="F7" s="132"/>
      <c r="G7" s="132"/>
      <c r="H7" s="132"/>
      <c r="I7" s="132"/>
      <c r="J7" s="132"/>
      <c r="K7" s="132"/>
      <c r="L7" s="133"/>
      <c r="M7" s="131" t="s">
        <v>4</v>
      </c>
      <c r="N7" s="134"/>
      <c r="O7" s="134"/>
      <c r="P7" s="134"/>
      <c r="Q7" s="134"/>
      <c r="R7" s="134"/>
      <c r="S7" s="134"/>
      <c r="T7" s="134"/>
      <c r="U7" s="135" t="s">
        <v>5</v>
      </c>
      <c r="V7" s="127" t="s">
        <v>6</v>
      </c>
      <c r="W7" s="7"/>
      <c r="X7" s="127" t="s">
        <v>7</v>
      </c>
      <c r="Y7" s="8"/>
    </row>
    <row r="8" spans="1:212" s="14" customFormat="1" ht="27" customHeight="1">
      <c r="A8" s="9" t="s">
        <v>6</v>
      </c>
      <c r="B8" s="138" t="s">
        <v>8</v>
      </c>
      <c r="C8" s="95" t="s">
        <v>9</v>
      </c>
      <c r="D8" s="95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93" t="s">
        <v>83</v>
      </c>
      <c r="L8" s="93" t="s">
        <v>18</v>
      </c>
      <c r="M8" s="125" t="s">
        <v>19</v>
      </c>
      <c r="N8" s="93" t="s">
        <v>20</v>
      </c>
      <c r="O8" s="93" t="s">
        <v>21</v>
      </c>
      <c r="P8" s="93"/>
      <c r="Q8" s="93"/>
      <c r="R8" s="93" t="s">
        <v>22</v>
      </c>
      <c r="S8" s="139" t="s">
        <v>23</v>
      </c>
      <c r="T8" s="10" t="s">
        <v>18</v>
      </c>
      <c r="U8" s="136"/>
      <c r="V8" s="128"/>
      <c r="W8" s="11"/>
      <c r="X8" s="128"/>
      <c r="Y8" s="12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</row>
    <row r="9" spans="1:212" s="14" customFormat="1" ht="13.5" customHeight="1" thickBot="1">
      <c r="A9" s="15" t="s">
        <v>24</v>
      </c>
      <c r="B9" s="126"/>
      <c r="C9" s="94"/>
      <c r="D9" s="94"/>
      <c r="E9" s="126"/>
      <c r="F9" s="126"/>
      <c r="G9" s="126"/>
      <c r="H9" s="144"/>
      <c r="I9" s="144"/>
      <c r="J9" s="147"/>
      <c r="K9" s="94"/>
      <c r="L9" s="94" t="s">
        <v>25</v>
      </c>
      <c r="M9" s="126"/>
      <c r="N9" s="94" t="s">
        <v>26</v>
      </c>
      <c r="O9" s="94" t="s">
        <v>27</v>
      </c>
      <c r="P9" s="94"/>
      <c r="Q9" s="94"/>
      <c r="R9" s="94" t="s">
        <v>26</v>
      </c>
      <c r="S9" s="140"/>
      <c r="T9" s="16" t="s">
        <v>28</v>
      </c>
      <c r="U9" s="137"/>
      <c r="V9" s="17" t="s">
        <v>29</v>
      </c>
      <c r="W9" s="11"/>
      <c r="X9" s="18" t="s">
        <v>30</v>
      </c>
      <c r="Y9" s="12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</row>
    <row r="10" spans="1:212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3"/>
      <c r="V10" s="19"/>
      <c r="W10" s="19"/>
      <c r="X10" s="20"/>
      <c r="Y10" s="12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</row>
    <row r="11" spans="1:212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f>+'Feb 1a'!E11+'Feb 2a'!E11</f>
        <v>13463.7</v>
      </c>
      <c r="F11" s="26">
        <f>+'Feb 1a'!F11+'Feb 2a'!F11</f>
        <v>0</v>
      </c>
      <c r="G11" s="26">
        <f>+'Feb 1a'!G11+'Feb 2a'!G11</f>
        <v>0</v>
      </c>
      <c r="H11" s="26">
        <f>+'Feb 1a'!H11+'Feb 2a'!H11</f>
        <v>703</v>
      </c>
      <c r="I11" s="26">
        <f>+'Feb 1a'!I11+'Feb 2a'!I11</f>
        <v>1128</v>
      </c>
      <c r="J11" s="26">
        <f>+'Feb 1a'!J11+'Feb 2a'!J11</f>
        <v>513.06000000000006</v>
      </c>
      <c r="K11" s="26">
        <f>+'Feb 1a'!N11+'Feb 2a'!N11</f>
        <v>0</v>
      </c>
      <c r="L11" s="28">
        <f t="shared" ref="L11:L36" si="0">SUM(E11:J11)</f>
        <v>15807.76</v>
      </c>
      <c r="M11" s="26">
        <f>+'Feb 1a'!P11+'Feb 2a'!P11</f>
        <v>1990.6399999999999</v>
      </c>
      <c r="N11" s="26">
        <f>+'Feb 1a'!Q11+'Feb 2a'!Q11</f>
        <v>1548.3255000000001</v>
      </c>
      <c r="O11" s="26">
        <f>+'Feb 1a'!R11+'Feb 2a'!R11</f>
        <v>0</v>
      </c>
      <c r="P11" s="26">
        <f>+'Feb 1a'!S11+'Feb 2a'!S11</f>
        <v>0</v>
      </c>
      <c r="Q11" s="26">
        <f>+'Feb 1a'!T11+'Feb 2a'!T11</f>
        <v>0</v>
      </c>
      <c r="R11" s="26">
        <f>+'Feb 1a'!U11+'Feb 2a'!U11</f>
        <v>4488</v>
      </c>
      <c r="S11" s="26">
        <f>+'Feb 1a'!V11+'Feb 2a'!V11</f>
        <v>0</v>
      </c>
      <c r="T11" s="28">
        <f t="shared" ref="T11:T22" si="1">SUM(M11:S11)</f>
        <v>8026.9655000000002</v>
      </c>
      <c r="U11" s="29">
        <f t="shared" ref="U11:U23" si="2">+L11-T11</f>
        <v>7780.7945</v>
      </c>
      <c r="V11" s="24">
        <v>1</v>
      </c>
      <c r="W11" s="24"/>
      <c r="X11" s="24">
        <v>13</v>
      </c>
      <c r="Y11" s="30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</row>
    <row r="12" spans="1:212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f>+'Feb 1a'!E12+'Feb 2a'!E12</f>
        <v>17212.8</v>
      </c>
      <c r="F12" s="35">
        <f>+'Feb 1a'!F12+'Feb 2a'!F12</f>
        <v>0</v>
      </c>
      <c r="G12" s="35">
        <f>+'Feb 1a'!G12+'Feb 2a'!G12</f>
        <v>0</v>
      </c>
      <c r="H12" s="35">
        <f>+'Feb 1a'!H12+'Feb 2a'!H12</f>
        <v>779</v>
      </c>
      <c r="I12" s="35">
        <f>+'Feb 1a'!I12+'Feb 2a'!I12</f>
        <v>1247</v>
      </c>
      <c r="J12" s="35">
        <f>+'Feb 1a'!J12+'Feb 2a'!J12</f>
        <v>219.12</v>
      </c>
      <c r="K12" s="35">
        <f>+'Feb 1a'!N12+'Feb 2a'!N12</f>
        <v>0</v>
      </c>
      <c r="L12" s="37">
        <f t="shared" si="0"/>
        <v>19457.919999999998</v>
      </c>
      <c r="M12" s="35">
        <f>+'Feb 1a'!P12+'Feb 2a'!P12</f>
        <v>2832.82</v>
      </c>
      <c r="N12" s="35">
        <f>+'Feb 1a'!Q12+'Feb 2a'!Q12</f>
        <v>1979.492</v>
      </c>
      <c r="O12" s="35">
        <f>+'Feb 1a'!R12+'Feb 2a'!R12</f>
        <v>0</v>
      </c>
      <c r="P12" s="35">
        <f>+'Feb 1a'!S12+'Feb 2a'!S12</f>
        <v>0</v>
      </c>
      <c r="Q12" s="35">
        <f>+'Feb 1a'!T12+'Feb 2a'!T12</f>
        <v>0</v>
      </c>
      <c r="R12" s="35">
        <f>+'Feb 1a'!U12+'Feb 2a'!U12</f>
        <v>4000</v>
      </c>
      <c r="S12" s="35">
        <f>+'Feb 1a'!V12+'Feb 2a'!V12</f>
        <v>0</v>
      </c>
      <c r="T12" s="37">
        <f t="shared" si="1"/>
        <v>8812.3119999999999</v>
      </c>
      <c r="U12" s="38">
        <f t="shared" si="2"/>
        <v>10645.607999999998</v>
      </c>
      <c r="V12" s="33">
        <v>2</v>
      </c>
      <c r="W12" s="33"/>
      <c r="X12" s="33">
        <v>16</v>
      </c>
      <c r="Y12" s="39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</row>
    <row r="13" spans="1:212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f>+'Feb 1a'!E13+'Feb 2a'!E13</f>
        <v>13966.8</v>
      </c>
      <c r="F13" s="26">
        <f>+'Feb 1a'!F13+'Feb 2a'!F13</f>
        <v>0</v>
      </c>
      <c r="G13" s="26">
        <f>+'Feb 1a'!G13+'Feb 2a'!G13</f>
        <v>0</v>
      </c>
      <c r="H13" s="26">
        <f>+'Feb 1a'!H13+'Feb 2a'!H13</f>
        <v>722</v>
      </c>
      <c r="I13" s="26">
        <f>+'Feb 1a'!I13+'Feb 2a'!I13</f>
        <v>1163</v>
      </c>
      <c r="J13" s="26">
        <f>+'Feb 1a'!J13+'Feb 2a'!J13</f>
        <v>292.16000000000003</v>
      </c>
      <c r="K13" s="26">
        <f>+'Feb 1a'!N13+'Feb 2a'!N13</f>
        <v>0</v>
      </c>
      <c r="L13" s="28">
        <f t="shared" si="0"/>
        <v>16143.96</v>
      </c>
      <c r="M13" s="26">
        <f>+'Feb 1a'!P13+'Feb 2a'!P13</f>
        <v>2109.4</v>
      </c>
      <c r="N13" s="26">
        <f>+'Feb 1a'!Q13+'Feb 2a'!Q13</f>
        <v>1606.202</v>
      </c>
      <c r="O13" s="26">
        <f>+'Feb 1a'!R13+'Feb 2a'!R13</f>
        <v>0</v>
      </c>
      <c r="P13" s="26">
        <f>+'Feb 1a'!S13+'Feb 2a'!S13</f>
        <v>0</v>
      </c>
      <c r="Q13" s="26">
        <f>+'Feb 1a'!T13+'Feb 2a'!T13</f>
        <v>0</v>
      </c>
      <c r="R13" s="26">
        <f>+'Feb 1a'!U13+'Feb 2a'!U13</f>
        <v>7642.36</v>
      </c>
      <c r="S13" s="26">
        <f>+'Feb 1a'!V13+'Feb 2a'!V13</f>
        <v>0</v>
      </c>
      <c r="T13" s="28">
        <f t="shared" si="1"/>
        <v>11357.962</v>
      </c>
      <c r="U13" s="29">
        <f t="shared" si="2"/>
        <v>4785.9979999999996</v>
      </c>
      <c r="V13" s="24">
        <v>3</v>
      </c>
      <c r="W13" s="24"/>
      <c r="X13" s="24">
        <v>14</v>
      </c>
      <c r="Y13" s="42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</row>
    <row r="14" spans="1:212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f>+'Feb 1a'!E14+'Feb 2a'!E14</f>
        <v>13463.7</v>
      </c>
      <c r="F14" s="35">
        <f>+'Feb 1a'!F14+'Feb 2a'!F14</f>
        <v>0</v>
      </c>
      <c r="G14" s="35">
        <f>+'Feb 1a'!G14+'Feb 2a'!G14</f>
        <v>0</v>
      </c>
      <c r="H14" s="35">
        <f>+'Feb 1a'!H14+'Feb 2a'!H14</f>
        <v>703</v>
      </c>
      <c r="I14" s="35">
        <f>+'Feb 1a'!I14+'Feb 2a'!I14</f>
        <v>1128</v>
      </c>
      <c r="J14" s="35">
        <f>+'Feb 1a'!J14+'Feb 2a'!J14</f>
        <v>219.12</v>
      </c>
      <c r="K14" s="35">
        <f>+'Feb 1a'!N14+'Feb 2a'!N14</f>
        <v>0</v>
      </c>
      <c r="L14" s="37">
        <f t="shared" si="0"/>
        <v>15513.820000000002</v>
      </c>
      <c r="M14" s="35">
        <f>+'Feb 1a'!P14+'Feb 2a'!P14</f>
        <v>1990.7</v>
      </c>
      <c r="N14" s="35">
        <f>+'Feb 1a'!Q14+'Feb 2a'!Q14</f>
        <v>1548.3255000000001</v>
      </c>
      <c r="O14" s="35">
        <f>+'Feb 1a'!R14+'Feb 2a'!R14</f>
        <v>0</v>
      </c>
      <c r="P14" s="35">
        <f>+'Feb 1a'!S14+'Feb 2a'!S14</f>
        <v>0</v>
      </c>
      <c r="Q14" s="35">
        <f>+'Feb 1a'!T14+'Feb 2a'!T14</f>
        <v>0</v>
      </c>
      <c r="R14" s="35">
        <f>+'Feb 1a'!U14+'Feb 2a'!U14</f>
        <v>3600</v>
      </c>
      <c r="S14" s="35">
        <f>+'Feb 1a'!V14+'Feb 2a'!V14</f>
        <v>0</v>
      </c>
      <c r="T14" s="37">
        <f>SUM(M14:S14)</f>
        <v>7139.0254999999997</v>
      </c>
      <c r="U14" s="38">
        <f t="shared" si="2"/>
        <v>8374.7945000000018</v>
      </c>
      <c r="V14" s="33">
        <v>4</v>
      </c>
      <c r="W14" s="33"/>
      <c r="X14" s="33">
        <v>13</v>
      </c>
      <c r="Y14" s="43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</row>
    <row r="15" spans="1:212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f>+'Feb 1a'!E15+'Feb 2a'!E15</f>
        <v>12904.8</v>
      </c>
      <c r="F15" s="26">
        <f>+'Feb 1a'!F15+'Feb 2a'!F15</f>
        <v>0</v>
      </c>
      <c r="G15" s="26">
        <f>+'Feb 1a'!G15+'Feb 2a'!G15</f>
        <v>0</v>
      </c>
      <c r="H15" s="26">
        <f>+'Feb 1a'!H15+'Feb 2a'!H15</f>
        <v>666</v>
      </c>
      <c r="I15" s="26">
        <f>+'Feb 1a'!I15+'Feb 2a'!I15</f>
        <v>1046</v>
      </c>
      <c r="J15" s="26">
        <f>+'Feb 1a'!J15+'Feb 2a'!J15</f>
        <v>219.12</v>
      </c>
      <c r="K15" s="26">
        <f>+'Feb 1a'!N15+'Feb 2a'!N15</f>
        <v>0</v>
      </c>
      <c r="L15" s="28">
        <f t="shared" si="0"/>
        <v>14835.92</v>
      </c>
      <c r="M15" s="26">
        <f>+'Feb 1a'!P15+'Feb 2a'!P15</f>
        <v>1845.7</v>
      </c>
      <c r="N15" s="26">
        <f>+'Feb 1a'!Q15+'Feb 2a'!Q15</f>
        <v>1484.0519999999999</v>
      </c>
      <c r="O15" s="26">
        <f>+'Feb 1a'!R15+'Feb 2a'!R15</f>
        <v>0</v>
      </c>
      <c r="P15" s="26">
        <f>+'Feb 1a'!S15+'Feb 2a'!S15</f>
        <v>0</v>
      </c>
      <c r="Q15" s="26">
        <f>+'Feb 1a'!T15+'Feb 2a'!T15</f>
        <v>0</v>
      </c>
      <c r="R15" s="26">
        <f>+'Feb 1a'!U15+'Feb 2a'!U15</f>
        <v>6107.16</v>
      </c>
      <c r="S15" s="26">
        <f>+'Feb 1a'!V15+'Feb 2a'!V15</f>
        <v>0</v>
      </c>
      <c r="T15" s="28">
        <f t="shared" si="1"/>
        <v>9436.9120000000003</v>
      </c>
      <c r="U15" s="29">
        <f t="shared" si="2"/>
        <v>5399.0079999999998</v>
      </c>
      <c r="V15" s="24">
        <v>5</v>
      </c>
      <c r="W15" s="24"/>
      <c r="X15" s="24">
        <v>10</v>
      </c>
      <c r="Y15" s="42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</row>
    <row r="16" spans="1:212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f>+'Feb 1a'!E16+'Feb 2a'!E16</f>
        <v>13966.8</v>
      </c>
      <c r="F16" s="35">
        <f>+'Feb 1a'!F16+'Feb 2a'!F16</f>
        <v>0</v>
      </c>
      <c r="G16" s="35">
        <f>+'Feb 1a'!G16+'Feb 2a'!G16</f>
        <v>0</v>
      </c>
      <c r="H16" s="35">
        <f>+'Feb 1a'!H16+'Feb 2a'!H16</f>
        <v>722</v>
      </c>
      <c r="I16" s="35">
        <f>+'Feb 1a'!I16+'Feb 2a'!I16</f>
        <v>1163</v>
      </c>
      <c r="J16" s="35">
        <f>+'Feb 1a'!J16+'Feb 2a'!J16</f>
        <v>219.12</v>
      </c>
      <c r="K16" s="35">
        <f>+'Feb 1a'!N16+'Feb 2a'!N16</f>
        <v>0</v>
      </c>
      <c r="L16" s="37">
        <f t="shared" si="0"/>
        <v>16070.92</v>
      </c>
      <c r="M16" s="35">
        <f>+'Feb 1a'!P16+'Feb 2a'!P16</f>
        <v>2109.52</v>
      </c>
      <c r="N16" s="35">
        <f>+'Feb 1a'!Q16+'Feb 2a'!Q16</f>
        <v>1613.2</v>
      </c>
      <c r="O16" s="35">
        <f>+'Feb 1a'!R16+'Feb 2a'!R16</f>
        <v>0</v>
      </c>
      <c r="P16" s="35">
        <f>+'Feb 1a'!S16+'Feb 2a'!S16</f>
        <v>0</v>
      </c>
      <c r="Q16" s="35">
        <f>+'Feb 1a'!T16+'Feb 2a'!T16</f>
        <v>0</v>
      </c>
      <c r="R16" s="35">
        <f>+'Feb 1a'!U16+'Feb 2a'!U16</f>
        <v>4656</v>
      </c>
      <c r="S16" s="35">
        <f>+'Feb 1a'!V16+'Feb 2a'!V16</f>
        <v>0</v>
      </c>
      <c r="T16" s="37">
        <f t="shared" si="1"/>
        <v>8378.7200000000012</v>
      </c>
      <c r="U16" s="38">
        <f t="shared" si="2"/>
        <v>7692.1999999999989</v>
      </c>
      <c r="V16" s="33">
        <v>6</v>
      </c>
      <c r="W16" s="33"/>
      <c r="X16" s="33">
        <v>14</v>
      </c>
      <c r="Y16" s="39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</row>
    <row r="17" spans="1:212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f>+'Feb 1a'!E17+'Feb 2a'!E17</f>
        <v>7680.9</v>
      </c>
      <c r="F17" s="26">
        <f>+'Feb 1a'!F17+'Feb 2a'!F17</f>
        <v>0</v>
      </c>
      <c r="G17" s="26">
        <f>+'Feb 1a'!G17+'Feb 2a'!G17</f>
        <v>0</v>
      </c>
      <c r="H17" s="26">
        <f>+'Feb 1a'!H17+'Feb 2a'!H17</f>
        <v>343</v>
      </c>
      <c r="I17" s="26">
        <f>+'Feb 1a'!I17+'Feb 2a'!I17</f>
        <v>556</v>
      </c>
      <c r="J17" s="26">
        <f>+'Feb 1a'!J17+'Feb 2a'!J17</f>
        <v>146.08000000000001</v>
      </c>
      <c r="K17" s="26">
        <f>+'Feb 1a'!N17+'Feb 2a'!N17</f>
        <v>0</v>
      </c>
      <c r="L17" s="28">
        <f t="shared" si="0"/>
        <v>8725.98</v>
      </c>
      <c r="M17" s="26">
        <f>+'Feb 1a'!P17+'Feb 2a'!P17</f>
        <v>694.07999999999993</v>
      </c>
      <c r="N17" s="26">
        <f>+'Feb 1a'!Q17+'Feb 2a'!Q17</f>
        <v>883.30349999999999</v>
      </c>
      <c r="O17" s="26">
        <f>+'Feb 1a'!R17+'Feb 2a'!R17</f>
        <v>0</v>
      </c>
      <c r="P17" s="26">
        <f>+'Feb 1a'!S17+'Feb 2a'!S17</f>
        <v>0</v>
      </c>
      <c r="Q17" s="26">
        <f>+'Feb 1a'!T17+'Feb 2a'!T17</f>
        <v>0</v>
      </c>
      <c r="R17" s="26">
        <f>+'Feb 1a'!U17+'Feb 2a'!U17</f>
        <v>0</v>
      </c>
      <c r="S17" s="26">
        <f>+'Feb 1a'!V17+'Feb 2a'!V17</f>
        <v>0</v>
      </c>
      <c r="T17" s="28">
        <f t="shared" si="1"/>
        <v>1577.3834999999999</v>
      </c>
      <c r="U17" s="29">
        <f t="shared" si="2"/>
        <v>7148.5964999999997</v>
      </c>
      <c r="V17" s="24">
        <v>7</v>
      </c>
      <c r="W17" s="24"/>
      <c r="X17" s="24">
        <v>1</v>
      </c>
      <c r="Y17" s="42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</row>
    <row r="18" spans="1:212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f>+'Feb 1a'!E18+'Feb 2a'!E18</f>
        <v>7680.9</v>
      </c>
      <c r="F18" s="35">
        <f>+'Feb 1a'!F18+'Feb 2a'!F18</f>
        <v>0</v>
      </c>
      <c r="G18" s="35">
        <f>+'Feb 1a'!G18+'Feb 2a'!G18</f>
        <v>0</v>
      </c>
      <c r="H18" s="35">
        <f>+'Feb 1a'!H18+'Feb 2a'!H18</f>
        <v>343</v>
      </c>
      <c r="I18" s="35">
        <f>+'Feb 1a'!I18+'Feb 2a'!I18</f>
        <v>556</v>
      </c>
      <c r="J18" s="35">
        <f>+'Feb 1a'!J18+'Feb 2a'!J18</f>
        <v>219.12</v>
      </c>
      <c r="K18" s="35">
        <f>+'Feb 1a'!N18+'Feb 2a'!N18</f>
        <v>0</v>
      </c>
      <c r="L18" s="37">
        <f t="shared" si="0"/>
        <v>8799.02</v>
      </c>
      <c r="M18" s="35">
        <f>+'Feb 1a'!P18+'Feb 2a'!P18</f>
        <v>694.12</v>
      </c>
      <c r="N18" s="35">
        <f>+'Feb 1a'!Q18+'Feb 2a'!Q18</f>
        <v>883.30349999999999</v>
      </c>
      <c r="O18" s="35">
        <f>+'Feb 1a'!R18+'Feb 2a'!R18</f>
        <v>0</v>
      </c>
      <c r="P18" s="35">
        <f>+'Feb 1a'!S18+'Feb 2a'!S18</f>
        <v>0</v>
      </c>
      <c r="Q18" s="35">
        <f>+'Feb 1a'!T18+'Feb 2a'!T18</f>
        <v>0</v>
      </c>
      <c r="R18" s="35">
        <f>+'Feb 1a'!U18+'Feb 2a'!U18</f>
        <v>2562</v>
      </c>
      <c r="S18" s="35">
        <f>+'Feb 1a'!V18+'Feb 2a'!V18</f>
        <v>0</v>
      </c>
      <c r="T18" s="37">
        <f t="shared" si="1"/>
        <v>4139.4234999999999</v>
      </c>
      <c r="U18" s="38">
        <f t="shared" si="2"/>
        <v>4659.5965000000006</v>
      </c>
      <c r="V18" s="33">
        <v>8</v>
      </c>
      <c r="W18" s="33"/>
      <c r="X18" s="33">
        <v>1</v>
      </c>
      <c r="Y18" s="39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</row>
    <row r="19" spans="1:212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f>+'Feb 1a'!E19+'Feb 2a'!E19</f>
        <v>9478.7999999999993</v>
      </c>
      <c r="F19" s="26">
        <f>+'Feb 1a'!F19+'Feb 2a'!F19</f>
        <v>0</v>
      </c>
      <c r="G19" s="26">
        <f>+'Feb 1a'!G19+'Feb 2a'!G19</f>
        <v>0</v>
      </c>
      <c r="H19" s="26">
        <f>+'Feb 1a'!H19+'Feb 2a'!H19</f>
        <v>455</v>
      </c>
      <c r="I19" s="26">
        <f>+'Feb 1a'!I19+'Feb 2a'!I19</f>
        <v>737</v>
      </c>
      <c r="J19" s="26">
        <f>+'Feb 1a'!J19+'Feb 2a'!J19</f>
        <v>278.62</v>
      </c>
      <c r="K19" s="26">
        <f>+'Feb 1a'!N19+'Feb 2a'!N19</f>
        <v>0</v>
      </c>
      <c r="L19" s="28">
        <f t="shared" si="0"/>
        <v>10949.42</v>
      </c>
      <c r="M19" s="26">
        <f>+'Feb 1a'!P19+'Feb 2a'!P19</f>
        <v>1043.3600000000001</v>
      </c>
      <c r="N19" s="26">
        <f>+'Feb 1a'!Q19+'Feb 2a'!Q19</f>
        <v>1090.0619999999999</v>
      </c>
      <c r="O19" s="26">
        <f>+'Feb 1a'!R19+'Feb 2a'!R19</f>
        <v>0</v>
      </c>
      <c r="P19" s="26">
        <f>+'Feb 1a'!S19+'Feb 2a'!S19</f>
        <v>0</v>
      </c>
      <c r="Q19" s="26">
        <f>+'Feb 1a'!T19+'Feb 2a'!T19</f>
        <v>0</v>
      </c>
      <c r="R19" s="26">
        <f>+'Feb 1a'!U19+'Feb 2a'!U19</f>
        <v>0</v>
      </c>
      <c r="S19" s="26">
        <f>+'Feb 1a'!V19+'Feb 2a'!V19</f>
        <v>0</v>
      </c>
      <c r="T19" s="28">
        <f t="shared" si="1"/>
        <v>2133.422</v>
      </c>
      <c r="U19" s="29">
        <f t="shared" si="2"/>
        <v>8815.9979999999996</v>
      </c>
      <c r="V19" s="24">
        <v>9</v>
      </c>
      <c r="W19" s="24"/>
      <c r="X19" s="24">
        <v>2</v>
      </c>
      <c r="Y19" s="42"/>
      <c r="Z19" s="31"/>
      <c r="AA19" s="31" t="s">
        <v>1</v>
      </c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</row>
    <row r="20" spans="1:212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f>+'Feb 1a'!E20+'Feb 2a'!E20</f>
        <v>12904.8</v>
      </c>
      <c r="F20" s="35">
        <f>+'Feb 1a'!F20+'Feb 2a'!F20</f>
        <v>0</v>
      </c>
      <c r="G20" s="35">
        <f>+'Feb 1a'!G20+'Feb 2a'!G20</f>
        <v>0</v>
      </c>
      <c r="H20" s="35">
        <f>+'Feb 1a'!H20+'Feb 2a'!H20</f>
        <v>666</v>
      </c>
      <c r="I20" s="35">
        <f>+'Feb 1a'!I20+'Feb 2a'!I20</f>
        <v>1046</v>
      </c>
      <c r="J20" s="35">
        <f>+'Feb 1a'!J20+'Feb 2a'!J20</f>
        <v>146.08000000000001</v>
      </c>
      <c r="K20" s="35">
        <f>+'Feb 1a'!N20+'Feb 2a'!N20</f>
        <v>0</v>
      </c>
      <c r="L20" s="37">
        <f t="shared" si="0"/>
        <v>14762.88</v>
      </c>
      <c r="M20" s="35">
        <f>+'Feb 1a'!P20+'Feb 2a'!P20</f>
        <v>1845.64</v>
      </c>
      <c r="N20" s="35">
        <f>+'Feb 1a'!Q20+'Feb 2a'!Q20</f>
        <v>1484.0519999999999</v>
      </c>
      <c r="O20" s="35">
        <f>+'Feb 1a'!R20+'Feb 2a'!R20</f>
        <v>0</v>
      </c>
      <c r="P20" s="35">
        <f>+'Feb 1a'!S20+'Feb 2a'!S20</f>
        <v>0</v>
      </c>
      <c r="Q20" s="35">
        <f>+'Feb 1a'!T20+'Feb 2a'!T20</f>
        <v>0</v>
      </c>
      <c r="R20" s="35">
        <f>+'Feb 1a'!U20+'Feb 2a'!U20</f>
        <v>6553.58</v>
      </c>
      <c r="S20" s="35">
        <f>+'Feb 1a'!V20+'Feb 2a'!V20</f>
        <v>0</v>
      </c>
      <c r="T20" s="37">
        <f t="shared" si="1"/>
        <v>9883.2720000000008</v>
      </c>
      <c r="U20" s="38">
        <f t="shared" si="2"/>
        <v>4879.6079999999984</v>
      </c>
      <c r="V20" s="33">
        <v>11</v>
      </c>
      <c r="W20" s="33"/>
      <c r="X20" s="33">
        <v>10</v>
      </c>
      <c r="Y20" s="39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</row>
    <row r="21" spans="1:212" s="32" customFormat="1" ht="21" customHeight="1">
      <c r="A21" s="24">
        <v>64</v>
      </c>
      <c r="B21" s="25" t="s">
        <v>50</v>
      </c>
      <c r="C21" s="25" t="s">
        <v>51</v>
      </c>
      <c r="D21" s="25" t="s">
        <v>76</v>
      </c>
      <c r="E21" s="26">
        <f>+'Feb 1a'!E21+'Feb 2a'!E21</f>
        <v>13966.8</v>
      </c>
      <c r="F21" s="26">
        <f>+'Feb 1a'!F21+'Feb 2a'!F21</f>
        <v>0</v>
      </c>
      <c r="G21" s="26">
        <f>+'Feb 1a'!G21+'Feb 2a'!G21</f>
        <v>0</v>
      </c>
      <c r="H21" s="26">
        <f>+'Feb 1a'!H21+'Feb 2a'!H21</f>
        <v>722</v>
      </c>
      <c r="I21" s="26">
        <f>+'Feb 1a'!I21+'Feb 2a'!I21</f>
        <v>1163</v>
      </c>
      <c r="J21" s="26">
        <f>+'Feb 1a'!J21+'Feb 2a'!J21</f>
        <v>182.60000000000002</v>
      </c>
      <c r="K21" s="26">
        <f>+'Feb 1a'!N21+'Feb 2a'!N21</f>
        <v>0</v>
      </c>
      <c r="L21" s="28">
        <f t="shared" si="0"/>
        <v>16034.4</v>
      </c>
      <c r="M21" s="26">
        <f>+'Feb 1a'!P21+'Feb 2a'!P21</f>
        <v>2109.46</v>
      </c>
      <c r="N21" s="26">
        <f>+'Feb 1a'!Q21+'Feb 2a'!Q21</f>
        <v>1606.202</v>
      </c>
      <c r="O21" s="26">
        <f>+'Feb 1a'!R21+'Feb 2a'!R21</f>
        <v>0</v>
      </c>
      <c r="P21" s="26">
        <f>+'Feb 1a'!S21+'Feb 2a'!S21</f>
        <v>0</v>
      </c>
      <c r="Q21" s="26">
        <f>+'Feb 1a'!T21+'Feb 2a'!T21</f>
        <v>0</v>
      </c>
      <c r="R21" s="26">
        <f>+'Feb 1a'!U21+'Feb 2a'!U21</f>
        <v>7258.46</v>
      </c>
      <c r="S21" s="26">
        <f>+'Feb 1a'!V21+'Feb 2a'!V21</f>
        <v>0</v>
      </c>
      <c r="T21" s="28">
        <f t="shared" si="1"/>
        <v>10974.121999999999</v>
      </c>
      <c r="U21" s="29">
        <f t="shared" si="2"/>
        <v>5060.2780000000002</v>
      </c>
      <c r="V21" s="24">
        <v>13</v>
      </c>
      <c r="W21" s="24"/>
      <c r="X21" s="24">
        <v>14</v>
      </c>
      <c r="Y21" s="107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</row>
    <row r="22" spans="1:212" s="41" customFormat="1" ht="21" customHeight="1">
      <c r="A22" s="33">
        <v>79</v>
      </c>
      <c r="B22" s="34" t="s">
        <v>52</v>
      </c>
      <c r="C22" s="34" t="s">
        <v>51</v>
      </c>
      <c r="D22" s="34" t="s">
        <v>76</v>
      </c>
      <c r="E22" s="35">
        <f>+'Feb 1a'!E22+'Feb 2a'!E22</f>
        <v>12537</v>
      </c>
      <c r="F22" s="35">
        <f>+'Feb 1a'!F22+'Feb 2a'!F22</f>
        <v>0</v>
      </c>
      <c r="G22" s="35">
        <f>+'Feb 1a'!G22+'Feb 2a'!G22</f>
        <v>0</v>
      </c>
      <c r="H22" s="35">
        <f>+'Feb 1a'!H22+'Feb 2a'!H22</f>
        <v>661</v>
      </c>
      <c r="I22" s="35">
        <f>+'Feb 1a'!I22+'Feb 2a'!I22</f>
        <v>957</v>
      </c>
      <c r="J22" s="35">
        <f>+'Feb 1a'!J22+'Feb 2a'!J22</f>
        <v>292.16000000000003</v>
      </c>
      <c r="K22" s="35">
        <f>+'Feb 1a'!N22+'Feb 2a'!N22</f>
        <v>0</v>
      </c>
      <c r="L22" s="37">
        <f t="shared" si="0"/>
        <v>14447.16</v>
      </c>
      <c r="M22" s="35">
        <f>+'Feb 1a'!P22+'Feb 2a'!P22</f>
        <v>1747</v>
      </c>
      <c r="N22" s="35">
        <f>+'Feb 1a'!Q22+'Feb 2a'!Q22</f>
        <v>1441.76</v>
      </c>
      <c r="O22" s="35">
        <f>+'Feb 1a'!R22+'Feb 2a'!R22</f>
        <v>0</v>
      </c>
      <c r="P22" s="35">
        <f>+'Feb 1a'!S22+'Feb 2a'!S22</f>
        <v>0</v>
      </c>
      <c r="Q22" s="35">
        <f>+'Feb 1a'!T22+'Feb 2a'!T22</f>
        <v>0</v>
      </c>
      <c r="R22" s="35">
        <f>+'Feb 1a'!U22+'Feb 2a'!U22</f>
        <v>4180</v>
      </c>
      <c r="S22" s="35">
        <f>+'Feb 1a'!V22+'Feb 2a'!V22</f>
        <v>0</v>
      </c>
      <c r="T22" s="37">
        <f t="shared" si="1"/>
        <v>7368.76</v>
      </c>
      <c r="U22" s="38">
        <f t="shared" si="2"/>
        <v>7078.4</v>
      </c>
      <c r="V22" s="33">
        <v>14</v>
      </c>
      <c r="W22" s="33"/>
      <c r="X22" s="33">
        <v>9</v>
      </c>
      <c r="Y22" s="109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</row>
    <row r="23" spans="1:212" s="32" customFormat="1" ht="21" customHeight="1">
      <c r="A23" s="24">
        <v>92</v>
      </c>
      <c r="B23" s="25" t="s">
        <v>53</v>
      </c>
      <c r="C23" s="25" t="s">
        <v>42</v>
      </c>
      <c r="D23" s="25" t="s">
        <v>79</v>
      </c>
      <c r="E23" s="26">
        <f>+'Feb 1a'!E23+'Feb 2a'!E23</f>
        <v>9478.7999999999993</v>
      </c>
      <c r="F23" s="26">
        <f>+'Feb 1a'!F23+'Feb 2a'!F23</f>
        <v>0</v>
      </c>
      <c r="G23" s="26">
        <f>+'Feb 1a'!G23+'Feb 2a'!G23</f>
        <v>0</v>
      </c>
      <c r="H23" s="26">
        <f>+'Feb 1a'!H23+'Feb 2a'!H23</f>
        <v>455</v>
      </c>
      <c r="I23" s="26">
        <f>+'Feb 1a'!I23+'Feb 2a'!I23</f>
        <v>737</v>
      </c>
      <c r="J23" s="26">
        <f>+'Feb 1a'!J23+'Feb 2a'!J23</f>
        <v>160.08000000000001</v>
      </c>
      <c r="K23" s="26">
        <f>+'Feb 1a'!N23+'Feb 2a'!N23</f>
        <v>0</v>
      </c>
      <c r="L23" s="28">
        <f t="shared" si="0"/>
        <v>10830.88</v>
      </c>
      <c r="M23" s="26">
        <f>+'Feb 1a'!P23+'Feb 2a'!P23</f>
        <v>1043.22</v>
      </c>
      <c r="N23" s="26">
        <f>+'Feb 1a'!Q23+'Feb 2a'!Q23</f>
        <v>1090.0619999999999</v>
      </c>
      <c r="O23" s="26">
        <f>+'Feb 1a'!R23+'Feb 2a'!R23</f>
        <v>0</v>
      </c>
      <c r="P23" s="26">
        <f>+'Feb 1a'!S23+'Feb 2a'!S23</f>
        <v>0</v>
      </c>
      <c r="Q23" s="26">
        <f>+'Feb 1a'!T23+'Feb 2a'!T23</f>
        <v>0</v>
      </c>
      <c r="R23" s="26">
        <f>+'Feb 1a'!U23+'Feb 2a'!U23</f>
        <v>3128</v>
      </c>
      <c r="S23" s="26">
        <f>+'Feb 1a'!V23+'Feb 2a'!V23</f>
        <v>0</v>
      </c>
      <c r="T23" s="28">
        <f>SUM(M23:S23)</f>
        <v>5261.2820000000002</v>
      </c>
      <c r="U23" s="29">
        <f t="shared" si="2"/>
        <v>5569.597999999999</v>
      </c>
      <c r="V23" s="24">
        <v>16</v>
      </c>
      <c r="W23" s="24"/>
      <c r="X23" s="24">
        <v>2</v>
      </c>
      <c r="Y23" s="107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</row>
    <row r="24" spans="1:212" s="41" customFormat="1" ht="20.25" customHeight="1">
      <c r="A24" s="33">
        <v>96</v>
      </c>
      <c r="B24" s="34" t="s">
        <v>54</v>
      </c>
      <c r="C24" s="34" t="s">
        <v>55</v>
      </c>
      <c r="D24" s="34" t="s">
        <v>78</v>
      </c>
      <c r="E24" s="35">
        <f>+'Feb 1a'!E24+'Feb 2a'!E24</f>
        <v>76938</v>
      </c>
      <c r="F24" s="35">
        <f>+'Feb 1a'!F24+'Feb 2a'!F24</f>
        <v>0</v>
      </c>
      <c r="G24" s="35">
        <f>+'Feb 1a'!G24+'Feb 2a'!G24</f>
        <v>0</v>
      </c>
      <c r="H24" s="35">
        <f>+'Feb 1a'!H24+'Feb 2a'!H24</f>
        <v>0</v>
      </c>
      <c r="I24" s="35">
        <f>+'Feb 1a'!I24+'Feb 2a'!I24</f>
        <v>0</v>
      </c>
      <c r="J24" s="35">
        <f>+'Feb 1a'!J24+'Feb 2a'!J24</f>
        <v>0</v>
      </c>
      <c r="K24" s="35">
        <f>+'Feb 1a'!N24+'Feb 2a'!N24</f>
        <v>0</v>
      </c>
      <c r="L24" s="37">
        <f t="shared" si="0"/>
        <v>76938</v>
      </c>
      <c r="M24" s="35">
        <f>+'Feb 1a'!P24+'Feb 2a'!P24</f>
        <v>18947.72</v>
      </c>
      <c r="N24" s="35">
        <f>+'Feb 1a'!Q24+'Feb 2a'!Q24</f>
        <v>8847.8700000000008</v>
      </c>
      <c r="O24" s="35">
        <f>+'Feb 1a'!R24+'Feb 2a'!R24</f>
        <v>0</v>
      </c>
      <c r="P24" s="35">
        <f>+'Feb 1a'!S24+'Feb 2a'!S24</f>
        <v>0</v>
      </c>
      <c r="Q24" s="35">
        <f>+'Feb 1a'!T24+'Feb 2a'!T24</f>
        <v>0</v>
      </c>
      <c r="R24" s="35">
        <f>+'Feb 1a'!U24+'Feb 2a'!U24</f>
        <v>0</v>
      </c>
      <c r="S24" s="35">
        <f>+'Feb 1a'!V24+'Feb 2a'!V24</f>
        <v>0</v>
      </c>
      <c r="T24" s="37">
        <f>SUM(M24:S24)</f>
        <v>27795.590000000004</v>
      </c>
      <c r="U24" s="38">
        <f>+L24-T24-0.01</f>
        <v>49142.399999999994</v>
      </c>
      <c r="V24" s="33">
        <v>17</v>
      </c>
      <c r="W24" s="33"/>
      <c r="X24" s="33">
        <v>30</v>
      </c>
      <c r="Y24" s="39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</row>
    <row r="25" spans="1:212" s="32" customFormat="1" ht="20.25" customHeight="1">
      <c r="A25" s="24">
        <v>99</v>
      </c>
      <c r="B25" s="25" t="s">
        <v>56</v>
      </c>
      <c r="C25" s="25" t="s">
        <v>66</v>
      </c>
      <c r="D25" s="25" t="s">
        <v>78</v>
      </c>
      <c r="E25" s="26">
        <f>+'Feb 1a'!E25+'Feb 2a'!E25</f>
        <v>27627</v>
      </c>
      <c r="F25" s="26">
        <f>+'Feb 1a'!F25+'Feb 2a'!F25</f>
        <v>0</v>
      </c>
      <c r="G25" s="26">
        <f>+'Feb 1a'!G25+'Feb 2a'!G25</f>
        <v>0</v>
      </c>
      <c r="H25" s="26">
        <f>+'Feb 1a'!H25+'Feb 2a'!H25</f>
        <v>1119</v>
      </c>
      <c r="I25" s="26">
        <f>+'Feb 1a'!I25+'Feb 2a'!I25</f>
        <v>1664</v>
      </c>
      <c r="J25" s="26">
        <f>+'Feb 1a'!J25+'Feb 2a'!J25</f>
        <v>0</v>
      </c>
      <c r="K25" s="26">
        <f>+'Feb 1a'!N25+'Feb 2a'!N25</f>
        <v>0</v>
      </c>
      <c r="L25" s="28">
        <f t="shared" si="0"/>
        <v>30410</v>
      </c>
      <c r="M25" s="26">
        <f>+'Feb 1a'!P25+'Feb 2a'!P25</f>
        <v>5359.7000000000007</v>
      </c>
      <c r="N25" s="26">
        <f>+'Feb 1a'!Q25+'Feb 2a'!Q25</f>
        <v>3177.105</v>
      </c>
      <c r="O25" s="26">
        <f>+'Feb 1a'!R25+'Feb 2a'!R25</f>
        <v>0</v>
      </c>
      <c r="P25" s="26">
        <f>+'Feb 1a'!S25+'Feb 2a'!S25</f>
        <v>0</v>
      </c>
      <c r="Q25" s="26">
        <f>+'Feb 1a'!T25+'Feb 2a'!T25</f>
        <v>0</v>
      </c>
      <c r="R25" s="26">
        <f>+'Feb 1a'!U25+'Feb 2a'!U25</f>
        <v>0</v>
      </c>
      <c r="S25" s="26">
        <f>+'Feb 1a'!V25+'Feb 2a'!V25</f>
        <v>0</v>
      </c>
      <c r="T25" s="28">
        <f>SUM(M25:S25)</f>
        <v>8536.8050000000003</v>
      </c>
      <c r="U25" s="29">
        <f t="shared" ref="U25:U36" si="3">+L25-T25</f>
        <v>21873.195</v>
      </c>
      <c r="V25" s="24">
        <v>19</v>
      </c>
      <c r="W25" s="24"/>
      <c r="X25" s="24">
        <v>20</v>
      </c>
      <c r="Y25" s="42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</row>
    <row r="26" spans="1:212" s="41" customFormat="1" ht="20.25" customHeight="1">
      <c r="A26" s="33">
        <v>100</v>
      </c>
      <c r="B26" s="34" t="s">
        <v>57</v>
      </c>
      <c r="C26" s="34" t="s">
        <v>58</v>
      </c>
      <c r="D26" s="34" t="s">
        <v>80</v>
      </c>
      <c r="E26" s="35">
        <f>+'Feb 1a'!E26+'Feb 2a'!E26</f>
        <v>27627</v>
      </c>
      <c r="F26" s="35">
        <f>+'Feb 1a'!F26+'Feb 2a'!F26</f>
        <v>0</v>
      </c>
      <c r="G26" s="35">
        <f>+'Feb 1a'!G26+'Feb 2a'!G26</f>
        <v>0</v>
      </c>
      <c r="H26" s="35">
        <f>+'Feb 1a'!H26+'Feb 2a'!H26</f>
        <v>1119</v>
      </c>
      <c r="I26" s="35">
        <f>+'Feb 1a'!I26+'Feb 2a'!I26</f>
        <v>1664</v>
      </c>
      <c r="J26" s="35">
        <f>+'Feb 1a'!J26+'Feb 2a'!J26</f>
        <v>0</v>
      </c>
      <c r="K26" s="35">
        <f>+'Feb 1a'!N26+'Feb 2a'!N26</f>
        <v>0</v>
      </c>
      <c r="L26" s="37">
        <f t="shared" si="0"/>
        <v>30410</v>
      </c>
      <c r="M26" s="35">
        <f>+'Feb 1a'!P26+'Feb 2a'!P26</f>
        <v>5359.52</v>
      </c>
      <c r="N26" s="35">
        <f>+'Feb 1a'!Q26+'Feb 2a'!Q26</f>
        <v>3177.105</v>
      </c>
      <c r="O26" s="35">
        <f>+'Feb 1a'!R26+'Feb 2a'!R26</f>
        <v>0</v>
      </c>
      <c r="P26" s="35">
        <f>+'Feb 1a'!S26+'Feb 2a'!S26</f>
        <v>0</v>
      </c>
      <c r="Q26" s="35">
        <f>+'Feb 1a'!T26+'Feb 2a'!T26</f>
        <v>0</v>
      </c>
      <c r="R26" s="35">
        <f>+'Feb 1a'!U26+'Feb 2a'!U26</f>
        <v>13702.18</v>
      </c>
      <c r="S26" s="35">
        <f>+'Feb 1a'!V26+'Feb 2a'!V26</f>
        <v>0</v>
      </c>
      <c r="T26" s="37">
        <f>SUM(M26:S26)</f>
        <v>22238.805</v>
      </c>
      <c r="U26" s="38">
        <f t="shared" si="3"/>
        <v>8171.1949999999997</v>
      </c>
      <c r="V26" s="33">
        <v>20</v>
      </c>
      <c r="W26" s="33"/>
      <c r="X26" s="33">
        <v>20</v>
      </c>
      <c r="Y26" s="39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</row>
    <row r="27" spans="1:212" s="32" customFormat="1" ht="20.25" customHeight="1">
      <c r="A27" s="24">
        <v>101</v>
      </c>
      <c r="B27" s="25" t="s">
        <v>59</v>
      </c>
      <c r="C27" s="25" t="s">
        <v>67</v>
      </c>
      <c r="D27" s="25" t="s">
        <v>77</v>
      </c>
      <c r="E27" s="26">
        <f>+'Feb 1a'!E27+'Feb 2a'!E27</f>
        <v>17212.8</v>
      </c>
      <c r="F27" s="26">
        <f>+'Feb 1a'!F27+'Feb 2a'!F27</f>
        <v>0</v>
      </c>
      <c r="G27" s="26">
        <f>+'Feb 1a'!G27+'Feb 2a'!G27</f>
        <v>0</v>
      </c>
      <c r="H27" s="26">
        <f>+'Feb 1a'!H27+'Feb 2a'!H27</f>
        <v>779</v>
      </c>
      <c r="I27" s="26">
        <f>+'Feb 1a'!I27+'Feb 2a'!I27</f>
        <v>1247</v>
      </c>
      <c r="J27" s="26">
        <f>+'Feb 1a'!J27+'Feb 2a'!J27</f>
        <v>0</v>
      </c>
      <c r="K27" s="26">
        <f>+'Feb 1a'!N27+'Feb 2a'!N27</f>
        <v>0</v>
      </c>
      <c r="L27" s="28">
        <f t="shared" si="0"/>
        <v>19238.8</v>
      </c>
      <c r="M27" s="26">
        <f>+'Feb 1a'!P27+'Feb 2a'!P27</f>
        <v>2832.9</v>
      </c>
      <c r="N27" s="26">
        <f>+'Feb 1a'!Q27+'Feb 2a'!Q27</f>
        <v>1979.5</v>
      </c>
      <c r="O27" s="26">
        <f>+'Feb 1a'!R27+'Feb 2a'!R27</f>
        <v>0</v>
      </c>
      <c r="P27" s="26">
        <f>+'Feb 1a'!S27+'Feb 2a'!S27</f>
        <v>0</v>
      </c>
      <c r="Q27" s="26">
        <f>+'Feb 1a'!T27+'Feb 2a'!T27</f>
        <v>0</v>
      </c>
      <c r="R27" s="26">
        <f>+'Feb 1a'!U27+'Feb 2a'!U27</f>
        <v>0</v>
      </c>
      <c r="S27" s="26">
        <f>+'Feb 1a'!V27+'Feb 2a'!V27</f>
        <v>0</v>
      </c>
      <c r="T27" s="28">
        <f t="shared" ref="T27:T36" si="4">SUM(M27:S27)</f>
        <v>4812.3999999999996</v>
      </c>
      <c r="U27" s="29">
        <f t="shared" si="3"/>
        <v>14426.4</v>
      </c>
      <c r="V27" s="24">
        <v>21</v>
      </c>
      <c r="W27" s="24"/>
      <c r="X27" s="24">
        <v>16</v>
      </c>
      <c r="Y27" s="42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</row>
    <row r="28" spans="1:212" s="41" customFormat="1" ht="20.25" customHeight="1">
      <c r="A28" s="33">
        <v>104</v>
      </c>
      <c r="B28" s="34" t="s">
        <v>60</v>
      </c>
      <c r="C28" s="34" t="s">
        <v>69</v>
      </c>
      <c r="D28" s="34" t="s">
        <v>78</v>
      </c>
      <c r="E28" s="35">
        <f>+'Feb 1a'!E28+'Feb 2a'!E28</f>
        <v>13966.8</v>
      </c>
      <c r="F28" s="35">
        <f>+'Feb 1a'!F28+'Feb 2a'!F28</f>
        <v>0</v>
      </c>
      <c r="G28" s="35">
        <f>+'Feb 1a'!G28+'Feb 2a'!G28</f>
        <v>0</v>
      </c>
      <c r="H28" s="35">
        <f>+'Feb 1a'!H28+'Feb 2a'!H28</f>
        <v>1163</v>
      </c>
      <c r="I28" s="35">
        <f>+'Feb 1a'!I28+'Feb 2a'!I28</f>
        <v>722</v>
      </c>
      <c r="J28" s="35">
        <f>+'Feb 1a'!J28+'Feb 2a'!J28</f>
        <v>0</v>
      </c>
      <c r="K28" s="35">
        <f>+'Feb 1a'!N28+'Feb 2a'!N28</f>
        <v>0</v>
      </c>
      <c r="L28" s="37">
        <f t="shared" si="0"/>
        <v>15851.8</v>
      </c>
      <c r="M28" s="35">
        <f>+'Feb 1a'!P28+'Feb 2a'!P28</f>
        <v>2109.62</v>
      </c>
      <c r="N28" s="35">
        <f>+'Feb 1a'!Q28+'Feb 2a'!Q28</f>
        <v>1606.182</v>
      </c>
      <c r="O28" s="35">
        <f>+'Feb 1a'!R28+'Feb 2a'!R28</f>
        <v>0</v>
      </c>
      <c r="P28" s="35">
        <f>+'Feb 1a'!S28+'Feb 2a'!S28</f>
        <v>0</v>
      </c>
      <c r="Q28" s="35">
        <f>+'Feb 1a'!T28+'Feb 2a'!T28</f>
        <v>0</v>
      </c>
      <c r="R28" s="35">
        <f>+'Feb 1a'!U28+'Feb 2a'!U28</f>
        <v>0</v>
      </c>
      <c r="S28" s="35">
        <f>+'Feb 1a'!V28+'Feb 2a'!V28</f>
        <v>0</v>
      </c>
      <c r="T28" s="37">
        <f t="shared" si="4"/>
        <v>3715.8019999999997</v>
      </c>
      <c r="U28" s="38">
        <f t="shared" si="3"/>
        <v>12135.998</v>
      </c>
      <c r="V28" s="33">
        <v>22</v>
      </c>
      <c r="W28" s="33"/>
      <c r="X28" s="33">
        <v>14</v>
      </c>
      <c r="Y28" s="39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</row>
    <row r="29" spans="1:212" s="32" customFormat="1" ht="20.25" customHeight="1">
      <c r="A29" s="24">
        <v>105</v>
      </c>
      <c r="B29" s="25" t="s">
        <v>61</v>
      </c>
      <c r="C29" s="25" t="s">
        <v>42</v>
      </c>
      <c r="D29" s="25" t="s">
        <v>77</v>
      </c>
      <c r="E29" s="26">
        <f>+'Feb 1a'!E29+'Feb 2a'!E29</f>
        <v>7680.9</v>
      </c>
      <c r="F29" s="26">
        <f>+'Feb 1a'!F29+'Feb 2a'!F29</f>
        <v>0</v>
      </c>
      <c r="G29" s="26">
        <f>+'Feb 1a'!G29+'Feb 2a'!G29</f>
        <v>0</v>
      </c>
      <c r="H29" s="26">
        <f>+'Feb 1a'!H29+'Feb 2a'!H29</f>
        <v>555.96</v>
      </c>
      <c r="I29" s="26">
        <f>+'Feb 1a'!I29+'Feb 2a'!I29</f>
        <v>342.96</v>
      </c>
      <c r="J29" s="26">
        <f>+'Feb 1a'!J29+'Feb 2a'!J29</f>
        <v>0</v>
      </c>
      <c r="K29" s="26">
        <f>+'Feb 1a'!N29+'Feb 2a'!N29</f>
        <v>0</v>
      </c>
      <c r="L29" s="28">
        <f t="shared" si="0"/>
        <v>8579.82</v>
      </c>
      <c r="M29" s="26">
        <f>+'Feb 1a'!P29+'Feb 2a'!P29</f>
        <v>694.12</v>
      </c>
      <c r="N29" s="26">
        <f>+'Feb 1a'!Q29+'Feb 2a'!Q29</f>
        <v>883.30349999999999</v>
      </c>
      <c r="O29" s="26">
        <f>+'Feb 1a'!R29+'Feb 2a'!R29</f>
        <v>0</v>
      </c>
      <c r="P29" s="26">
        <f>+'Feb 1a'!S29+'Feb 2a'!S29</f>
        <v>0</v>
      </c>
      <c r="Q29" s="26">
        <f>+'Feb 1a'!T29+'Feb 2a'!T29</f>
        <v>0</v>
      </c>
      <c r="R29" s="26">
        <f>+'Feb 1a'!U29+'Feb 2a'!U29</f>
        <v>0</v>
      </c>
      <c r="S29" s="26">
        <f>+'Feb 1a'!V29+'Feb 2a'!V29</f>
        <v>0</v>
      </c>
      <c r="T29" s="28">
        <f t="shared" si="4"/>
        <v>1577.4234999999999</v>
      </c>
      <c r="U29" s="29">
        <f t="shared" si="3"/>
        <v>7002.3964999999998</v>
      </c>
      <c r="V29" s="24">
        <v>23</v>
      </c>
      <c r="W29" s="24"/>
      <c r="X29" s="24">
        <v>1</v>
      </c>
      <c r="Y29" s="42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</row>
    <row r="30" spans="1:212" s="41" customFormat="1" ht="20.25" customHeight="1">
      <c r="A30" s="33">
        <v>107</v>
      </c>
      <c r="B30" s="34" t="s">
        <v>62</v>
      </c>
      <c r="C30" s="34" t="s">
        <v>70</v>
      </c>
      <c r="D30" s="34" t="s">
        <v>76</v>
      </c>
      <c r="E30" s="35">
        <f>+'Feb 1a'!E30+'Feb 2a'!E30</f>
        <v>13966.8</v>
      </c>
      <c r="F30" s="35">
        <f>+'Feb 1a'!F30+'Feb 2a'!F30</f>
        <v>0</v>
      </c>
      <c r="G30" s="35">
        <f>+'Feb 1a'!G30+'Feb 2a'!G30</f>
        <v>0</v>
      </c>
      <c r="H30" s="35">
        <f>+'Feb 1a'!H30+'Feb 2a'!H30</f>
        <v>722</v>
      </c>
      <c r="I30" s="35">
        <f>+'Feb 1a'!I30+'Feb 2a'!I30</f>
        <v>1163</v>
      </c>
      <c r="J30" s="35">
        <f>+'Feb 1a'!J30+'Feb 2a'!J30</f>
        <v>0</v>
      </c>
      <c r="K30" s="35">
        <f>+'Feb 1a'!N30+'Feb 2a'!N30</f>
        <v>0</v>
      </c>
      <c r="L30" s="37">
        <f t="shared" si="0"/>
        <v>15851.8</v>
      </c>
      <c r="M30" s="35">
        <f>+'Feb 1a'!P30+'Feb 2a'!P30</f>
        <v>2109.62</v>
      </c>
      <c r="N30" s="35">
        <f>+'Feb 1a'!Q30+'Feb 2a'!Q30</f>
        <v>1606.18</v>
      </c>
      <c r="O30" s="35">
        <f>+'Feb 1a'!R30+'Feb 2a'!R30</f>
        <v>0</v>
      </c>
      <c r="P30" s="35">
        <f>+'Feb 1a'!S30+'Feb 2a'!S30</f>
        <v>0</v>
      </c>
      <c r="Q30" s="35">
        <f>+'Feb 1a'!T30+'Feb 2a'!T30</f>
        <v>0</v>
      </c>
      <c r="R30" s="35">
        <f>+'Feb 1a'!U30+'Feb 2a'!U30</f>
        <v>0</v>
      </c>
      <c r="S30" s="35">
        <f>+'Feb 1a'!V30+'Feb 2a'!V30</f>
        <v>0</v>
      </c>
      <c r="T30" s="37">
        <f t="shared" si="4"/>
        <v>3715.8</v>
      </c>
      <c r="U30" s="38">
        <f t="shared" si="3"/>
        <v>12136</v>
      </c>
      <c r="V30" s="33">
        <v>24</v>
      </c>
      <c r="W30" s="33"/>
      <c r="X30" s="33">
        <v>14</v>
      </c>
      <c r="Y30" s="39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</row>
    <row r="31" spans="1:212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f>+'Feb 1a'!E31+'Feb 2a'!E31</f>
        <v>9106.7999999999993</v>
      </c>
      <c r="F31" s="35">
        <f>+'Feb 1a'!F31+'Feb 2a'!F31</f>
        <v>0</v>
      </c>
      <c r="G31" s="35">
        <f>+'Feb 1a'!G31+'Feb 2a'!G31</f>
        <v>0</v>
      </c>
      <c r="H31" s="35">
        <f>+'Feb 1a'!H31+'Feb 2a'!H31</f>
        <v>447</v>
      </c>
      <c r="I31" s="35">
        <f>+'Feb 1a'!I31+'Feb 2a'!I31</f>
        <v>717</v>
      </c>
      <c r="J31" s="35">
        <f>+'Feb 1a'!J31+'Feb 2a'!J31</f>
        <v>0</v>
      </c>
      <c r="K31" s="35">
        <f>+'Feb 1a'!N31+'Feb 2a'!N31</f>
        <v>0</v>
      </c>
      <c r="L31" s="37">
        <f t="shared" si="0"/>
        <v>10270.799999999999</v>
      </c>
      <c r="M31" s="35">
        <f>+'Feb 1a'!P31+'Feb 2a'!P31</f>
        <v>971.92</v>
      </c>
      <c r="N31" s="35">
        <f>+'Feb 1a'!Q31+'Feb 2a'!Q31</f>
        <v>1047.2819999999999</v>
      </c>
      <c r="O31" s="35">
        <f>+'Feb 1a'!R31+'Feb 2a'!R31</f>
        <v>0</v>
      </c>
      <c r="P31" s="35">
        <f>+'Feb 1a'!S31+'Feb 2a'!S31</f>
        <v>0</v>
      </c>
      <c r="Q31" s="35">
        <f>+'Feb 1a'!T31+'Feb 2a'!T31</f>
        <v>0</v>
      </c>
      <c r="R31" s="35">
        <f>+'Feb 1a'!U31+'Feb 2a'!U31</f>
        <v>1518</v>
      </c>
      <c r="S31" s="35">
        <f>+'Feb 1a'!V31+'Feb 2a'!V31</f>
        <v>0</v>
      </c>
      <c r="T31" s="37">
        <f t="shared" si="4"/>
        <v>3537.2019999999998</v>
      </c>
      <c r="U31" s="38">
        <f t="shared" si="3"/>
        <v>6733.598</v>
      </c>
      <c r="V31" s="33">
        <v>25</v>
      </c>
      <c r="W31" s="33"/>
      <c r="X31" s="33">
        <v>2</v>
      </c>
      <c r="Y31" s="39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</row>
    <row r="32" spans="1:212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+'Feb 1a'!E32+'Feb 2a'!E32</f>
        <v>15124.8</v>
      </c>
      <c r="F32" s="26">
        <f>+'Feb 1a'!F32+'Feb 2a'!F32</f>
        <v>0</v>
      </c>
      <c r="G32" s="26">
        <f>+'Feb 1a'!G32+'Feb 2a'!G32</f>
        <v>0</v>
      </c>
      <c r="H32" s="26">
        <f>+'Feb 1a'!H32+'Feb 2a'!H32</f>
        <v>756</v>
      </c>
      <c r="I32" s="26">
        <f>+'Feb 1a'!I32+'Feb 2a'!I32</f>
        <v>1206</v>
      </c>
      <c r="J32" s="26">
        <f>+'Feb 1a'!J32+'Feb 2a'!J32</f>
        <v>0</v>
      </c>
      <c r="K32" s="26">
        <f>+'Feb 1a'!N32+'Feb 2a'!N32</f>
        <v>0</v>
      </c>
      <c r="L32" s="28">
        <f t="shared" si="0"/>
        <v>17086.8</v>
      </c>
      <c r="M32" s="26">
        <f>+'Feb 1a'!P32+'Feb 2a'!P32</f>
        <v>2373.2399999999998</v>
      </c>
      <c r="N32" s="26">
        <f>+'Feb 1a'!Q32+'Feb 2a'!Q32</f>
        <v>1739.36</v>
      </c>
      <c r="O32" s="26">
        <f>+'Feb 1a'!R32+'Feb 2a'!R32</f>
        <v>0</v>
      </c>
      <c r="P32" s="26">
        <f>+'Feb 1a'!S32+'Feb 2a'!S32</f>
        <v>0</v>
      </c>
      <c r="Q32" s="26">
        <f>+'Feb 1a'!T32+'Feb 2a'!T32</f>
        <v>0</v>
      </c>
      <c r="R32" s="26">
        <f>+'Feb 1a'!U32+'Feb 2a'!U32</f>
        <v>0</v>
      </c>
      <c r="S32" s="26">
        <f>+'Feb 1a'!V32+'Feb 2a'!V32</f>
        <v>0</v>
      </c>
      <c r="T32" s="28">
        <f t="shared" si="4"/>
        <v>4112.5999999999995</v>
      </c>
      <c r="U32" s="29">
        <f t="shared" si="3"/>
        <v>12974.2</v>
      </c>
      <c r="V32" s="24">
        <v>26</v>
      </c>
      <c r="W32" s="24"/>
      <c r="X32" s="24">
        <v>15</v>
      </c>
      <c r="Y32" s="42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</row>
    <row r="33" spans="1:212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f>+'Feb 1a'!E33+'Feb 2a'!E33</f>
        <v>12547.8</v>
      </c>
      <c r="F33" s="35">
        <f>+'Feb 1a'!F33+'Feb 2a'!F33</f>
        <v>0</v>
      </c>
      <c r="G33" s="35">
        <f>+'Feb 1a'!G33+'Feb 2a'!G33</f>
        <v>0</v>
      </c>
      <c r="H33" s="35">
        <f>+'Feb 1a'!H33+'Feb 2a'!H33</f>
        <v>689</v>
      </c>
      <c r="I33" s="35">
        <f>+'Feb 1a'!I33+'Feb 2a'!I33</f>
        <v>1099</v>
      </c>
      <c r="J33" s="35">
        <f>+'Feb 1a'!J33+'Feb 2a'!J33</f>
        <v>0</v>
      </c>
      <c r="K33" s="35">
        <f>+'Feb 1a'!N33+'Feb 2a'!N33</f>
        <v>0</v>
      </c>
      <c r="L33" s="37">
        <f t="shared" si="0"/>
        <v>14335.8</v>
      </c>
      <c r="M33" s="35">
        <f>+'Feb 1a'!P33+'Feb 2a'!P33</f>
        <v>1785.6000000000001</v>
      </c>
      <c r="N33" s="35">
        <f>+'Feb 1a'!Q33+'Feb 2a'!Q33</f>
        <v>1442.9970000000001</v>
      </c>
      <c r="O33" s="35">
        <f>+'Feb 1a'!R33+'Feb 2a'!R33</f>
        <v>0</v>
      </c>
      <c r="P33" s="35">
        <f>+'Feb 1a'!S33+'Feb 2a'!S33</f>
        <v>0</v>
      </c>
      <c r="Q33" s="35">
        <f>+'Feb 1a'!T33+'Feb 2a'!T33</f>
        <v>0</v>
      </c>
      <c r="R33" s="35">
        <f>+'Feb 1a'!U33+'Feb 2a'!U33</f>
        <v>0</v>
      </c>
      <c r="S33" s="35">
        <f>+'Feb 1a'!V33+'Feb 2a'!V33</f>
        <v>0</v>
      </c>
      <c r="T33" s="37">
        <f t="shared" si="4"/>
        <v>3228.5970000000002</v>
      </c>
      <c r="U33" s="38">
        <f t="shared" si="3"/>
        <v>11107.203</v>
      </c>
      <c r="V33" s="33">
        <v>27</v>
      </c>
      <c r="W33" s="33"/>
      <c r="X33" s="33">
        <v>16</v>
      </c>
      <c r="Y33" s="39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</row>
    <row r="34" spans="1:212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f>+'Feb 1a'!E34+'Feb 2a'!E34</f>
        <v>27627</v>
      </c>
      <c r="F34" s="26">
        <f>+'Feb 1a'!F34+'Feb 2a'!F34</f>
        <v>0</v>
      </c>
      <c r="G34" s="26">
        <f>+'Feb 1a'!G34+'Feb 2a'!G34</f>
        <v>0</v>
      </c>
      <c r="H34" s="26">
        <f>+'Feb 1a'!H34+'Feb 2a'!H34</f>
        <v>1119</v>
      </c>
      <c r="I34" s="26">
        <f>+'Feb 1a'!I34+'Feb 2a'!I34</f>
        <v>1664</v>
      </c>
      <c r="J34" s="26">
        <f>+'Feb 1a'!J34+'Feb 2a'!J34</f>
        <v>0</v>
      </c>
      <c r="K34" s="26">
        <f>+'Feb 1a'!N34+'Feb 2a'!N34</f>
        <v>0</v>
      </c>
      <c r="L34" s="28">
        <f t="shared" si="0"/>
        <v>30410</v>
      </c>
      <c r="M34" s="26">
        <f>+'Feb 1a'!P34+'Feb 2a'!P34</f>
        <v>5359.7000000000007</v>
      </c>
      <c r="N34" s="26">
        <f>+'Feb 1a'!Q34+'Feb 2a'!Q34</f>
        <v>3177.105</v>
      </c>
      <c r="O34" s="26">
        <f>+'Feb 1a'!R34+'Feb 2a'!R34</f>
        <v>0</v>
      </c>
      <c r="P34" s="26">
        <f>+'Feb 1a'!S34+'Feb 2a'!S34</f>
        <v>0</v>
      </c>
      <c r="Q34" s="26">
        <f>+'Feb 1a'!T34+'Feb 2a'!T34</f>
        <v>0</v>
      </c>
      <c r="R34" s="26">
        <f>+'Feb 1a'!U34+'Feb 2a'!U34</f>
        <v>0</v>
      </c>
      <c r="S34" s="26">
        <f>+'Feb 1a'!V34+'Feb 2a'!V34</f>
        <v>0</v>
      </c>
      <c r="T34" s="28">
        <f t="shared" si="4"/>
        <v>8536.8050000000003</v>
      </c>
      <c r="U34" s="29">
        <f t="shared" si="3"/>
        <v>21873.195</v>
      </c>
      <c r="V34" s="24">
        <v>28</v>
      </c>
      <c r="W34" s="24"/>
      <c r="X34" s="24">
        <v>20</v>
      </c>
      <c r="Y34" s="42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</row>
    <row r="35" spans="1:212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f>+'Feb 1a'!E35+'Feb 2a'!E35</f>
        <v>27627</v>
      </c>
      <c r="F35" s="35">
        <f>+'Feb 1a'!F35+'Feb 2a'!F35</f>
        <v>0</v>
      </c>
      <c r="G35" s="35">
        <f>+'Feb 1a'!G35+'Feb 2a'!G35</f>
        <v>0</v>
      </c>
      <c r="H35" s="35">
        <f>+'Feb 1a'!H35+'Feb 2a'!H35</f>
        <v>1119</v>
      </c>
      <c r="I35" s="35">
        <f>+'Feb 1a'!I35+'Feb 2a'!I35</f>
        <v>1664</v>
      </c>
      <c r="J35" s="35">
        <f>+'Feb 1a'!J35+'Feb 2a'!J35</f>
        <v>0</v>
      </c>
      <c r="K35" s="35">
        <f>+'Feb 1a'!N35+'Feb 2a'!N35</f>
        <v>0</v>
      </c>
      <c r="L35" s="37">
        <f t="shared" si="0"/>
        <v>30410</v>
      </c>
      <c r="M35" s="35">
        <f>+'Feb 1a'!P35+'Feb 2a'!P35</f>
        <v>5359.7000000000007</v>
      </c>
      <c r="N35" s="35">
        <f>+'Feb 1a'!Q35+'Feb 2a'!Q35</f>
        <v>3177.1</v>
      </c>
      <c r="O35" s="35">
        <f>+'Feb 1a'!R35+'Feb 2a'!R35</f>
        <v>0</v>
      </c>
      <c r="P35" s="35">
        <f>+'Feb 1a'!S35+'Feb 2a'!S35</f>
        <v>0</v>
      </c>
      <c r="Q35" s="35">
        <f>+'Feb 1a'!T35+'Feb 2a'!T35</f>
        <v>0</v>
      </c>
      <c r="R35" s="35">
        <f>+'Feb 1a'!U35+'Feb 2a'!U35</f>
        <v>0</v>
      </c>
      <c r="S35" s="35">
        <f>+'Feb 1a'!V35+'Feb 2a'!V35</f>
        <v>0</v>
      </c>
      <c r="T35" s="37">
        <f t="shared" si="4"/>
        <v>8536.8000000000011</v>
      </c>
      <c r="U35" s="38">
        <f t="shared" si="3"/>
        <v>21873.199999999997</v>
      </c>
      <c r="V35" s="33">
        <v>29</v>
      </c>
      <c r="W35" s="33"/>
      <c r="X35" s="33">
        <v>20</v>
      </c>
      <c r="Y35" s="39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</row>
    <row r="36" spans="1:212" s="32" customFormat="1" ht="20.25" customHeight="1">
      <c r="A36" s="24">
        <v>113</v>
      </c>
      <c r="B36" s="25" t="s">
        <v>84</v>
      </c>
      <c r="C36" s="25" t="s">
        <v>46</v>
      </c>
      <c r="D36" s="25" t="s">
        <v>76</v>
      </c>
      <c r="E36" s="26">
        <f>+'Feb 1a'!E36+'Feb 2a'!E36</f>
        <v>19531.8</v>
      </c>
      <c r="F36" s="26">
        <f>+'Feb 1a'!F36+'Feb 2a'!F36</f>
        <v>0</v>
      </c>
      <c r="G36" s="26">
        <f>+'Feb 1a'!G36+'Feb 2a'!G36</f>
        <v>0</v>
      </c>
      <c r="H36" s="26">
        <f>+'Feb 1a'!H36+'Feb 2a'!H36</f>
        <v>987</v>
      </c>
      <c r="I36" s="26">
        <f>+'Feb 1a'!I36+'Feb 2a'!I36</f>
        <v>1465</v>
      </c>
      <c r="J36" s="26">
        <f>+'Feb 1a'!J36+'Feb 2a'!J36</f>
        <v>0</v>
      </c>
      <c r="K36" s="26">
        <f>+'Feb 1a'!N36+'Feb 2a'!N36</f>
        <v>0</v>
      </c>
      <c r="L36" s="28">
        <f t="shared" si="0"/>
        <v>21983.8</v>
      </c>
      <c r="M36" s="26">
        <f>+'Feb 1a'!P36+'Feb 2a'!P36</f>
        <v>3419.2400000000002</v>
      </c>
      <c r="N36" s="26">
        <f>+'Feb 1a'!Q36+'Feb 2a'!Q36</f>
        <v>2246.16</v>
      </c>
      <c r="O36" s="26">
        <f>+'Feb 1a'!R36+'Feb 2a'!R36</f>
        <v>0</v>
      </c>
      <c r="P36" s="26">
        <f>+'Feb 1a'!S36+'Feb 2a'!S36</f>
        <v>0</v>
      </c>
      <c r="Q36" s="26">
        <f>+'Feb 1a'!T36+'Feb 2a'!T36</f>
        <v>0</v>
      </c>
      <c r="R36" s="26">
        <f>+'Feb 1a'!U36+'Feb 2a'!U36</f>
        <v>0</v>
      </c>
      <c r="S36" s="26">
        <f>+'Feb 1a'!V36+'Feb 2a'!V36</f>
        <v>0</v>
      </c>
      <c r="T36" s="28">
        <f t="shared" si="4"/>
        <v>5665.4</v>
      </c>
      <c r="U36" s="29">
        <f t="shared" si="3"/>
        <v>16318.4</v>
      </c>
      <c r="V36" s="24">
        <v>30</v>
      </c>
      <c r="W36" s="24"/>
      <c r="X36" s="24">
        <v>17</v>
      </c>
      <c r="Y36" s="42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</row>
    <row r="37" spans="1:212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7"/>
      <c r="M37" s="35"/>
      <c r="N37" s="35"/>
      <c r="O37" s="47"/>
      <c r="P37" s="35"/>
      <c r="Q37" s="35"/>
      <c r="R37" s="35"/>
      <c r="S37" s="35"/>
      <c r="T37" s="37"/>
      <c r="U37" s="38"/>
      <c r="V37" s="33"/>
      <c r="W37" s="33"/>
      <c r="X37" s="33"/>
      <c r="Y37" s="39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</row>
    <row r="38" spans="1:212" s="54" customFormat="1" ht="17.25" customHeight="1" thickBot="1">
      <c r="A38" s="48"/>
      <c r="B38" s="49"/>
      <c r="C38" s="49"/>
      <c r="D38" s="34"/>
      <c r="E38" s="50">
        <f>SUM(E11:E36)</f>
        <v>455291.09999999992</v>
      </c>
      <c r="F38" s="50">
        <f t="shared" ref="F38:U38" si="5">SUM(F11:F36)</f>
        <v>0</v>
      </c>
      <c r="G38" s="50">
        <f t="shared" si="5"/>
        <v>0</v>
      </c>
      <c r="H38" s="50">
        <f t="shared" si="5"/>
        <v>18514.96</v>
      </c>
      <c r="I38" s="50">
        <f t="shared" si="5"/>
        <v>27244.959999999999</v>
      </c>
      <c r="J38" s="50">
        <f t="shared" si="5"/>
        <v>3106.4399999999991</v>
      </c>
      <c r="K38" s="50">
        <f t="shared" si="5"/>
        <v>0</v>
      </c>
      <c r="L38" s="50">
        <f t="shared" si="5"/>
        <v>504157.45999999996</v>
      </c>
      <c r="M38" s="50">
        <f>SUM(M11:M36)</f>
        <v>78738.260000000009</v>
      </c>
      <c r="N38" s="50">
        <f t="shared" si="5"/>
        <v>52365.59150000001</v>
      </c>
      <c r="O38" s="50">
        <f t="shared" si="5"/>
        <v>0</v>
      </c>
      <c r="P38" s="50">
        <f t="shared" si="5"/>
        <v>0</v>
      </c>
      <c r="Q38" s="50">
        <f t="shared" si="5"/>
        <v>0</v>
      </c>
      <c r="R38" s="50">
        <f t="shared" si="5"/>
        <v>69395.740000000005</v>
      </c>
      <c r="S38" s="50">
        <f t="shared" si="5"/>
        <v>0</v>
      </c>
      <c r="T38" s="50">
        <f t="shared" si="5"/>
        <v>200499.59149999995</v>
      </c>
      <c r="U38" s="50">
        <f t="shared" si="5"/>
        <v>303657.85850000003</v>
      </c>
      <c r="V38" s="51"/>
      <c r="W38" s="51"/>
      <c r="X38" s="51"/>
      <c r="Y38" s="52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</row>
    <row r="39" spans="1:212" ht="14.25" customHeight="1" thickTop="1">
      <c r="A39" s="55"/>
      <c r="D39" s="92"/>
      <c r="H39" s="55"/>
      <c r="I39" s="55"/>
      <c r="Y39" s="58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</row>
    <row r="40" spans="1:212" ht="15">
      <c r="A40" s="92"/>
      <c r="B40" s="92"/>
      <c r="C40" s="92"/>
      <c r="D40" s="92"/>
      <c r="E40" s="55">
        <f>+E38-E41</f>
        <v>0</v>
      </c>
      <c r="H40" s="55">
        <f t="shared" ref="H40:L40" si="6">+H38-H41</f>
        <v>0</v>
      </c>
      <c r="I40" s="55">
        <f t="shared" si="6"/>
        <v>0</v>
      </c>
      <c r="J40" s="55">
        <f t="shared" si="6"/>
        <v>0</v>
      </c>
      <c r="K40" s="55">
        <f t="shared" si="6"/>
        <v>0</v>
      </c>
      <c r="L40" s="55">
        <f t="shared" si="6"/>
        <v>0</v>
      </c>
      <c r="M40" s="55">
        <f t="shared" ref="M40" si="7">+M38-M41</f>
        <v>0</v>
      </c>
      <c r="N40" s="55">
        <f t="shared" ref="N40" si="8">+N38-N41</f>
        <v>0</v>
      </c>
      <c r="O40" s="55">
        <f t="shared" ref="O40" si="9">+O38-O41</f>
        <v>0</v>
      </c>
      <c r="P40" s="55">
        <f t="shared" ref="P40" si="10">+P38-P41</f>
        <v>0</v>
      </c>
      <c r="Q40" s="55">
        <f t="shared" ref="Q40" si="11">+Q38-Q41</f>
        <v>0</v>
      </c>
      <c r="R40" s="55">
        <f t="shared" ref="R40" si="12">+R38-R41</f>
        <v>0</v>
      </c>
      <c r="S40" s="55">
        <f t="shared" ref="S40" si="13">+S38-S41</f>
        <v>0</v>
      </c>
      <c r="T40" s="55">
        <f t="shared" ref="T40" si="14">+T38-T41</f>
        <v>0</v>
      </c>
      <c r="U40" s="55">
        <f t="shared" ref="U40" si="15">+U38-U41</f>
        <v>1.0000000009313226E-2</v>
      </c>
      <c r="Y40" s="62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</row>
    <row r="41" spans="1:212" ht="15">
      <c r="A41" s="60"/>
      <c r="B41" s="60"/>
      <c r="E41" s="55">
        <f>+'Feb 1a'!E38+'Feb 2a'!E38</f>
        <v>455291.09999999992</v>
      </c>
      <c r="H41" s="55">
        <f>+'Feb 1a'!H38+'Feb 2a'!H38</f>
        <v>18514.96</v>
      </c>
      <c r="I41" s="55">
        <f>+'Feb 1a'!I38+'Feb 2a'!I38</f>
        <v>27244.959999999999</v>
      </c>
      <c r="J41" s="55">
        <f>+'Feb 1a'!J38+'Feb 2a'!J38</f>
        <v>3106.4399999999996</v>
      </c>
      <c r="K41" s="55">
        <f>+'Feb 1a'!N38+'Feb 2a'!N38</f>
        <v>0</v>
      </c>
      <c r="L41" s="55">
        <f>+'Feb 1a'!O38+'Feb 2a'!O38</f>
        <v>504157.45999999996</v>
      </c>
      <c r="M41" s="55">
        <f>+'Feb 1a'!P38+'Feb 2a'!P38</f>
        <v>78738.260000000009</v>
      </c>
      <c r="N41" s="55">
        <f>+'Feb 1a'!Q38+'Feb 2a'!Q38</f>
        <v>52365.59150000001</v>
      </c>
      <c r="O41" s="55">
        <f>+'Feb 1a'!R38+'Feb 2a'!R38</f>
        <v>0</v>
      </c>
      <c r="P41" s="55">
        <f>+'Feb 1a'!S38+'Feb 2a'!S38</f>
        <v>0</v>
      </c>
      <c r="Q41" s="55">
        <f>+'Feb 1a'!T38+'Feb 2a'!T38</f>
        <v>0</v>
      </c>
      <c r="R41" s="55">
        <f>+'Feb 1a'!U38+'Feb 2a'!U38</f>
        <v>69395.740000000005</v>
      </c>
      <c r="S41" s="55">
        <f>+'Feb 1a'!V38+'Feb 2a'!V38</f>
        <v>0</v>
      </c>
      <c r="T41" s="55">
        <f>+'Feb 1a'!W38+'Feb 2a'!W38</f>
        <v>200499.59149999995</v>
      </c>
      <c r="U41" s="55">
        <f>+'Feb 1a'!X38+'Feb 2a'!X38</f>
        <v>303657.84850000002</v>
      </c>
      <c r="V41" s="60"/>
      <c r="W41" s="60"/>
      <c r="X41" s="60"/>
      <c r="Y41" s="81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</row>
    <row r="42" spans="1:212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64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</row>
    <row r="43" spans="1:212" ht="15">
      <c r="A43" s="92"/>
      <c r="B43" s="92"/>
      <c r="C43" s="92"/>
      <c r="D43" s="92"/>
      <c r="I43" s="60"/>
      <c r="J43" s="141"/>
      <c r="K43" s="141"/>
      <c r="L43" s="141"/>
      <c r="M43" s="141"/>
      <c r="R43" s="92"/>
      <c r="T43" s="57"/>
      <c r="U43" s="61"/>
      <c r="Y43" s="62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</row>
    <row r="44" spans="1:212" ht="15">
      <c r="A44" s="60"/>
      <c r="B44" s="60"/>
      <c r="C44" s="60"/>
      <c r="I44" s="60"/>
      <c r="J44" s="141"/>
      <c r="K44" s="141"/>
      <c r="L44" s="141"/>
      <c r="M44" s="141"/>
      <c r="N44" s="60"/>
      <c r="O44" s="60"/>
      <c r="P44" s="60"/>
      <c r="Q44" s="60"/>
      <c r="R44" s="60"/>
      <c r="S44" s="60"/>
      <c r="T44" s="57"/>
      <c r="V44" s="60"/>
      <c r="W44" s="60"/>
      <c r="X44" s="60"/>
      <c r="Y44" s="62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</row>
    <row r="45" spans="1:212" s="41" customFormat="1" ht="20.25" customHeight="1">
      <c r="A45" s="33"/>
      <c r="B45" s="34"/>
      <c r="C45" s="34"/>
      <c r="D45" s="92"/>
      <c r="E45" s="35"/>
      <c r="F45" s="35"/>
      <c r="G45" s="35"/>
      <c r="H45" s="36"/>
      <c r="I45" s="36"/>
      <c r="J45" s="35"/>
      <c r="K45" s="35"/>
      <c r="L45" s="37"/>
      <c r="M45" s="35"/>
      <c r="N45" s="35"/>
      <c r="O45" s="35"/>
      <c r="P45" s="35"/>
      <c r="Q45" s="35"/>
      <c r="R45" s="35"/>
      <c r="S45" s="35"/>
      <c r="T45" s="37"/>
      <c r="U45" s="38"/>
      <c r="V45" s="33"/>
      <c r="W45" s="33"/>
      <c r="X45" s="33"/>
      <c r="Y45" s="43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</row>
    <row r="46" spans="1:212">
      <c r="D46" s="60"/>
      <c r="Y46" s="67"/>
    </row>
    <row r="47" spans="1:212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51"/>
      <c r="W47" s="51"/>
      <c r="X47" s="51"/>
      <c r="Y47" s="69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</row>
    <row r="48" spans="1:212" ht="14.25" customHeight="1">
      <c r="A48" s="55"/>
      <c r="H48" s="55"/>
      <c r="I48" s="55"/>
      <c r="J48" s="141"/>
      <c r="K48" s="141"/>
      <c r="L48" s="141"/>
      <c r="M48" s="141"/>
      <c r="R48" s="56"/>
      <c r="T48" s="57"/>
      <c r="Y48" s="64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</row>
    <row r="49" spans="1:211" ht="15">
      <c r="A49" s="92"/>
      <c r="B49" s="92"/>
      <c r="C49" s="92"/>
      <c r="D49" s="71"/>
      <c r="I49" s="60"/>
      <c r="J49" s="141"/>
      <c r="K49" s="141"/>
      <c r="L49" s="141"/>
      <c r="M49" s="141"/>
      <c r="R49" s="92"/>
      <c r="T49" s="57"/>
      <c r="U49" s="61"/>
      <c r="Y49" s="62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</row>
    <row r="50" spans="1:211" ht="15">
      <c r="A50" s="60"/>
      <c r="B50" s="60"/>
      <c r="C50" s="60"/>
      <c r="I50" s="60"/>
      <c r="J50" s="141"/>
      <c r="K50" s="141"/>
      <c r="L50" s="141"/>
      <c r="M50" s="141"/>
      <c r="N50" s="60"/>
      <c r="O50" s="60"/>
      <c r="P50" s="60"/>
      <c r="Q50" s="60"/>
      <c r="R50" s="60"/>
      <c r="S50" s="60"/>
      <c r="T50" s="57"/>
      <c r="V50" s="60"/>
      <c r="W50" s="60"/>
      <c r="X50" s="60"/>
      <c r="Y50" s="62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</row>
    <row r="51" spans="1:211" ht="15">
      <c r="Y51" s="62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</row>
    <row r="52" spans="1:211" ht="15">
      <c r="D52" s="60"/>
      <c r="Y52" s="62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</row>
    <row r="53" spans="1:211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51"/>
      <c r="W53" s="51"/>
      <c r="X53" s="51"/>
      <c r="Y53" s="72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</row>
    <row r="54" spans="1:211">
      <c r="A54" s="55"/>
      <c r="H54" s="55"/>
      <c r="I54" s="55"/>
      <c r="J54" s="141"/>
      <c r="K54" s="141"/>
      <c r="L54" s="141"/>
      <c r="M54" s="141"/>
      <c r="R54" s="56"/>
      <c r="T54" s="57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</row>
    <row r="55" spans="1:211" ht="15">
      <c r="A55" s="92"/>
      <c r="B55" s="92"/>
      <c r="I55" s="60"/>
      <c r="J55" s="141"/>
      <c r="K55" s="141"/>
      <c r="L55" s="141"/>
      <c r="M55" s="141"/>
      <c r="R55" s="92"/>
      <c r="T55" s="57"/>
      <c r="U55" s="61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</row>
    <row r="56" spans="1:211" ht="15">
      <c r="A56" s="60"/>
      <c r="B56" s="60"/>
      <c r="C56" s="60"/>
      <c r="I56" s="60"/>
      <c r="J56" s="141"/>
      <c r="K56" s="141"/>
      <c r="L56" s="141"/>
      <c r="M56" s="141"/>
      <c r="N56" s="60"/>
      <c r="O56" s="60"/>
      <c r="P56" s="60"/>
      <c r="Q56" s="60"/>
      <c r="R56" s="92"/>
      <c r="S56" s="73"/>
      <c r="T56" s="57"/>
      <c r="V56" s="60"/>
      <c r="W56" s="60"/>
      <c r="X56" s="60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</row>
    <row r="57" spans="1:211" ht="15">
      <c r="R57" s="92"/>
      <c r="S57" s="7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</row>
    <row r="58" spans="1:211" ht="15">
      <c r="R58" s="92"/>
      <c r="S58" s="7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</row>
    <row r="59" spans="1:211" ht="15">
      <c r="R59" s="92"/>
      <c r="S59" s="7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</row>
    <row r="60" spans="1:211" ht="15">
      <c r="R60" s="92"/>
      <c r="S60" s="7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</row>
    <row r="61" spans="1:211" ht="15">
      <c r="R61" s="9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</row>
    <row r="62" spans="1:211" ht="15"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</row>
    <row r="63" spans="1:211" ht="15"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</row>
    <row r="64" spans="1:211" ht="15"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</row>
    <row r="65" spans="25:208" ht="15"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</row>
    <row r="66" spans="25:208"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</row>
    <row r="67" spans="25:208" ht="15"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</row>
    <row r="68" spans="25:208" ht="15"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</row>
    <row r="69" spans="25:208" ht="15"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</row>
    <row r="70" spans="25:208"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</row>
    <row r="71" spans="25:208" ht="15"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</row>
    <row r="72" spans="25:208" ht="15"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</row>
    <row r="73" spans="25:208" ht="15"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</row>
    <row r="74" spans="25:208" ht="15"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</row>
    <row r="75" spans="25:208" ht="15"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</row>
    <row r="76" spans="25:208" ht="15"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</row>
    <row r="77" spans="25:208" ht="15"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</row>
    <row r="78" spans="25:208" ht="15"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</row>
    <row r="79" spans="25:208" ht="15"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</row>
    <row r="80" spans="25:208" ht="15"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</row>
    <row r="81" spans="25:208" ht="15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</row>
    <row r="82" spans="25:208" ht="15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</row>
    <row r="83" spans="25:208" ht="15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</row>
    <row r="84" spans="25:208" ht="15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</row>
    <row r="85" spans="25:208"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</row>
    <row r="86" spans="25:208" ht="15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</row>
    <row r="87" spans="25:208" ht="15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</row>
    <row r="88" spans="25:208" ht="15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</row>
    <row r="89" spans="25:208"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</row>
    <row r="90" spans="25:208" ht="15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</row>
    <row r="91" spans="25:208" ht="15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</row>
    <row r="92" spans="25:208" ht="15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</row>
    <row r="93" spans="25:208" ht="15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</row>
    <row r="94" spans="25:208" ht="15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</row>
    <row r="95" spans="25:208" ht="15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</row>
    <row r="96" spans="25:208" ht="15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</row>
    <row r="97" spans="25:208" ht="15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</row>
    <row r="98" spans="25:208" ht="15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</row>
    <row r="99" spans="25:208" ht="15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</row>
    <row r="100" spans="25:208" ht="15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</row>
    <row r="101" spans="25:208" ht="15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</row>
    <row r="102" spans="25:208" ht="15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</row>
    <row r="103" spans="25:208" ht="15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</row>
    <row r="104" spans="25:208" ht="15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</row>
    <row r="105" spans="25:208" ht="15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</row>
    <row r="106" spans="25:208" ht="15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</row>
    <row r="107" spans="25:208"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</row>
    <row r="108" spans="25:208" ht="15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</row>
    <row r="109" spans="25:208" ht="15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</row>
    <row r="110" spans="25:208" ht="15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</row>
    <row r="111" spans="25:208"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</row>
    <row r="112" spans="25:208" ht="15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</row>
    <row r="113" spans="25:208" ht="15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</row>
    <row r="114" spans="25:208" ht="15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</row>
    <row r="115" spans="25:208" ht="15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</row>
    <row r="116" spans="25:208" ht="15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</row>
    <row r="117" spans="25:208" ht="15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</row>
    <row r="118" spans="25:208" ht="15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</row>
    <row r="119" spans="25:208" ht="15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</row>
    <row r="120" spans="25:208" ht="15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</row>
    <row r="121" spans="25:208" ht="15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</row>
    <row r="122" spans="25:208" ht="15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</row>
    <row r="123" spans="25:208" ht="15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</row>
    <row r="124" spans="25:208" ht="15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</row>
    <row r="125" spans="25:208" ht="15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</row>
    <row r="126" spans="25:208" ht="15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</row>
    <row r="127" spans="25:208" ht="15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</row>
    <row r="128" spans="25:208" ht="15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</row>
    <row r="129" spans="25:208"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</row>
    <row r="130" spans="25:208" ht="15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</row>
    <row r="131" spans="25:208" ht="15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</row>
    <row r="132" spans="25:208" ht="15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</row>
    <row r="133" spans="25:208"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</row>
    <row r="134" spans="25:208" ht="15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</row>
    <row r="135" spans="25:208" ht="15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</row>
    <row r="136" spans="25:208" ht="15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</row>
    <row r="137" spans="25:208" ht="15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</row>
    <row r="138" spans="25:208" ht="15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</row>
    <row r="139" spans="25:208" ht="15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</row>
    <row r="140" spans="25:208" ht="15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</row>
    <row r="141" spans="25:208" ht="15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</row>
    <row r="142" spans="25:208" ht="15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</row>
    <row r="143" spans="25:208" ht="15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</row>
    <row r="144" spans="25:208" ht="15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</row>
    <row r="145" spans="25:208" ht="15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</row>
    <row r="146" spans="25:208" ht="15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</row>
    <row r="147" spans="25:208" ht="15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</row>
    <row r="148" spans="25:208" ht="15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</row>
    <row r="149" spans="25:208" ht="15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</row>
    <row r="150" spans="25:208" ht="15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</row>
    <row r="151" spans="25:208" ht="15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</row>
    <row r="152" spans="25:208" ht="15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</row>
    <row r="153" spans="25:208"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</row>
    <row r="154" spans="25:208" ht="15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</row>
    <row r="155" spans="25:208" ht="15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</row>
    <row r="156" spans="25:208" ht="15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</row>
    <row r="157" spans="25:208"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</row>
    <row r="158" spans="25:208" ht="15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</row>
    <row r="159" spans="25:208" ht="15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</row>
    <row r="160" spans="25:208" ht="15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</row>
    <row r="161" spans="25:208" ht="15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</row>
    <row r="162" spans="25:208" ht="15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</row>
    <row r="163" spans="25:208" ht="15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</row>
    <row r="164" spans="25:208" ht="15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</row>
    <row r="165" spans="25:208" ht="15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</row>
    <row r="166" spans="25:208" ht="15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</row>
    <row r="167" spans="25:208" ht="15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</row>
    <row r="168" spans="25:208" ht="15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</row>
    <row r="169" spans="25:208" ht="15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</row>
    <row r="170" spans="25:208" ht="15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</row>
    <row r="171" spans="25:208" ht="15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</row>
    <row r="172" spans="25:208" ht="15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</row>
    <row r="173" spans="25:208" ht="15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</row>
    <row r="174" spans="25:208"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</row>
    <row r="175" spans="25:208" ht="15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</row>
    <row r="176" spans="25:208" ht="15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</row>
    <row r="177" spans="25:208" ht="15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</row>
    <row r="178" spans="25:208"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</row>
    <row r="179" spans="25:208" ht="15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</row>
    <row r="180" spans="25:208" ht="15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</row>
    <row r="181" spans="25:208" ht="15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</row>
    <row r="182" spans="25:208" ht="15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</row>
    <row r="183" spans="25:208" ht="15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</row>
    <row r="184" spans="25:208" ht="15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</row>
    <row r="185" spans="25:208" ht="15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</row>
    <row r="186" spans="25:208" ht="15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</row>
    <row r="187" spans="25:208" ht="15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</row>
    <row r="188" spans="25:208" ht="15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</row>
    <row r="189" spans="25:208" ht="15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</row>
    <row r="190" spans="25:208" ht="15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</row>
    <row r="191" spans="25:208" ht="15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</row>
    <row r="192" spans="25:208" ht="15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</row>
    <row r="193" spans="25:208" ht="15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</row>
    <row r="194" spans="25:208" ht="15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</row>
    <row r="195" spans="25:208"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</row>
    <row r="196" spans="25:208" ht="15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</row>
    <row r="197" spans="25:208" ht="15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</row>
    <row r="198" spans="25:208" ht="15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</row>
    <row r="199" spans="25:208"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</row>
    <row r="200" spans="25:208" ht="15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</row>
    <row r="201" spans="25:208" ht="15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</row>
    <row r="202" spans="25:208" ht="15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</row>
    <row r="203" spans="25:208" ht="15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</row>
    <row r="204" spans="25:208" ht="15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</row>
    <row r="205" spans="25:208" ht="15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</row>
    <row r="206" spans="25:208" ht="15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</row>
    <row r="207" spans="25:208" ht="15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</row>
    <row r="208" spans="25:208" ht="12.75"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</row>
    <row r="209" spans="25:208" ht="12.75"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</row>
    <row r="210" spans="25:208" ht="12.75"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</row>
    <row r="211" spans="25:208" ht="12.75"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</row>
    <row r="212" spans="25:208" ht="12.75"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</row>
    <row r="213" spans="25:208" ht="12.75"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</row>
    <row r="214" spans="25:208" ht="12.75"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</row>
    <row r="215" spans="25:208" ht="12.75"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</row>
    <row r="216" spans="25:208"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</row>
    <row r="217" spans="25:208" ht="12.75"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</row>
    <row r="218" spans="25:208" ht="12.75"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</row>
    <row r="219" spans="25:208" ht="12.75"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</row>
    <row r="220" spans="25:208"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</row>
    <row r="221" spans="25:208" ht="15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</row>
    <row r="222" spans="25:208" ht="15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</row>
    <row r="223" spans="25:208" ht="15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</row>
    <row r="224" spans="25:208" ht="15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</row>
    <row r="225" spans="25:208" ht="15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</row>
    <row r="226" spans="25:208" ht="15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</row>
    <row r="227" spans="25:208" ht="15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</row>
    <row r="228" spans="25:208" ht="15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</row>
    <row r="229" spans="25:208" ht="15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</row>
    <row r="230" spans="25:208" ht="15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</row>
    <row r="231" spans="25:208" ht="15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</row>
    <row r="232" spans="25:208" ht="15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</row>
    <row r="233" spans="25:208" ht="15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</row>
    <row r="234" spans="25:208" ht="15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</row>
    <row r="235" spans="25:208" ht="15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</row>
    <row r="236" spans="25:208" ht="15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</row>
    <row r="237" spans="25:208"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</row>
    <row r="238" spans="25:208" ht="15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</row>
    <row r="239" spans="25:208" ht="15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</row>
    <row r="240" spans="25:208" ht="15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</row>
    <row r="241" spans="25:208"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</row>
    <row r="242" spans="25:208" ht="15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</row>
    <row r="243" spans="25:208" ht="15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</row>
    <row r="244" spans="25:208" ht="15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</row>
    <row r="245" spans="25:208" ht="15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</row>
    <row r="246" spans="25:208" ht="15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</row>
    <row r="247" spans="25:208" ht="15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</row>
    <row r="248" spans="25:208" ht="15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</row>
    <row r="249" spans="25:208" ht="15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</row>
    <row r="250" spans="25:208" ht="15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</row>
    <row r="251" spans="25:208" ht="15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</row>
    <row r="252" spans="25:208" ht="15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</row>
    <row r="253" spans="25:208" ht="15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</row>
    <row r="254" spans="25:208" ht="15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</row>
    <row r="255" spans="25:208" ht="15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</row>
    <row r="256" spans="25:208" ht="15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</row>
    <row r="257" spans="25:208" ht="15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</row>
    <row r="258" spans="25:208"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</row>
    <row r="259" spans="25:208" ht="15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</row>
    <row r="260" spans="25:208" ht="15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</row>
    <row r="261" spans="25:208" ht="15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</row>
    <row r="262" spans="25:208"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</row>
    <row r="263" spans="25:208" ht="15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</row>
    <row r="264" spans="25:208" ht="15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</row>
    <row r="265" spans="25:208" ht="15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</row>
    <row r="266" spans="25:208" ht="15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</row>
    <row r="267" spans="25:208" ht="15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</row>
    <row r="268" spans="25:208" ht="15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</row>
    <row r="269" spans="25:208" ht="15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</row>
    <row r="270" spans="25:208" ht="15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</row>
    <row r="271" spans="25:208" ht="15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</row>
    <row r="272" spans="25:208" ht="15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</row>
    <row r="273" spans="25:208" ht="12.75"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</row>
    <row r="274" spans="25:208" ht="12.75"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</row>
    <row r="275" spans="25:208" ht="12.75"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</row>
    <row r="276" spans="25:208" ht="12.75"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</row>
    <row r="277" spans="25:208" ht="12.75"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</row>
    <row r="278" spans="25:208" ht="12.75"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</row>
    <row r="279" spans="25:208" ht="12.75"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</row>
    <row r="280" spans="25:208" ht="12.75"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</row>
    <row r="281" spans="25:208"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</row>
    <row r="282" spans="25:208" ht="12.75"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</row>
    <row r="283" spans="25:208" ht="12.75"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</row>
    <row r="284" spans="25:208" ht="12.75"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</row>
    <row r="285" spans="25:208"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</row>
    <row r="286" spans="25:208" ht="15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</row>
    <row r="287" spans="25:208" ht="15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</row>
    <row r="288" spans="25:208" ht="15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</row>
    <row r="289" spans="25:208" ht="15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</row>
    <row r="290" spans="25:208" ht="15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</row>
    <row r="291" spans="25:208" ht="15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</row>
    <row r="292" spans="25:208" ht="15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</row>
    <row r="293" spans="25:208" ht="15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</row>
    <row r="294" spans="25:208" ht="15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</row>
    <row r="295" spans="25:208" ht="15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</row>
    <row r="296" spans="25:208" ht="15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</row>
    <row r="297" spans="25:208" ht="15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</row>
    <row r="298" spans="25:208" ht="15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</row>
    <row r="299" spans="25:208" ht="15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</row>
    <row r="300" spans="25:208" ht="15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</row>
    <row r="301" spans="25:208" ht="15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</row>
    <row r="302" spans="25:208"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</row>
    <row r="303" spans="25:208" ht="15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</row>
    <row r="304" spans="25:208" ht="15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</row>
    <row r="305" spans="25:208" ht="15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</row>
    <row r="306" spans="25:208"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</row>
    <row r="307" spans="25:208" ht="15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</row>
    <row r="308" spans="25:208" ht="15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</row>
    <row r="309" spans="25:208" ht="15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</row>
    <row r="310" spans="25:208" ht="15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</row>
    <row r="311" spans="25:208" ht="15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</row>
    <row r="312" spans="25:208" ht="15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</row>
    <row r="313" spans="25:208" ht="15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</row>
    <row r="314" spans="25:208" ht="15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</row>
    <row r="315" spans="25:208" ht="15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</row>
    <row r="316" spans="25:208" ht="15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</row>
    <row r="317" spans="25:208" ht="15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</row>
    <row r="318" spans="25:208" ht="15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</row>
    <row r="319" spans="25:208" ht="15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</row>
    <row r="320" spans="25:208" ht="15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</row>
    <row r="321" spans="25:208" ht="15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</row>
    <row r="322" spans="25:208" ht="15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</row>
    <row r="323" spans="25:208"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</row>
    <row r="324" spans="25:208" ht="15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</row>
    <row r="325" spans="25:208" ht="15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</row>
    <row r="326" spans="25:208" ht="15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</row>
    <row r="327" spans="25:208"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</row>
    <row r="328" spans="25:208"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</row>
    <row r="329" spans="25:208"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</row>
    <row r="330" spans="25:208"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</row>
    <row r="331" spans="25:208"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</row>
    <row r="332" spans="25:208"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</row>
    <row r="333" spans="25:208"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</row>
    <row r="334" spans="25:208" ht="15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</row>
    <row r="335" spans="25:208" ht="15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</row>
    <row r="336" spans="25:208" ht="15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</row>
    <row r="337" spans="25:208" ht="15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</row>
    <row r="338" spans="25:208" ht="15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</row>
    <row r="339" spans="25:208" ht="15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</row>
    <row r="340" spans="25:208" ht="15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</row>
    <row r="341" spans="25:208" ht="15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</row>
    <row r="342" spans="25:208" ht="15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</row>
    <row r="343" spans="25:208" ht="15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</row>
    <row r="344" spans="25:208" ht="15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</row>
    <row r="345" spans="25:208" ht="15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</row>
    <row r="346" spans="25:208"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</row>
    <row r="347" spans="25:208" ht="15"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</row>
    <row r="348" spans="25:208" ht="15"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</row>
    <row r="349" spans="25:208" ht="15"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</row>
    <row r="350" spans="25:208"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</row>
    <row r="351" spans="25:208"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</row>
    <row r="352" spans="25:208"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</row>
    <row r="353" spans="25:208"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</row>
    <row r="354" spans="25:208"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</row>
    <row r="355" spans="25:208"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</row>
    <row r="356" spans="25:208"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</row>
    <row r="357" spans="25:208" ht="15"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</row>
    <row r="358" spans="25:208" ht="15"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</row>
    <row r="359" spans="25:208" ht="15"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</row>
    <row r="360" spans="25:208" ht="15"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</row>
    <row r="361" spans="25:208" ht="15"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</row>
    <row r="362" spans="25:208" ht="15"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</row>
    <row r="363" spans="25:208" ht="15"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</row>
    <row r="364" spans="25:208" ht="15"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</row>
    <row r="365" spans="25:208" ht="15"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</row>
    <row r="366" spans="25:208" ht="15"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</row>
    <row r="367" spans="25:208" ht="15"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</row>
    <row r="368" spans="25:208" ht="15"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</row>
    <row r="369" spans="25:208"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</row>
    <row r="370" spans="25:208" ht="15"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</row>
    <row r="371" spans="25:208" ht="15"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</row>
    <row r="372" spans="25:208" ht="15"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</row>
    <row r="373" spans="25:208"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</row>
    <row r="374" spans="25:208"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</row>
    <row r="375" spans="25:208"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</row>
    <row r="376" spans="25:208"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</row>
    <row r="377" spans="25:208"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</row>
    <row r="378" spans="25:208"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</row>
    <row r="379" spans="25:208"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</row>
    <row r="380" spans="25:208" ht="15"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</row>
    <row r="381" spans="25:208" ht="15"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</row>
    <row r="382" spans="25:208" ht="15"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</row>
    <row r="383" spans="25:208" ht="15"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</row>
    <row r="384" spans="25:208" ht="15"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</row>
    <row r="385" spans="25:208" ht="15"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</row>
    <row r="386" spans="25:208" ht="15"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</row>
    <row r="387" spans="25:208" ht="15"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</row>
    <row r="388" spans="25:208" ht="15"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</row>
    <row r="389" spans="25:208" ht="15"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</row>
    <row r="390" spans="25:208" ht="15"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</row>
    <row r="391" spans="25:208" ht="15"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</row>
    <row r="392" spans="25:208"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</row>
    <row r="393" spans="25:208" ht="15"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</row>
    <row r="394" spans="25:208" ht="15"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</row>
    <row r="395" spans="25:208" ht="15"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</row>
    <row r="396" spans="25:208"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</row>
    <row r="397" spans="25:208"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</row>
    <row r="398" spans="25:208"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</row>
    <row r="399" spans="25:208"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</row>
    <row r="400" spans="25:208"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</row>
    <row r="401" spans="25:208"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</row>
    <row r="402" spans="25:208"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</row>
    <row r="403" spans="25:208" ht="15"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</row>
    <row r="404" spans="25:208" ht="15"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</row>
    <row r="405" spans="25:208" ht="15"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</row>
    <row r="406" spans="25:208" ht="15"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</row>
    <row r="407" spans="25:208" ht="15"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</row>
    <row r="408" spans="25:208" ht="15"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</row>
    <row r="409" spans="25:208" ht="15"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</row>
    <row r="410" spans="25:208" ht="15"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</row>
    <row r="411" spans="25:208" ht="15"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</row>
    <row r="412" spans="25:208" ht="15"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</row>
    <row r="413" spans="25:208" ht="15"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</row>
    <row r="414" spans="25:208" ht="15"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</row>
    <row r="415" spans="25:208"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</row>
    <row r="416" spans="25:208" ht="15"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</row>
    <row r="417" spans="25:208" ht="15"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</row>
    <row r="418" spans="25:208" ht="15"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</row>
    <row r="419" spans="25:208"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</row>
    <row r="420" spans="25:208"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</row>
    <row r="421" spans="25:208"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</row>
    <row r="422" spans="25:208"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</row>
    <row r="423" spans="25:208"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</row>
    <row r="424" spans="25:208"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</row>
    <row r="425" spans="25:208"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</row>
    <row r="426" spans="25:208" ht="15"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</row>
    <row r="427" spans="25:208" ht="15"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</row>
    <row r="428" spans="25:208" ht="15"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</row>
    <row r="429" spans="25:208" ht="15"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</row>
    <row r="430" spans="25:208" ht="15"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</row>
    <row r="431" spans="25:208" ht="15"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</row>
    <row r="432" spans="25:208" ht="15"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</row>
    <row r="433" spans="25:208" ht="15"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</row>
    <row r="434" spans="25:208" ht="15"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</row>
    <row r="435" spans="25:208" ht="15"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</row>
    <row r="436" spans="25:208" ht="15"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</row>
    <row r="437" spans="25:208" ht="15"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</row>
    <row r="438" spans="25:208"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</row>
    <row r="439" spans="25:208" ht="15"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</row>
    <row r="440" spans="25:208" ht="15"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</row>
    <row r="441" spans="25:208" ht="15"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</row>
    <row r="442" spans="25:208"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</row>
    <row r="443" spans="25:208"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</row>
    <row r="444" spans="25:208"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</row>
    <row r="445" spans="25:208"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</row>
    <row r="446" spans="25:208"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</row>
    <row r="447" spans="25:208"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</row>
    <row r="448" spans="25:208"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</row>
    <row r="449" spans="25:208" ht="15"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</row>
    <row r="450" spans="25:208" ht="15"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</row>
    <row r="451" spans="25:208" ht="15"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</row>
    <row r="452" spans="25:208" ht="15"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</row>
    <row r="453" spans="25:208" ht="15"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</row>
    <row r="454" spans="25:208" ht="15"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</row>
    <row r="455" spans="25:208" ht="15"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</row>
    <row r="456" spans="25:208" ht="15"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</row>
    <row r="457" spans="25:208" ht="15"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</row>
    <row r="458" spans="25:208" ht="15"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</row>
    <row r="459" spans="25:208" ht="15"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</row>
    <row r="460" spans="25:208" ht="15"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</row>
    <row r="461" spans="25:208"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</row>
    <row r="462" spans="25:208" ht="15"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</row>
    <row r="463" spans="25:208" ht="15"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</row>
    <row r="464" spans="25:208" ht="15"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</row>
    <row r="465" spans="25:208"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</row>
  </sheetData>
  <mergeCells count="24">
    <mergeCell ref="G8:G9"/>
    <mergeCell ref="M8:M9"/>
    <mergeCell ref="S8:S9"/>
    <mergeCell ref="X7:X8"/>
    <mergeCell ref="J49:M49"/>
    <mergeCell ref="J50:M50"/>
    <mergeCell ref="J48:M48"/>
    <mergeCell ref="H8:H9"/>
    <mergeCell ref="I8:I9"/>
    <mergeCell ref="J8:J9"/>
    <mergeCell ref="A42:X42"/>
    <mergeCell ref="J43:M43"/>
    <mergeCell ref="J44:M44"/>
    <mergeCell ref="A7:B7"/>
    <mergeCell ref="E7:L7"/>
    <mergeCell ref="M7:T7"/>
    <mergeCell ref="B8:B9"/>
    <mergeCell ref="E8:E9"/>
    <mergeCell ref="F8:F9"/>
    <mergeCell ref="J54:M54"/>
    <mergeCell ref="J55:M55"/>
    <mergeCell ref="J56:M56"/>
    <mergeCell ref="U7:U9"/>
    <mergeCell ref="V7:V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opLeftCell="A19" workbookViewId="0">
      <selection activeCell="E12"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93</v>
      </c>
      <c r="I2" s="6" t="s">
        <v>96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112"/>
      <c r="D7" s="112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113" t="s">
        <v>9</v>
      </c>
      <c r="D8" s="113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110" t="s">
        <v>83</v>
      </c>
      <c r="O8" s="110" t="s">
        <v>18</v>
      </c>
      <c r="P8" s="125" t="s">
        <v>19</v>
      </c>
      <c r="Q8" s="110" t="s">
        <v>20</v>
      </c>
      <c r="R8" s="110" t="s">
        <v>21</v>
      </c>
      <c r="S8" s="110"/>
      <c r="T8" s="110"/>
      <c r="U8" s="110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111"/>
      <c r="D9" s="111"/>
      <c r="E9" s="126"/>
      <c r="F9" s="126"/>
      <c r="G9" s="126"/>
      <c r="H9" s="144"/>
      <c r="I9" s="144"/>
      <c r="J9" s="147"/>
      <c r="K9" s="126"/>
      <c r="L9" s="126"/>
      <c r="M9" s="126"/>
      <c r="N9" s="111"/>
      <c r="O9" s="111" t="s">
        <v>25</v>
      </c>
      <c r="P9" s="126"/>
      <c r="Q9" s="111" t="s">
        <v>26</v>
      </c>
      <c r="R9" s="111" t="s">
        <v>27</v>
      </c>
      <c r="S9" s="111"/>
      <c r="T9" s="111"/>
      <c r="U9" s="111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366.98</v>
      </c>
      <c r="K11" s="26">
        <v>0</v>
      </c>
      <c r="L11" s="26">
        <v>0</v>
      </c>
      <c r="M11" s="26">
        <v>0</v>
      </c>
      <c r="N11" s="26"/>
      <c r="O11" s="28">
        <f>SUM(E11:M11)</f>
        <v>8014.33</v>
      </c>
      <c r="P11" s="26">
        <f>995.26-0.09</f>
        <v>995.17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4013.33275</v>
      </c>
      <c r="X11" s="29">
        <f t="shared" ref="X11:X21" si="1">+O11-W11</f>
        <v>4000.9972499999999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1054.75+0.13</f>
        <v>1054.8800000000001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8">
        <f t="shared" si="0"/>
        <v>1857.9810000000002</v>
      </c>
      <c r="X13" s="29">
        <f t="shared" si="1"/>
        <v>6213.9989999999998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2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922.86-0.13</f>
        <v>922.73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173</v>
      </c>
      <c r="V15" s="26">
        <v>0</v>
      </c>
      <c r="W15" s="28">
        <f t="shared" si="0"/>
        <v>1837.7559999999999</v>
      </c>
      <c r="X15" s="29">
        <f t="shared" si="1"/>
        <v>5580.2039999999997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1054.75+0.01</f>
        <v>1054.76</v>
      </c>
      <c r="Q16" s="35">
        <v>803.1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347.06-0.12</f>
        <v>346.94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788.59175000000005</v>
      </c>
      <c r="X17" s="29">
        <f t="shared" si="1"/>
        <v>3574.3982499999997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205.58</v>
      </c>
      <c r="K19" s="26">
        <v>0</v>
      </c>
      <c r="L19" s="26">
        <v>0</v>
      </c>
      <c r="M19" s="26">
        <v>0</v>
      </c>
      <c r="N19" s="26"/>
      <c r="O19" s="28">
        <f t="shared" si="2"/>
        <v>5540.98</v>
      </c>
      <c r="P19" s="26">
        <f>521.74+0.01</f>
        <v>521.75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1066.7809999999999</v>
      </c>
      <c r="X19" s="29">
        <f t="shared" si="1"/>
        <v>4474.1989999999996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922.86-0.05</f>
        <v>922.81000000000006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7">
        <f t="shared" si="0"/>
        <v>1664.836</v>
      </c>
      <c r="X20" s="38">
        <f t="shared" si="1"/>
        <v>5716.6039999999994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73.040000000000006</v>
      </c>
      <c r="K21" s="35">
        <v>0</v>
      </c>
      <c r="L21" s="35">
        <v>0</v>
      </c>
      <c r="M21" s="35">
        <v>0</v>
      </c>
      <c r="N21" s="35"/>
      <c r="O21" s="37">
        <f t="shared" si="2"/>
        <v>7998.94</v>
      </c>
      <c r="P21" s="35">
        <f>1054.75+0.08</f>
        <v>1054.83</v>
      </c>
      <c r="Q21" s="35">
        <f>+E21*0.115+0.01</f>
        <v>803.101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7">
        <f t="shared" si="0"/>
        <v>1857.931</v>
      </c>
      <c r="X21" s="38">
        <f t="shared" si="1"/>
        <v>6141.009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0</v>
      </c>
      <c r="L22" s="26">
        <v>0</v>
      </c>
      <c r="M22" s="26">
        <v>0</v>
      </c>
      <c r="N22" s="26"/>
      <c r="O22" s="28">
        <f t="shared" si="2"/>
        <v>7223.58</v>
      </c>
      <c r="P22" s="26">
        <f>873.54-0.04</f>
        <v>873.5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3684.38</v>
      </c>
      <c r="X22" s="29">
        <f>+O22-W22</f>
        <v>3539.2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0</v>
      </c>
      <c r="L23" s="35">
        <v>0</v>
      </c>
      <c r="M23" s="35">
        <v>0</v>
      </c>
      <c r="N23" s="35"/>
      <c r="O23" s="37">
        <f>SUM(E23:M23)</f>
        <v>5415.44</v>
      </c>
      <c r="P23" s="35">
        <f>521.74-0.13</f>
        <v>521.61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2630.6410000000001</v>
      </c>
      <c r="X23" s="38">
        <f>+O23-W23</f>
        <v>2784.7989999999995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0</v>
      </c>
      <c r="L24" s="26">
        <v>0</v>
      </c>
      <c r="M24" s="26">
        <v>0</v>
      </c>
      <c r="N24" s="26"/>
      <c r="O24" s="28">
        <f>SUM(E24:M24)</f>
        <v>38469</v>
      </c>
      <c r="P24" s="26">
        <f>9473.74+0.12</f>
        <v>9473.86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13897.795000000002</v>
      </c>
      <c r="X24" s="29">
        <f>+O24-W24-0.01</f>
        <v>24571.195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0</v>
      </c>
      <c r="L25" s="35">
        <v>0</v>
      </c>
      <c r="M25" s="35">
        <v>0</v>
      </c>
      <c r="N25" s="35"/>
      <c r="O25" s="37">
        <f>SUM(E25:M25)</f>
        <v>15205</v>
      </c>
      <c r="P25" s="35">
        <f>2679.84+0.01</f>
        <v>2679.8500000000004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4268.4025000000001</v>
      </c>
      <c r="X25" s="38">
        <f>+O25-W25</f>
        <v>10936.5975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0</v>
      </c>
      <c r="L26" s="26">
        <v>0</v>
      </c>
      <c r="M26" s="26">
        <v>0</v>
      </c>
      <c r="N26" s="26"/>
      <c r="O26" s="28">
        <f>SUM(E26:M26)</f>
        <v>15205</v>
      </c>
      <c r="P26" s="26">
        <f>2679.84+0.01</f>
        <v>2679.8500000000004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8">
        <f>SUM(P26:V26)</f>
        <v>4268.4025000000001</v>
      </c>
      <c r="X26" s="29">
        <f>+O26-W26</f>
        <v>10936.5975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0</v>
      </c>
      <c r="L27" s="35">
        <v>0</v>
      </c>
      <c r="M27" s="35">
        <v>0</v>
      </c>
      <c r="N27" s="35"/>
      <c r="O27" s="37">
        <f t="shared" ref="O27:O33" si="3">SUM(E27:M27)</f>
        <v>9619.4</v>
      </c>
      <c r="P27" s="35">
        <f>1416.49-0.04</f>
        <v>1416.45</v>
      </c>
      <c r="Q27" s="35">
        <f>989.75</f>
        <v>989.75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2406.1999999999998</v>
      </c>
      <c r="X27" s="38">
        <f t="shared" ref="X27:X36" si="5">+O27-W27</f>
        <v>7213.2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0</v>
      </c>
      <c r="L28" s="26">
        <v>0</v>
      </c>
      <c r="M28" s="26">
        <v>0</v>
      </c>
      <c r="N28" s="26"/>
      <c r="O28" s="28">
        <f t="shared" si="3"/>
        <v>7925.9</v>
      </c>
      <c r="P28" s="26">
        <f>1054.75-0.14</f>
        <v>1054.6099999999999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1857.701</v>
      </c>
      <c r="X28" s="29">
        <f t="shared" si="5"/>
        <v>6068.1989999999996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0</v>
      </c>
      <c r="L29" s="35">
        <v>0</v>
      </c>
      <c r="M29" s="35">
        <v>0</v>
      </c>
      <c r="N29" s="35"/>
      <c r="O29" s="37">
        <f t="shared" si="3"/>
        <v>4289.91</v>
      </c>
      <c r="P29" s="35">
        <f>347.05+0.01</f>
        <v>347.06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788.71174999999994</v>
      </c>
      <c r="X29" s="38">
        <f t="shared" si="5"/>
        <v>3501.1982499999999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0</v>
      </c>
      <c r="L30" s="26">
        <v>0</v>
      </c>
      <c r="M30" s="26">
        <v>0</v>
      </c>
      <c r="N30" s="26"/>
      <c r="O30" s="28">
        <f t="shared" si="3"/>
        <v>7925.9</v>
      </c>
      <c r="P30" s="26">
        <f>1054.75+0.06</f>
        <v>1054.81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1857.9</v>
      </c>
      <c r="X30" s="29">
        <f t="shared" si="5"/>
        <v>6068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0</v>
      </c>
      <c r="L31" s="35">
        <v>0</v>
      </c>
      <c r="M31" s="35">
        <v>0</v>
      </c>
      <c r="N31" s="35"/>
      <c r="O31" s="37">
        <f t="shared" si="3"/>
        <v>5135.3999999999996</v>
      </c>
      <c r="P31" s="35">
        <f>485.9-0.14</f>
        <v>485.76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1768.4009999999998</v>
      </c>
      <c r="X31" s="38">
        <f t="shared" si="5"/>
        <v>3366.9989999999998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0</v>
      </c>
      <c r="L32" s="26">
        <v>0</v>
      </c>
      <c r="M32" s="26">
        <v>0</v>
      </c>
      <c r="N32" s="26"/>
      <c r="O32" s="28">
        <f t="shared" si="3"/>
        <v>8543.4</v>
      </c>
      <c r="P32" s="26">
        <f>1186.65+0.07</f>
        <v>1186.72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2056.4</v>
      </c>
      <c r="X32" s="29">
        <f t="shared" si="5"/>
        <v>6487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0</v>
      </c>
      <c r="L33" s="35">
        <v>0</v>
      </c>
      <c r="M33" s="35">
        <v>0</v>
      </c>
      <c r="N33" s="35"/>
      <c r="O33" s="37">
        <f t="shared" si="3"/>
        <v>7167.9</v>
      </c>
      <c r="P33" s="35">
        <f>892.85-0.05</f>
        <v>892.80000000000007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1614.2985000000001</v>
      </c>
      <c r="X33" s="38">
        <f t="shared" si="5"/>
        <v>5553.6014999999998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0</v>
      </c>
      <c r="L34" s="26">
        <v>0</v>
      </c>
      <c r="M34" s="26">
        <v>0</v>
      </c>
      <c r="N34" s="26"/>
      <c r="O34" s="28">
        <f>SUM(E34:M34)</f>
        <v>15205</v>
      </c>
      <c r="P34" s="26">
        <f>2679.84+0.01</f>
        <v>2679.8500000000004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4268.4025000000001</v>
      </c>
      <c r="X34" s="29">
        <f t="shared" si="5"/>
        <v>10936.5975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0</v>
      </c>
      <c r="L35" s="35">
        <v>0</v>
      </c>
      <c r="M35" s="35">
        <v>0</v>
      </c>
      <c r="N35" s="35"/>
      <c r="O35" s="37">
        <f>SUM(E35:M35)</f>
        <v>15205</v>
      </c>
      <c r="P35" s="35">
        <f>2679.84+0.01</f>
        <v>2679.8500000000004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4268.4000000000005</v>
      </c>
      <c r="X35" s="38">
        <f t="shared" si="5"/>
        <v>10936.599999999999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0</v>
      </c>
      <c r="L36" s="99">
        <v>0</v>
      </c>
      <c r="M36" s="99">
        <v>0</v>
      </c>
      <c r="N36" s="99"/>
      <c r="O36" s="101">
        <f>SUM(E36:M36)</f>
        <v>10991.9</v>
      </c>
      <c r="P36" s="99">
        <f>1709.65-0.03</f>
        <v>1709.6200000000001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2832.7</v>
      </c>
      <c r="X36" s="102">
        <f t="shared" si="5"/>
        <v>8159.2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1711.6799999999996</v>
      </c>
      <c r="K38" s="50">
        <f t="shared" si="6"/>
        <v>0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252237.18999999997</v>
      </c>
      <c r="P38" s="50">
        <f t="shared" si="6"/>
        <v>39368.890000000007</v>
      </c>
      <c r="Q38" s="50">
        <f t="shared" si="6"/>
        <v>26179.295750000005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14239</v>
      </c>
      <c r="V38" s="50">
        <f t="shared" si="6"/>
        <v>0</v>
      </c>
      <c r="W38" s="50">
        <f t="shared" si="6"/>
        <v>79787.18574999999</v>
      </c>
      <c r="X38" s="50">
        <f t="shared" si="6"/>
        <v>172449.99424999999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114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114"/>
      <c r="B40" s="114"/>
      <c r="C40" s="114"/>
      <c r="D40" s="114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114"/>
      <c r="B43" s="114"/>
      <c r="C43" s="114"/>
      <c r="D43" s="114"/>
      <c r="I43" s="60"/>
      <c r="J43" s="141"/>
      <c r="K43" s="141"/>
      <c r="L43" s="141"/>
      <c r="M43" s="141"/>
      <c r="N43" s="141"/>
      <c r="O43" s="141"/>
      <c r="P43" s="141"/>
      <c r="U43" s="114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114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114"/>
      <c r="B49" s="114"/>
      <c r="C49" s="114"/>
      <c r="D49" s="71"/>
      <c r="I49" s="60"/>
      <c r="J49" s="141"/>
      <c r="K49" s="141"/>
      <c r="L49" s="141"/>
      <c r="M49" s="141"/>
      <c r="N49" s="141"/>
      <c r="O49" s="141"/>
      <c r="P49" s="141"/>
      <c r="U49" s="114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114"/>
      <c r="B55" s="114"/>
      <c r="I55" s="60"/>
      <c r="J55" s="141"/>
      <c r="K55" s="141"/>
      <c r="L55" s="141"/>
      <c r="M55" s="141"/>
      <c r="N55" s="141"/>
      <c r="O55" s="141"/>
      <c r="P55" s="141"/>
      <c r="U55" s="114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114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114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114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114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114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114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Y7:Y8"/>
    <mergeCell ref="B8:B9"/>
    <mergeCell ref="E8:E9"/>
    <mergeCell ref="F8:F9"/>
    <mergeCell ref="G8:G9"/>
    <mergeCell ref="V8:V9"/>
    <mergeCell ref="J41:P41"/>
    <mergeCell ref="A42:AA42"/>
    <mergeCell ref="J43:P43"/>
    <mergeCell ref="J44:P44"/>
    <mergeCell ref="H8:H9"/>
    <mergeCell ref="I8:I9"/>
    <mergeCell ref="J8:J9"/>
    <mergeCell ref="K8:K9"/>
    <mergeCell ref="L8:L9"/>
    <mergeCell ref="M8:M9"/>
    <mergeCell ref="AA7:AA8"/>
    <mergeCell ref="A7:B7"/>
    <mergeCell ref="E7:O7"/>
    <mergeCell ref="P7:W7"/>
    <mergeCell ref="X7:X9"/>
    <mergeCell ref="J50:P50"/>
    <mergeCell ref="J54:P54"/>
    <mergeCell ref="J55:P55"/>
    <mergeCell ref="J56:P56"/>
    <mergeCell ref="P8:P9"/>
    <mergeCell ref="J48:P48"/>
    <mergeCell ref="J49:P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opLeftCell="A19" workbookViewId="0">
      <selection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93</v>
      </c>
      <c r="I2" s="6" t="s">
        <v>97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118"/>
      <c r="D7" s="118"/>
      <c r="E7" s="131" t="s">
        <v>3</v>
      </c>
      <c r="F7" s="134"/>
      <c r="G7" s="134"/>
      <c r="H7" s="134"/>
      <c r="I7" s="134"/>
      <c r="J7" s="134"/>
      <c r="K7" s="134"/>
      <c r="L7" s="134"/>
      <c r="M7" s="134"/>
      <c r="N7" s="134"/>
      <c r="O7" s="148"/>
      <c r="P7" s="131" t="s">
        <v>4</v>
      </c>
      <c r="Q7" s="134"/>
      <c r="R7" s="134"/>
      <c r="S7" s="134"/>
      <c r="T7" s="134"/>
      <c r="U7" s="134"/>
      <c r="V7" s="134"/>
      <c r="W7" s="148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119" t="s">
        <v>9</v>
      </c>
      <c r="D8" s="119" t="s">
        <v>81</v>
      </c>
      <c r="E8" s="138" t="s">
        <v>73</v>
      </c>
      <c r="F8" s="138" t="s">
        <v>10</v>
      </c>
      <c r="G8" s="138" t="s">
        <v>11</v>
      </c>
      <c r="H8" s="143" t="s">
        <v>12</v>
      </c>
      <c r="I8" s="143" t="s">
        <v>13</v>
      </c>
      <c r="J8" s="150" t="s">
        <v>14</v>
      </c>
      <c r="K8" s="138" t="s">
        <v>15</v>
      </c>
      <c r="L8" s="138" t="s">
        <v>16</v>
      </c>
      <c r="M8" s="138" t="s">
        <v>17</v>
      </c>
      <c r="N8" s="116" t="s">
        <v>83</v>
      </c>
      <c r="O8" s="116" t="s">
        <v>18</v>
      </c>
      <c r="P8" s="138" t="s">
        <v>19</v>
      </c>
      <c r="Q8" s="116" t="s">
        <v>20</v>
      </c>
      <c r="R8" s="116" t="s">
        <v>21</v>
      </c>
      <c r="S8" s="116"/>
      <c r="T8" s="116"/>
      <c r="U8" s="116" t="s">
        <v>22</v>
      </c>
      <c r="V8" s="14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117"/>
      <c r="D9" s="117"/>
      <c r="E9" s="126"/>
      <c r="F9" s="126"/>
      <c r="G9" s="126"/>
      <c r="H9" s="144"/>
      <c r="I9" s="144"/>
      <c r="J9" s="147"/>
      <c r="K9" s="126"/>
      <c r="L9" s="126"/>
      <c r="M9" s="126"/>
      <c r="N9" s="117"/>
      <c r="O9" s="117" t="s">
        <v>25</v>
      </c>
      <c r="P9" s="126"/>
      <c r="Q9" s="117" t="s">
        <v>26</v>
      </c>
      <c r="R9" s="117" t="s">
        <v>27</v>
      </c>
      <c r="S9" s="117"/>
      <c r="T9" s="117"/>
      <c r="U9" s="117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366.98</v>
      </c>
      <c r="K11" s="26">
        <v>11219.75</v>
      </c>
      <c r="L11" s="26">
        <v>0</v>
      </c>
      <c r="M11" s="26">
        <v>0</v>
      </c>
      <c r="N11" s="26"/>
      <c r="O11" s="28">
        <f>SUM(E11:M11)</f>
        <v>19234.080000000002</v>
      </c>
      <c r="P11" s="26">
        <v>2960.51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5978.6727499999997</v>
      </c>
      <c r="X11" s="29">
        <f t="shared" ref="X11:X21" si="1">+O11-W11</f>
        <v>13255.407250000002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14344</v>
      </c>
      <c r="L12" s="35">
        <v>0</v>
      </c>
      <c r="M12" s="35">
        <v>0</v>
      </c>
      <c r="N12" s="35"/>
      <c r="O12" s="37">
        <f>SUM(E12:M12)</f>
        <v>24072.959999999999</v>
      </c>
      <c r="P12" s="35">
        <v>4318.34</v>
      </c>
      <c r="Q12" s="35">
        <v>989.74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7308.08</v>
      </c>
      <c r="X12" s="38">
        <f t="shared" si="1"/>
        <v>16764.879999999997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11639</v>
      </c>
      <c r="L13" s="26">
        <v>0</v>
      </c>
      <c r="M13" s="26">
        <v>0</v>
      </c>
      <c r="N13" s="26"/>
      <c r="O13" s="28">
        <f>SUM(E13:M13)</f>
        <v>19710.98</v>
      </c>
      <c r="P13" s="26">
        <v>3124.63</v>
      </c>
      <c r="Q13" s="26">
        <v>803.09</v>
      </c>
      <c r="R13" s="26">
        <v>0</v>
      </c>
      <c r="S13" s="26">
        <v>0</v>
      </c>
      <c r="T13" s="26">
        <v>0</v>
      </c>
      <c r="U13" s="26">
        <v>3821.18</v>
      </c>
      <c r="V13" s="26">
        <v>0</v>
      </c>
      <c r="W13" s="28">
        <f t="shared" si="0"/>
        <v>7748.9</v>
      </c>
      <c r="X13" s="29">
        <f t="shared" si="1"/>
        <v>11962.08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11219.75</v>
      </c>
      <c r="L14" s="35">
        <v>0</v>
      </c>
      <c r="M14" s="35">
        <v>0</v>
      </c>
      <c r="N14" s="35"/>
      <c r="O14" s="37">
        <f t="shared" ref="O14:O22" si="2">SUM(E14:M14)</f>
        <v>18976.66</v>
      </c>
      <c r="P14" s="35">
        <v>2960.51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5534.6727499999997</v>
      </c>
      <c r="X14" s="38">
        <f t="shared" si="1"/>
        <v>13441.98725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10754</v>
      </c>
      <c r="L15" s="26">
        <v>0</v>
      </c>
      <c r="M15" s="26">
        <v>0</v>
      </c>
      <c r="N15" s="26"/>
      <c r="O15" s="28">
        <f t="shared" si="2"/>
        <v>18171.96</v>
      </c>
      <c r="P15" s="26">
        <v>2771.24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3226.58</v>
      </c>
      <c r="V15" s="26">
        <v>0</v>
      </c>
      <c r="W15" s="28">
        <f t="shared" si="0"/>
        <v>6739.8459999999995</v>
      </c>
      <c r="X15" s="29">
        <f t="shared" si="1"/>
        <v>11432.114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11639</v>
      </c>
      <c r="L16" s="35">
        <v>0</v>
      </c>
      <c r="M16" s="35">
        <v>0</v>
      </c>
      <c r="N16" s="35"/>
      <c r="O16" s="37">
        <f t="shared" si="2"/>
        <v>19674.46</v>
      </c>
      <c r="P16" s="35">
        <v>3124.63</v>
      </c>
      <c r="Q16" s="35">
        <v>803.09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6255.72</v>
      </c>
      <c r="X16" s="38">
        <f t="shared" si="1"/>
        <v>13418.739999999998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6400.75</v>
      </c>
      <c r="L17" s="26">
        <v>0</v>
      </c>
      <c r="M17" s="26">
        <v>0</v>
      </c>
      <c r="N17" s="26"/>
      <c r="O17" s="28">
        <f t="shared" si="2"/>
        <v>10763.74</v>
      </c>
      <c r="P17" s="26">
        <v>1120.32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1561.9717499999999</v>
      </c>
      <c r="X17" s="29">
        <f t="shared" si="1"/>
        <v>9201.7682499999992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6400.75</v>
      </c>
      <c r="L18" s="35">
        <v>0</v>
      </c>
      <c r="M18" s="35">
        <v>0</v>
      </c>
      <c r="N18" s="35"/>
      <c r="O18" s="37">
        <f t="shared" si="2"/>
        <v>10800.26</v>
      </c>
      <c r="P18" s="35">
        <v>1120.32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2842.9717499999997</v>
      </c>
      <c r="X18" s="38">
        <f t="shared" si="1"/>
        <v>7957.2882500000005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205.58</v>
      </c>
      <c r="K19" s="26">
        <v>7899</v>
      </c>
      <c r="L19" s="26">
        <v>0</v>
      </c>
      <c r="M19" s="26">
        <v>0</v>
      </c>
      <c r="N19" s="26"/>
      <c r="O19" s="28">
        <f t="shared" si="2"/>
        <v>13439.98</v>
      </c>
      <c r="P19" s="26">
        <v>1663.66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2208.6909999999998</v>
      </c>
      <c r="X19" s="29">
        <f t="shared" si="1"/>
        <v>11231.289000000001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10754</v>
      </c>
      <c r="L20" s="35">
        <v>0</v>
      </c>
      <c r="M20" s="35">
        <v>0</v>
      </c>
      <c r="N20" s="35"/>
      <c r="O20" s="37">
        <f t="shared" si="2"/>
        <v>18135.439999999999</v>
      </c>
      <c r="P20" s="35">
        <v>2771.24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3276.79</v>
      </c>
      <c r="V20" s="35">
        <v>0</v>
      </c>
      <c r="W20" s="37">
        <f t="shared" si="0"/>
        <v>6790.0559999999996</v>
      </c>
      <c r="X20" s="38">
        <f t="shared" si="1"/>
        <v>11345.383999999998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109.56</v>
      </c>
      <c r="K21" s="35">
        <v>11639</v>
      </c>
      <c r="L21" s="35">
        <v>0</v>
      </c>
      <c r="M21" s="35">
        <v>0</v>
      </c>
      <c r="N21" s="35"/>
      <c r="O21" s="37">
        <f t="shared" si="2"/>
        <v>19674.46</v>
      </c>
      <c r="P21" s="35">
        <v>3124.63</v>
      </c>
      <c r="Q21" s="35">
        <v>803.09</v>
      </c>
      <c r="R21" s="35">
        <v>0</v>
      </c>
      <c r="S21" s="35">
        <v>0</v>
      </c>
      <c r="T21" s="35">
        <v>0</v>
      </c>
      <c r="U21" s="35">
        <v>3629.23</v>
      </c>
      <c r="V21" s="35">
        <v>0</v>
      </c>
      <c r="W21" s="37">
        <f t="shared" si="0"/>
        <v>7556.9500000000007</v>
      </c>
      <c r="X21" s="38">
        <f t="shared" si="1"/>
        <v>12117.509999999998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10447.5</v>
      </c>
      <c r="L22" s="26">
        <v>0</v>
      </c>
      <c r="M22" s="26">
        <v>0</v>
      </c>
      <c r="N22" s="26"/>
      <c r="O22" s="28">
        <f t="shared" si="2"/>
        <v>17671.080000000002</v>
      </c>
      <c r="P22" s="26">
        <v>2644.84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5455.72</v>
      </c>
      <c r="X22" s="29">
        <f>+O22-W22</f>
        <v>12215.36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7899</v>
      </c>
      <c r="L23" s="35">
        <v>0</v>
      </c>
      <c r="M23" s="35">
        <v>0</v>
      </c>
      <c r="N23" s="35"/>
      <c r="O23" s="37">
        <f>SUM(E23:M23)</f>
        <v>13314.439999999999</v>
      </c>
      <c r="P23" s="35">
        <v>1663.66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3772.6909999999998</v>
      </c>
      <c r="X23" s="38">
        <f>+O23-W23</f>
        <v>9541.7489999999998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64115</v>
      </c>
      <c r="L24" s="26">
        <v>0</v>
      </c>
      <c r="M24" s="26">
        <v>0</v>
      </c>
      <c r="N24" s="26"/>
      <c r="O24" s="28">
        <f>SUM(E24:M24)</f>
        <v>102584</v>
      </c>
      <c r="P24" s="26">
        <v>30210.45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34634.385000000002</v>
      </c>
      <c r="X24" s="29">
        <f>+O24-W24-0.01</f>
        <v>67949.604999999996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23022.5</v>
      </c>
      <c r="L25" s="35">
        <v>0</v>
      </c>
      <c r="M25" s="35">
        <v>0</v>
      </c>
      <c r="N25" s="35"/>
      <c r="O25" s="37">
        <f>SUM(E25:M25)</f>
        <v>38227.5</v>
      </c>
      <c r="P25" s="35">
        <v>8597.57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10186.122499999999</v>
      </c>
      <c r="X25" s="38">
        <f>+O25-W25</f>
        <v>28041.377500000002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23022.5</v>
      </c>
      <c r="L26" s="26">
        <v>0</v>
      </c>
      <c r="M26" s="26">
        <v>0</v>
      </c>
      <c r="N26" s="26"/>
      <c r="O26" s="28">
        <f>SUM(E26:M26)</f>
        <v>38227.5</v>
      </c>
      <c r="P26" s="26">
        <v>8597.57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6851.17</v>
      </c>
      <c r="V26" s="26">
        <v>0</v>
      </c>
      <c r="W26" s="28">
        <f>SUM(P26:V26)</f>
        <v>17037.2925</v>
      </c>
      <c r="X26" s="29">
        <f>+O26-W26</f>
        <v>21190.2075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14344</v>
      </c>
      <c r="L27" s="35">
        <v>0</v>
      </c>
      <c r="M27" s="35">
        <v>0</v>
      </c>
      <c r="N27" s="35"/>
      <c r="O27" s="37">
        <f t="shared" ref="O27:O33" si="3">SUM(E27:M27)</f>
        <v>23963.4</v>
      </c>
      <c r="P27" s="35">
        <v>4318.34</v>
      </c>
      <c r="Q27" s="35">
        <v>989.74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5308.08</v>
      </c>
      <c r="X27" s="38">
        <f t="shared" ref="X27:X36" si="5">+O27-W27</f>
        <v>18655.32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11639</v>
      </c>
      <c r="L28" s="26">
        <v>0</v>
      </c>
      <c r="M28" s="26">
        <v>0</v>
      </c>
      <c r="N28" s="26"/>
      <c r="O28" s="28">
        <f t="shared" si="3"/>
        <v>19564.900000000001</v>
      </c>
      <c r="P28" s="26">
        <v>3124.63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3927.721</v>
      </c>
      <c r="X28" s="29">
        <f t="shared" si="5"/>
        <v>15637.179000000002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6400.75</v>
      </c>
      <c r="L29" s="35">
        <v>0</v>
      </c>
      <c r="M29" s="35">
        <v>0</v>
      </c>
      <c r="N29" s="35"/>
      <c r="O29" s="37">
        <f t="shared" si="3"/>
        <v>10690.66</v>
      </c>
      <c r="P29" s="35">
        <v>1120.32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1561.9717499999999</v>
      </c>
      <c r="X29" s="38">
        <f t="shared" si="5"/>
        <v>9128.6882499999992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11639</v>
      </c>
      <c r="L30" s="26">
        <v>0</v>
      </c>
      <c r="M30" s="26">
        <v>0</v>
      </c>
      <c r="N30" s="26"/>
      <c r="O30" s="28">
        <f t="shared" si="3"/>
        <v>19564.900000000001</v>
      </c>
      <c r="P30" s="26">
        <v>3124.63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3927.7200000000003</v>
      </c>
      <c r="X30" s="29">
        <f t="shared" si="5"/>
        <v>15637.18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7589</v>
      </c>
      <c r="L31" s="35">
        <v>0</v>
      </c>
      <c r="M31" s="35">
        <v>0</v>
      </c>
      <c r="N31" s="35"/>
      <c r="O31" s="37">
        <f t="shared" si="3"/>
        <v>12724.4</v>
      </c>
      <c r="P31" s="35">
        <v>1554.72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2837.3609999999999</v>
      </c>
      <c r="X31" s="38">
        <f t="shared" si="5"/>
        <v>9887.0390000000007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12604</v>
      </c>
      <c r="L32" s="26">
        <v>0</v>
      </c>
      <c r="M32" s="26">
        <v>0</v>
      </c>
      <c r="N32" s="26"/>
      <c r="O32" s="28">
        <f t="shared" si="3"/>
        <v>21147.4</v>
      </c>
      <c r="P32" s="26">
        <v>3496.83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4366.51</v>
      </c>
      <c r="X32" s="29">
        <f t="shared" si="5"/>
        <v>16780.89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10456.5</v>
      </c>
      <c r="L33" s="35">
        <v>0</v>
      </c>
      <c r="M33" s="35">
        <v>0</v>
      </c>
      <c r="N33" s="35"/>
      <c r="O33" s="37">
        <f t="shared" si="3"/>
        <v>17624.400000000001</v>
      </c>
      <c r="P33" s="35">
        <v>2668.22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3389.7184999999999</v>
      </c>
      <c r="X33" s="38">
        <f t="shared" si="5"/>
        <v>14234.681500000002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23022.5</v>
      </c>
      <c r="L34" s="26">
        <v>0</v>
      </c>
      <c r="M34" s="26">
        <v>0</v>
      </c>
      <c r="N34" s="26"/>
      <c r="O34" s="28">
        <f>SUM(E34:M34)</f>
        <v>38227.5</v>
      </c>
      <c r="P34" s="26">
        <v>8597.57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10186.122499999999</v>
      </c>
      <c r="X34" s="29">
        <f t="shared" si="5"/>
        <v>28041.377500000002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23022.5</v>
      </c>
      <c r="L35" s="35">
        <v>0</v>
      </c>
      <c r="M35" s="35">
        <v>0</v>
      </c>
      <c r="N35" s="35"/>
      <c r="O35" s="37">
        <f>SUM(E35:M35)</f>
        <v>38227.5</v>
      </c>
      <c r="P35" s="35">
        <v>8597.57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10186.119999999999</v>
      </c>
      <c r="X35" s="38">
        <f t="shared" si="5"/>
        <v>28041.38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16276.5</v>
      </c>
      <c r="L36" s="99">
        <v>0</v>
      </c>
      <c r="M36" s="99">
        <v>0</v>
      </c>
      <c r="N36" s="99"/>
      <c r="O36" s="101">
        <f>SUM(E36:M36)</f>
        <v>27268.400000000001</v>
      </c>
      <c r="P36" s="99">
        <v>5309.84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6432.92</v>
      </c>
      <c r="X36" s="102">
        <f t="shared" si="5"/>
        <v>20835.480000000003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1748.1999999999996</v>
      </c>
      <c r="K38" s="50">
        <f t="shared" si="6"/>
        <v>379409.25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631682.96000000008</v>
      </c>
      <c r="P38" s="50">
        <f t="shared" si="6"/>
        <v>122686.79000000004</v>
      </c>
      <c r="Q38" s="50">
        <f t="shared" si="6"/>
        <v>26179.247750000002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34870.950000000004</v>
      </c>
      <c r="V38" s="50">
        <f t="shared" si="6"/>
        <v>0</v>
      </c>
      <c r="W38" s="50">
        <f t="shared" si="6"/>
        <v>183736.98775</v>
      </c>
      <c r="X38" s="50">
        <f t="shared" si="6"/>
        <v>447945.96225000004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115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115"/>
      <c r="B40" s="115"/>
      <c r="C40" s="115"/>
      <c r="D40" s="115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115"/>
      <c r="B43" s="115"/>
      <c r="C43" s="115"/>
      <c r="D43" s="115"/>
      <c r="I43" s="60"/>
      <c r="J43" s="141"/>
      <c r="K43" s="141"/>
      <c r="L43" s="141"/>
      <c r="M43" s="141"/>
      <c r="N43" s="141"/>
      <c r="O43" s="141"/>
      <c r="P43" s="141"/>
      <c r="U43" s="115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115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115"/>
      <c r="B49" s="115"/>
      <c r="C49" s="115"/>
      <c r="D49" s="71"/>
      <c r="I49" s="60"/>
      <c r="J49" s="141"/>
      <c r="K49" s="141"/>
      <c r="L49" s="141"/>
      <c r="M49" s="141"/>
      <c r="N49" s="141"/>
      <c r="O49" s="141"/>
      <c r="P49" s="141"/>
      <c r="U49" s="115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115"/>
      <c r="B55" s="115"/>
      <c r="I55" s="60"/>
      <c r="J55" s="141"/>
      <c r="K55" s="141"/>
      <c r="L55" s="141"/>
      <c r="M55" s="141"/>
      <c r="N55" s="141"/>
      <c r="O55" s="141"/>
      <c r="P55" s="141"/>
      <c r="U55" s="115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115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115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115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115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115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115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J50:P50"/>
    <mergeCell ref="J54:P54"/>
    <mergeCell ref="J55:P55"/>
    <mergeCell ref="J56:P56"/>
    <mergeCell ref="P8:P9"/>
    <mergeCell ref="V8:V9"/>
    <mergeCell ref="J41:P41"/>
    <mergeCell ref="A42:AA42"/>
    <mergeCell ref="J43:P43"/>
    <mergeCell ref="J44:P44"/>
    <mergeCell ref="H8:H9"/>
    <mergeCell ref="I8:I9"/>
    <mergeCell ref="J8:J9"/>
    <mergeCell ref="K8:K9"/>
    <mergeCell ref="L8:L9"/>
    <mergeCell ref="M8:M9"/>
    <mergeCell ref="AA7:AA8"/>
    <mergeCell ref="J48:P48"/>
    <mergeCell ref="J49:P49"/>
    <mergeCell ref="A7:B7"/>
    <mergeCell ref="E7:O7"/>
    <mergeCell ref="P7:W7"/>
    <mergeCell ref="X7:X9"/>
    <mergeCell ref="Y7:Y8"/>
    <mergeCell ref="B8:B9"/>
    <mergeCell ref="E8:E9"/>
    <mergeCell ref="F8:F9"/>
    <mergeCell ref="G8:G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abSelected="1" topLeftCell="E12" workbookViewId="0">
      <selection activeCell="F39" sqref="F39:X39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 t="s">
        <v>98</v>
      </c>
      <c r="H2" s="5"/>
      <c r="I2" s="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122"/>
      <c r="D7" s="122"/>
      <c r="E7" s="131" t="s">
        <v>3</v>
      </c>
      <c r="F7" s="134"/>
      <c r="G7" s="134"/>
      <c r="H7" s="134"/>
      <c r="I7" s="134"/>
      <c r="J7" s="134"/>
      <c r="K7" s="134"/>
      <c r="L7" s="134"/>
      <c r="M7" s="134"/>
      <c r="N7" s="134"/>
      <c r="O7" s="148"/>
      <c r="P7" s="131" t="s">
        <v>4</v>
      </c>
      <c r="Q7" s="134"/>
      <c r="R7" s="134"/>
      <c r="S7" s="134"/>
      <c r="T7" s="134"/>
      <c r="U7" s="134"/>
      <c r="V7" s="134"/>
      <c r="W7" s="148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123" t="s">
        <v>9</v>
      </c>
      <c r="D8" s="123" t="s">
        <v>81</v>
      </c>
      <c r="E8" s="138" t="s">
        <v>73</v>
      </c>
      <c r="F8" s="138" t="s">
        <v>10</v>
      </c>
      <c r="G8" s="138" t="s">
        <v>11</v>
      </c>
      <c r="H8" s="143" t="s">
        <v>12</v>
      </c>
      <c r="I8" s="143" t="s">
        <v>13</v>
      </c>
      <c r="J8" s="150" t="s">
        <v>14</v>
      </c>
      <c r="K8" s="138" t="s">
        <v>15</v>
      </c>
      <c r="L8" s="138" t="s">
        <v>16</v>
      </c>
      <c r="M8" s="138" t="s">
        <v>17</v>
      </c>
      <c r="N8" s="120" t="s">
        <v>83</v>
      </c>
      <c r="O8" s="120" t="s">
        <v>18</v>
      </c>
      <c r="P8" s="138" t="s">
        <v>19</v>
      </c>
      <c r="Q8" s="120" t="s">
        <v>20</v>
      </c>
      <c r="R8" s="120" t="s">
        <v>21</v>
      </c>
      <c r="S8" s="120"/>
      <c r="T8" s="120"/>
      <c r="U8" s="120" t="s">
        <v>22</v>
      </c>
      <c r="V8" s="14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121"/>
      <c r="D9" s="121"/>
      <c r="E9" s="126"/>
      <c r="F9" s="126"/>
      <c r="G9" s="126"/>
      <c r="H9" s="144"/>
      <c r="I9" s="144"/>
      <c r="J9" s="147"/>
      <c r="K9" s="126"/>
      <c r="L9" s="126"/>
      <c r="M9" s="126"/>
      <c r="N9" s="121"/>
      <c r="O9" s="121" t="s">
        <v>25</v>
      </c>
      <c r="P9" s="126"/>
      <c r="Q9" s="121" t="s">
        <v>26</v>
      </c>
      <c r="R9" s="121" t="s">
        <v>27</v>
      </c>
      <c r="S9" s="121"/>
      <c r="T9" s="121"/>
      <c r="U9" s="121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f>+'mzo 1er'!E11+'MARZ 2A'!E11</f>
        <v>13463.7</v>
      </c>
      <c r="F11" s="26">
        <f>+'mzo 1er'!F11+'MARZ 2A'!F11</f>
        <v>0</v>
      </c>
      <c r="G11" s="26">
        <f>+'mzo 1er'!G11+'MARZ 2A'!G11</f>
        <v>0</v>
      </c>
      <c r="H11" s="26">
        <f>+'mzo 1er'!H11+'MARZ 2A'!H11</f>
        <v>703</v>
      </c>
      <c r="I11" s="26">
        <f>+'mzo 1er'!I11+'MARZ 2A'!I11</f>
        <v>1128</v>
      </c>
      <c r="J11" s="26">
        <f>+'mzo 1er'!J11+'MARZ 2A'!J11</f>
        <v>733.96</v>
      </c>
      <c r="K11" s="26">
        <f>+'mzo 1er'!K11+'MARZ 2A'!K11</f>
        <v>11219.75</v>
      </c>
      <c r="L11" s="26">
        <f>+'mzo 1er'!L11+'MARZ 2A'!L11</f>
        <v>0</v>
      </c>
      <c r="M11" s="26">
        <f>+'mzo 1er'!M11+'MARZ 2A'!M11</f>
        <v>0</v>
      </c>
      <c r="N11" s="26">
        <f>+'mzo 1er'!N11+'MARZ 2A'!N11</f>
        <v>0</v>
      </c>
      <c r="O11" s="28">
        <f>SUM(E11:M11)</f>
        <v>27248.41</v>
      </c>
      <c r="P11" s="26">
        <f>+'mzo 1er'!P11+'MARZ 2A'!P11</f>
        <v>3955.6800000000003</v>
      </c>
      <c r="Q11" s="26">
        <f>+'mzo 1er'!Q11+'MARZ 2A'!Q11</f>
        <v>1548.3255000000001</v>
      </c>
      <c r="R11" s="26">
        <f>+'mzo 1er'!R11+'MARZ 2A'!R11</f>
        <v>0</v>
      </c>
      <c r="S11" s="26">
        <f>+'mzo 1er'!S11+'MARZ 2A'!S11</f>
        <v>0</v>
      </c>
      <c r="T11" s="26">
        <f>+'mzo 1er'!T11+'MARZ 2A'!T11</f>
        <v>0</v>
      </c>
      <c r="U11" s="26">
        <f>+'mzo 1er'!U11+'MARZ 2A'!U11</f>
        <v>4488</v>
      </c>
      <c r="V11" s="26">
        <f>+'mzo 1er'!V11+'MARZ 2A'!V11</f>
        <v>0</v>
      </c>
      <c r="W11" s="28">
        <f t="shared" ref="W11:W22" si="0">SUM(P11:V11)</f>
        <v>9992.0054999999993</v>
      </c>
      <c r="X11" s="29">
        <f t="shared" ref="X11:X21" si="1">+O11-W11</f>
        <v>17256.404500000001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f>+'mzo 1er'!E12+'MARZ 2A'!E12</f>
        <v>17212.8</v>
      </c>
      <c r="F12" s="35">
        <f>+'mzo 1er'!F12+'MARZ 2A'!F12</f>
        <v>0</v>
      </c>
      <c r="G12" s="35">
        <f>+'mzo 1er'!G12+'MARZ 2A'!G12</f>
        <v>0</v>
      </c>
      <c r="H12" s="35">
        <f>+'mzo 1er'!H12+'MARZ 2A'!H12</f>
        <v>779</v>
      </c>
      <c r="I12" s="35">
        <f>+'mzo 1er'!I12+'MARZ 2A'!I12</f>
        <v>1247</v>
      </c>
      <c r="J12" s="35">
        <f>+'mzo 1er'!J12+'MARZ 2A'!J12</f>
        <v>219.12</v>
      </c>
      <c r="K12" s="35">
        <f>+'mzo 1er'!K12+'MARZ 2A'!K12</f>
        <v>14344</v>
      </c>
      <c r="L12" s="35">
        <f>+'mzo 1er'!L12+'MARZ 2A'!L12</f>
        <v>0</v>
      </c>
      <c r="M12" s="35">
        <f>+'mzo 1er'!M12+'MARZ 2A'!M12</f>
        <v>0</v>
      </c>
      <c r="N12" s="35">
        <f>+'mzo 1er'!N12+'MARZ 2A'!N12</f>
        <v>0</v>
      </c>
      <c r="O12" s="35">
        <f>+'mzo 1er'!O12+'MARZ 2A'!O12</f>
        <v>33801.919999999998</v>
      </c>
      <c r="P12" s="35">
        <f>+'mzo 1er'!P12+'MARZ 2A'!P12</f>
        <v>5734.75</v>
      </c>
      <c r="Q12" s="35">
        <f>+'mzo 1er'!Q12+'MARZ 2A'!Q12</f>
        <v>1979.4859999999999</v>
      </c>
      <c r="R12" s="35">
        <f>+'mzo 1er'!R12+'MARZ 2A'!R12</f>
        <v>0</v>
      </c>
      <c r="S12" s="35">
        <f>+'mzo 1er'!S12+'MARZ 2A'!S12</f>
        <v>0</v>
      </c>
      <c r="T12" s="35">
        <f>+'mzo 1er'!T12+'MARZ 2A'!T12</f>
        <v>0</v>
      </c>
      <c r="U12" s="35">
        <f>+'mzo 1er'!U12+'MARZ 2A'!U12</f>
        <v>4000</v>
      </c>
      <c r="V12" s="35">
        <f>+'mzo 1er'!V12+'MARZ 2A'!V12</f>
        <v>0</v>
      </c>
      <c r="W12" s="37">
        <f t="shared" si="0"/>
        <v>11714.236000000001</v>
      </c>
      <c r="X12" s="38">
        <f t="shared" si="1"/>
        <v>22087.683999999997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f>+'mzo 1er'!E13+'MARZ 2A'!E13</f>
        <v>13966.8</v>
      </c>
      <c r="F13" s="26">
        <f>+'mzo 1er'!F13+'MARZ 2A'!F13</f>
        <v>0</v>
      </c>
      <c r="G13" s="26">
        <f>+'mzo 1er'!G13+'MARZ 2A'!G13</f>
        <v>0</v>
      </c>
      <c r="H13" s="26">
        <f>+'mzo 1er'!H13+'MARZ 2A'!H13</f>
        <v>722</v>
      </c>
      <c r="I13" s="26">
        <f>+'mzo 1er'!I13+'MARZ 2A'!I13</f>
        <v>1163</v>
      </c>
      <c r="J13" s="26">
        <f>+'mzo 1er'!J13+'MARZ 2A'!J13</f>
        <v>292.16000000000003</v>
      </c>
      <c r="K13" s="26">
        <f>+'mzo 1er'!K13+'MARZ 2A'!K13</f>
        <v>11639</v>
      </c>
      <c r="L13" s="26">
        <f>+'mzo 1er'!L13+'MARZ 2A'!L13</f>
        <v>0</v>
      </c>
      <c r="M13" s="26">
        <f>+'mzo 1er'!M13+'MARZ 2A'!M13</f>
        <v>0</v>
      </c>
      <c r="N13" s="26">
        <f>+'mzo 1er'!N13+'MARZ 2A'!N13</f>
        <v>0</v>
      </c>
      <c r="O13" s="28">
        <f t="shared" ref="O13" si="2">SUM(E13:M13)</f>
        <v>27782.959999999999</v>
      </c>
      <c r="P13" s="26">
        <f>+'mzo 1er'!P13+'MARZ 2A'!P13</f>
        <v>4179.51</v>
      </c>
      <c r="Q13" s="26">
        <f>+'mzo 1er'!Q13+'MARZ 2A'!Q13</f>
        <v>1606.191</v>
      </c>
      <c r="R13" s="26">
        <f>+'mzo 1er'!R13+'MARZ 2A'!R13</f>
        <v>0</v>
      </c>
      <c r="S13" s="26">
        <f>+'mzo 1er'!S13+'MARZ 2A'!S13</f>
        <v>0</v>
      </c>
      <c r="T13" s="26">
        <f>+'mzo 1er'!T13+'MARZ 2A'!T13</f>
        <v>0</v>
      </c>
      <c r="U13" s="26">
        <f>+'mzo 1er'!U13+'MARZ 2A'!U13</f>
        <v>3821.18</v>
      </c>
      <c r="V13" s="26">
        <f>+'mzo 1er'!V13+'MARZ 2A'!V13</f>
        <v>0</v>
      </c>
      <c r="W13" s="28">
        <f t="shared" si="0"/>
        <v>9606.8809999999994</v>
      </c>
      <c r="X13" s="29">
        <f t="shared" si="1"/>
        <v>18176.078999999998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f>+'mzo 1er'!E14+'MARZ 2A'!E14</f>
        <v>13463.7</v>
      </c>
      <c r="F14" s="35">
        <f>+'mzo 1er'!F14+'MARZ 2A'!F14</f>
        <v>0</v>
      </c>
      <c r="G14" s="35">
        <f>+'mzo 1er'!G14+'MARZ 2A'!G14</f>
        <v>0</v>
      </c>
      <c r="H14" s="35">
        <f>+'mzo 1er'!H14+'MARZ 2A'!H14</f>
        <v>703</v>
      </c>
      <c r="I14" s="35">
        <f>+'mzo 1er'!I14+'MARZ 2A'!I14</f>
        <v>1128</v>
      </c>
      <c r="J14" s="35">
        <f>+'mzo 1er'!J14+'MARZ 2A'!J14</f>
        <v>219.12</v>
      </c>
      <c r="K14" s="35">
        <f>+'mzo 1er'!K14+'MARZ 2A'!K14</f>
        <v>11219.75</v>
      </c>
      <c r="L14" s="35">
        <f>+'mzo 1er'!L14+'MARZ 2A'!L14</f>
        <v>0</v>
      </c>
      <c r="M14" s="35">
        <f>+'mzo 1er'!M14+'MARZ 2A'!M14</f>
        <v>0</v>
      </c>
      <c r="N14" s="35">
        <f>+'mzo 1er'!N14+'MARZ 2A'!N14</f>
        <v>0</v>
      </c>
      <c r="O14" s="35">
        <f>+'mzo 1er'!O14+'MARZ 2A'!O14</f>
        <v>26733.57</v>
      </c>
      <c r="P14" s="35">
        <f>+'mzo 1er'!P14+'MARZ 2A'!P14</f>
        <v>3955.86</v>
      </c>
      <c r="Q14" s="35">
        <f>+'mzo 1er'!Q14+'MARZ 2A'!Q14</f>
        <v>1548.3255000000001</v>
      </c>
      <c r="R14" s="35">
        <f>+'mzo 1er'!R14+'MARZ 2A'!R14</f>
        <v>0</v>
      </c>
      <c r="S14" s="35">
        <f>+'mzo 1er'!S14+'MARZ 2A'!S14</f>
        <v>0</v>
      </c>
      <c r="T14" s="35">
        <f>+'mzo 1er'!T14+'MARZ 2A'!T14</f>
        <v>0</v>
      </c>
      <c r="U14" s="35">
        <f>+'mzo 1er'!U14+'MARZ 2A'!U14</f>
        <v>3600</v>
      </c>
      <c r="V14" s="35">
        <f>+'mzo 1er'!V14+'MARZ 2A'!V14</f>
        <v>0</v>
      </c>
      <c r="W14" s="37">
        <f>SUM(P14:V14)</f>
        <v>9104.1854999999996</v>
      </c>
      <c r="X14" s="38">
        <f t="shared" si="1"/>
        <v>17629.3845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f>+'mzo 1er'!E15+'MARZ 2A'!E15</f>
        <v>12904.8</v>
      </c>
      <c r="F15" s="26">
        <f>+'mzo 1er'!F15+'MARZ 2A'!F15</f>
        <v>0</v>
      </c>
      <c r="G15" s="26">
        <f>+'mzo 1er'!G15+'MARZ 2A'!G15</f>
        <v>0</v>
      </c>
      <c r="H15" s="26">
        <f>+'mzo 1er'!H15+'MARZ 2A'!H15</f>
        <v>666</v>
      </c>
      <c r="I15" s="26">
        <f>+'mzo 1er'!I15+'MARZ 2A'!I15</f>
        <v>1046</v>
      </c>
      <c r="J15" s="26">
        <f>+'mzo 1er'!J15+'MARZ 2A'!J15</f>
        <v>219.12</v>
      </c>
      <c r="K15" s="26">
        <f>+'mzo 1er'!K15+'MARZ 2A'!K15</f>
        <v>10754</v>
      </c>
      <c r="L15" s="26">
        <f>+'mzo 1er'!L15+'MARZ 2A'!L15</f>
        <v>0</v>
      </c>
      <c r="M15" s="26">
        <f>+'mzo 1er'!M15+'MARZ 2A'!M15</f>
        <v>0</v>
      </c>
      <c r="N15" s="26">
        <f>+'mzo 1er'!N15+'MARZ 2A'!N15</f>
        <v>0</v>
      </c>
      <c r="O15" s="28">
        <f t="shared" ref="O15" si="3">SUM(E15:M15)</f>
        <v>25589.919999999998</v>
      </c>
      <c r="P15" s="26">
        <f>+'mzo 1er'!P15+'MARZ 2A'!P15</f>
        <v>3693.97</v>
      </c>
      <c r="Q15" s="26">
        <f>+'mzo 1er'!Q15+'MARZ 2A'!Q15</f>
        <v>1484.0519999999999</v>
      </c>
      <c r="R15" s="26">
        <f>+'mzo 1er'!R15+'MARZ 2A'!R15</f>
        <v>0</v>
      </c>
      <c r="S15" s="26">
        <f>+'mzo 1er'!S15+'MARZ 2A'!S15</f>
        <v>0</v>
      </c>
      <c r="T15" s="26">
        <f>+'mzo 1er'!T15+'MARZ 2A'!T15</f>
        <v>0</v>
      </c>
      <c r="U15" s="26">
        <f>+'mzo 1er'!U15+'MARZ 2A'!U15</f>
        <v>3399.58</v>
      </c>
      <c r="V15" s="26">
        <f>+'mzo 1er'!V15+'MARZ 2A'!V15</f>
        <v>0</v>
      </c>
      <c r="W15" s="28">
        <f t="shared" si="0"/>
        <v>8577.601999999999</v>
      </c>
      <c r="X15" s="29">
        <f t="shared" si="1"/>
        <v>17012.317999999999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f>+'mzo 1er'!E16+'MARZ 2A'!E16</f>
        <v>13966.8</v>
      </c>
      <c r="F16" s="35">
        <f>+'mzo 1er'!F16+'MARZ 2A'!F16</f>
        <v>0</v>
      </c>
      <c r="G16" s="35">
        <f>+'mzo 1er'!G16+'MARZ 2A'!G16</f>
        <v>0</v>
      </c>
      <c r="H16" s="35">
        <f>+'mzo 1er'!H16+'MARZ 2A'!H16</f>
        <v>722</v>
      </c>
      <c r="I16" s="35">
        <f>+'mzo 1er'!I16+'MARZ 2A'!I16</f>
        <v>1163</v>
      </c>
      <c r="J16" s="35">
        <f>+'mzo 1er'!J16+'MARZ 2A'!J16</f>
        <v>219.12</v>
      </c>
      <c r="K16" s="35">
        <f>+'mzo 1er'!K16+'MARZ 2A'!K16</f>
        <v>11639</v>
      </c>
      <c r="L16" s="35">
        <f>+'mzo 1er'!L16+'MARZ 2A'!L16</f>
        <v>0</v>
      </c>
      <c r="M16" s="35">
        <f>+'mzo 1er'!M16+'MARZ 2A'!M16</f>
        <v>0</v>
      </c>
      <c r="N16" s="35">
        <f>+'mzo 1er'!N16+'MARZ 2A'!N16</f>
        <v>0</v>
      </c>
      <c r="O16" s="35">
        <f>+'mzo 1er'!O16+'MARZ 2A'!O16</f>
        <v>27709.919999999998</v>
      </c>
      <c r="P16" s="35">
        <f>+'mzo 1er'!P16+'MARZ 2A'!P16</f>
        <v>4179.3900000000003</v>
      </c>
      <c r="Q16" s="35">
        <f>+'mzo 1er'!Q16+'MARZ 2A'!Q16</f>
        <v>1606.19</v>
      </c>
      <c r="R16" s="35">
        <f>+'mzo 1er'!R16+'MARZ 2A'!R16</f>
        <v>0</v>
      </c>
      <c r="S16" s="35">
        <f>+'mzo 1er'!S16+'MARZ 2A'!S16</f>
        <v>0</v>
      </c>
      <c r="T16" s="35">
        <f>+'mzo 1er'!T16+'MARZ 2A'!T16</f>
        <v>0</v>
      </c>
      <c r="U16" s="35">
        <f>+'mzo 1er'!U16+'MARZ 2A'!U16</f>
        <v>4656</v>
      </c>
      <c r="V16" s="35">
        <f>+'mzo 1er'!V16+'MARZ 2A'!V16</f>
        <v>0</v>
      </c>
      <c r="W16" s="37">
        <f t="shared" si="0"/>
        <v>10441.58</v>
      </c>
      <c r="X16" s="38">
        <f t="shared" si="1"/>
        <v>17268.339999999997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f>+'mzo 1er'!E17+'MARZ 2A'!E17</f>
        <v>7680.9</v>
      </c>
      <c r="F17" s="26">
        <f>+'mzo 1er'!F17+'MARZ 2A'!F17</f>
        <v>0</v>
      </c>
      <c r="G17" s="26">
        <f>+'mzo 1er'!G17+'MARZ 2A'!G17</f>
        <v>0</v>
      </c>
      <c r="H17" s="26">
        <f>+'mzo 1er'!H17+'MARZ 2A'!H17</f>
        <v>343</v>
      </c>
      <c r="I17" s="26">
        <f>+'mzo 1er'!I17+'MARZ 2A'!I17</f>
        <v>556</v>
      </c>
      <c r="J17" s="26">
        <f>+'mzo 1er'!J17+'MARZ 2A'!J17</f>
        <v>146.08000000000001</v>
      </c>
      <c r="K17" s="26">
        <f>+'mzo 1er'!K17+'MARZ 2A'!K17</f>
        <v>6400.75</v>
      </c>
      <c r="L17" s="26">
        <f>+'mzo 1er'!L17+'MARZ 2A'!L17</f>
        <v>0</v>
      </c>
      <c r="M17" s="26">
        <f>+'mzo 1er'!M17+'MARZ 2A'!M17</f>
        <v>0</v>
      </c>
      <c r="N17" s="26">
        <f>+'mzo 1er'!N17+'MARZ 2A'!N17</f>
        <v>0</v>
      </c>
      <c r="O17" s="28">
        <f t="shared" ref="O17" si="4">SUM(E17:M17)</f>
        <v>15126.73</v>
      </c>
      <c r="P17" s="26">
        <f>+'mzo 1er'!P17+'MARZ 2A'!P17</f>
        <v>1467.26</v>
      </c>
      <c r="Q17" s="26">
        <f>+'mzo 1er'!Q17+'MARZ 2A'!Q17</f>
        <v>883.30349999999999</v>
      </c>
      <c r="R17" s="26">
        <f>+'mzo 1er'!R17+'MARZ 2A'!R17</f>
        <v>0</v>
      </c>
      <c r="S17" s="26">
        <f>+'mzo 1er'!S17+'MARZ 2A'!S17</f>
        <v>0</v>
      </c>
      <c r="T17" s="26">
        <f>+'mzo 1er'!T17+'MARZ 2A'!T17</f>
        <v>0</v>
      </c>
      <c r="U17" s="26">
        <f>+'mzo 1er'!U17+'MARZ 2A'!U17</f>
        <v>0</v>
      </c>
      <c r="V17" s="26">
        <f>+'mzo 1er'!V17+'MARZ 2A'!V17</f>
        <v>0</v>
      </c>
      <c r="W17" s="28">
        <f t="shared" si="0"/>
        <v>2350.5635000000002</v>
      </c>
      <c r="X17" s="29">
        <f t="shared" si="1"/>
        <v>12776.166499999999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f>+'mzo 1er'!E18+'MARZ 2A'!E18</f>
        <v>7680.9</v>
      </c>
      <c r="F18" s="35">
        <f>+'mzo 1er'!F18+'MARZ 2A'!F18</f>
        <v>0</v>
      </c>
      <c r="G18" s="35">
        <f>+'mzo 1er'!G18+'MARZ 2A'!G18</f>
        <v>0</v>
      </c>
      <c r="H18" s="35">
        <f>+'mzo 1er'!H18+'MARZ 2A'!H18</f>
        <v>343</v>
      </c>
      <c r="I18" s="35">
        <f>+'mzo 1er'!I18+'MARZ 2A'!I18</f>
        <v>556</v>
      </c>
      <c r="J18" s="35">
        <f>+'mzo 1er'!J18+'MARZ 2A'!J18</f>
        <v>219.12</v>
      </c>
      <c r="K18" s="35">
        <f>+'mzo 1er'!K18+'MARZ 2A'!K18</f>
        <v>6400.75</v>
      </c>
      <c r="L18" s="35">
        <f>+'mzo 1er'!L18+'MARZ 2A'!L18</f>
        <v>0</v>
      </c>
      <c r="M18" s="35">
        <f>+'mzo 1er'!M18+'MARZ 2A'!M18</f>
        <v>0</v>
      </c>
      <c r="N18" s="35">
        <f>+'mzo 1er'!N18+'MARZ 2A'!N18</f>
        <v>0</v>
      </c>
      <c r="O18" s="35">
        <f>+'mzo 1er'!O18+'MARZ 2A'!O18</f>
        <v>15199.77</v>
      </c>
      <c r="P18" s="35">
        <f>+'mzo 1er'!P18+'MARZ 2A'!P18</f>
        <v>1467.3799999999999</v>
      </c>
      <c r="Q18" s="35">
        <f>+'mzo 1er'!Q18+'MARZ 2A'!Q18</f>
        <v>883.30349999999999</v>
      </c>
      <c r="R18" s="35">
        <f>+'mzo 1er'!R18+'MARZ 2A'!R18</f>
        <v>0</v>
      </c>
      <c r="S18" s="35">
        <f>+'mzo 1er'!S18+'MARZ 2A'!S18</f>
        <v>0</v>
      </c>
      <c r="T18" s="35">
        <f>+'mzo 1er'!T18+'MARZ 2A'!T18</f>
        <v>0</v>
      </c>
      <c r="U18" s="35">
        <f>+'mzo 1er'!U18+'MARZ 2A'!U18</f>
        <v>2562</v>
      </c>
      <c r="V18" s="35">
        <f>+'mzo 1er'!V18+'MARZ 2A'!V18</f>
        <v>0</v>
      </c>
      <c r="W18" s="37">
        <f t="shared" si="0"/>
        <v>4912.6835000000001</v>
      </c>
      <c r="X18" s="38">
        <f t="shared" si="1"/>
        <v>10287.086500000001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f>+'mzo 1er'!E19+'MARZ 2A'!E19</f>
        <v>9478.7999999999993</v>
      </c>
      <c r="F19" s="26">
        <f>+'mzo 1er'!F19+'MARZ 2A'!F19</f>
        <v>0</v>
      </c>
      <c r="G19" s="26">
        <f>+'mzo 1er'!G19+'MARZ 2A'!G19</f>
        <v>0</v>
      </c>
      <c r="H19" s="26">
        <f>+'mzo 1er'!H19+'MARZ 2A'!H19</f>
        <v>455</v>
      </c>
      <c r="I19" s="26">
        <f>+'mzo 1er'!I19+'MARZ 2A'!I19</f>
        <v>737</v>
      </c>
      <c r="J19" s="26">
        <f>+'mzo 1er'!J19+'MARZ 2A'!J19</f>
        <v>411.16</v>
      </c>
      <c r="K19" s="26">
        <f>+'mzo 1er'!K19+'MARZ 2A'!K19</f>
        <v>7899</v>
      </c>
      <c r="L19" s="26">
        <f>+'mzo 1er'!L19+'MARZ 2A'!L19</f>
        <v>0</v>
      </c>
      <c r="M19" s="26">
        <f>+'mzo 1er'!M19+'MARZ 2A'!M19</f>
        <v>0</v>
      </c>
      <c r="N19" s="26">
        <f>+'mzo 1er'!N19+'MARZ 2A'!N19</f>
        <v>0</v>
      </c>
      <c r="O19" s="28">
        <f t="shared" ref="O19" si="5">SUM(E19:M19)</f>
        <v>18980.96</v>
      </c>
      <c r="P19" s="26">
        <f>+'mzo 1er'!P19+'MARZ 2A'!P19</f>
        <v>2185.41</v>
      </c>
      <c r="Q19" s="26">
        <f>+'mzo 1er'!Q19+'MARZ 2A'!Q19</f>
        <v>1090.0619999999999</v>
      </c>
      <c r="R19" s="26">
        <f>+'mzo 1er'!R19+'MARZ 2A'!R19</f>
        <v>0</v>
      </c>
      <c r="S19" s="26">
        <f>+'mzo 1er'!S19+'MARZ 2A'!S19</f>
        <v>0</v>
      </c>
      <c r="T19" s="26">
        <f>+'mzo 1er'!T19+'MARZ 2A'!T19</f>
        <v>0</v>
      </c>
      <c r="U19" s="26">
        <f>+'mzo 1er'!U19+'MARZ 2A'!U19</f>
        <v>0</v>
      </c>
      <c r="V19" s="26">
        <f>+'mzo 1er'!V19+'MARZ 2A'!V19</f>
        <v>0</v>
      </c>
      <c r="W19" s="28">
        <f t="shared" si="0"/>
        <v>3275.4719999999998</v>
      </c>
      <c r="X19" s="29">
        <f t="shared" si="1"/>
        <v>15705.487999999999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f>+'mzo 1er'!E20+'MARZ 2A'!E20</f>
        <v>12904.8</v>
      </c>
      <c r="F20" s="35">
        <f>+'mzo 1er'!F20+'MARZ 2A'!F20</f>
        <v>0</v>
      </c>
      <c r="G20" s="35">
        <f>+'mzo 1er'!G20+'MARZ 2A'!G20</f>
        <v>0</v>
      </c>
      <c r="H20" s="35">
        <f>+'mzo 1er'!H20+'MARZ 2A'!H20</f>
        <v>666</v>
      </c>
      <c r="I20" s="35">
        <f>+'mzo 1er'!I20+'MARZ 2A'!I20</f>
        <v>1046</v>
      </c>
      <c r="J20" s="35">
        <f>+'mzo 1er'!J20+'MARZ 2A'!J20</f>
        <v>146.08000000000001</v>
      </c>
      <c r="K20" s="35">
        <f>+'mzo 1er'!K20+'MARZ 2A'!K20</f>
        <v>10754</v>
      </c>
      <c r="L20" s="35">
        <f>+'mzo 1er'!L20+'MARZ 2A'!L20</f>
        <v>0</v>
      </c>
      <c r="M20" s="35">
        <f>+'mzo 1er'!M20+'MARZ 2A'!M20</f>
        <v>0</v>
      </c>
      <c r="N20" s="35">
        <f>+'mzo 1er'!N20+'MARZ 2A'!N20</f>
        <v>0</v>
      </c>
      <c r="O20" s="35">
        <f>+'mzo 1er'!O20+'MARZ 2A'!O20</f>
        <v>25516.879999999997</v>
      </c>
      <c r="P20" s="35">
        <f>+'mzo 1er'!P20+'MARZ 2A'!P20</f>
        <v>3694.0499999999997</v>
      </c>
      <c r="Q20" s="35">
        <f>+'mzo 1er'!Q20+'MARZ 2A'!Q20</f>
        <v>1484.0519999999999</v>
      </c>
      <c r="R20" s="35">
        <f>+'mzo 1er'!R20+'MARZ 2A'!R20</f>
        <v>0</v>
      </c>
      <c r="S20" s="35">
        <f>+'mzo 1er'!S20+'MARZ 2A'!S20</f>
        <v>0</v>
      </c>
      <c r="T20" s="35">
        <f>+'mzo 1er'!T20+'MARZ 2A'!T20</f>
        <v>0</v>
      </c>
      <c r="U20" s="35">
        <f>+'mzo 1er'!U20+'MARZ 2A'!U20</f>
        <v>3276.79</v>
      </c>
      <c r="V20" s="35">
        <f>+'mzo 1er'!V20+'MARZ 2A'!V20</f>
        <v>0</v>
      </c>
      <c r="W20" s="37">
        <f t="shared" si="0"/>
        <v>8454.8919999999998</v>
      </c>
      <c r="X20" s="38">
        <f t="shared" si="1"/>
        <v>17061.987999999998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26">
        <f>+'mzo 1er'!E21+'MARZ 2A'!E21</f>
        <v>13966.8</v>
      </c>
      <c r="F21" s="26">
        <f>+'mzo 1er'!F21+'MARZ 2A'!F21</f>
        <v>0</v>
      </c>
      <c r="G21" s="26">
        <f>+'mzo 1er'!G21+'MARZ 2A'!G21</f>
        <v>0</v>
      </c>
      <c r="H21" s="26">
        <f>+'mzo 1er'!H21+'MARZ 2A'!H21</f>
        <v>722</v>
      </c>
      <c r="I21" s="26">
        <f>+'mzo 1er'!I21+'MARZ 2A'!I21</f>
        <v>1163</v>
      </c>
      <c r="J21" s="26">
        <f>+'mzo 1er'!J21+'MARZ 2A'!J21</f>
        <v>182.60000000000002</v>
      </c>
      <c r="K21" s="26">
        <f>+'mzo 1er'!K21+'MARZ 2A'!K21</f>
        <v>11639</v>
      </c>
      <c r="L21" s="26">
        <f>+'mzo 1er'!L21+'MARZ 2A'!L21</f>
        <v>0</v>
      </c>
      <c r="M21" s="26">
        <f>+'mzo 1er'!M21+'MARZ 2A'!M21</f>
        <v>0</v>
      </c>
      <c r="N21" s="26">
        <f>+'mzo 1er'!N21+'MARZ 2A'!N21</f>
        <v>0</v>
      </c>
      <c r="O21" s="28">
        <f t="shared" ref="O21" si="6">SUM(E21:M21)</f>
        <v>27673.4</v>
      </c>
      <c r="P21" s="26">
        <f>+'mzo 1er'!P21+'MARZ 2A'!P21</f>
        <v>4179.46</v>
      </c>
      <c r="Q21" s="26">
        <f>+'mzo 1er'!Q21+'MARZ 2A'!Q21</f>
        <v>1606.191</v>
      </c>
      <c r="R21" s="26">
        <f>+'mzo 1er'!R21+'MARZ 2A'!R21</f>
        <v>0</v>
      </c>
      <c r="S21" s="26">
        <f>+'mzo 1er'!S21+'MARZ 2A'!S21</f>
        <v>0</v>
      </c>
      <c r="T21" s="26">
        <f>+'mzo 1er'!T21+'MARZ 2A'!T21</f>
        <v>0</v>
      </c>
      <c r="U21" s="26">
        <f>+'mzo 1er'!U21+'MARZ 2A'!U21</f>
        <v>3629.23</v>
      </c>
      <c r="V21" s="26">
        <f>+'mzo 1er'!V21+'MARZ 2A'!V21</f>
        <v>0</v>
      </c>
      <c r="W21" s="37">
        <f t="shared" si="0"/>
        <v>9414.8809999999994</v>
      </c>
      <c r="X21" s="38">
        <f t="shared" si="1"/>
        <v>18258.519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35">
        <f>+'mzo 1er'!E22+'MARZ 2A'!E22</f>
        <v>12537</v>
      </c>
      <c r="F22" s="35">
        <f>+'mzo 1er'!F22+'MARZ 2A'!F22</f>
        <v>0</v>
      </c>
      <c r="G22" s="35">
        <f>+'mzo 1er'!G22+'MARZ 2A'!G22</f>
        <v>0</v>
      </c>
      <c r="H22" s="35">
        <f>+'mzo 1er'!H22+'MARZ 2A'!H22</f>
        <v>661</v>
      </c>
      <c r="I22" s="35">
        <f>+'mzo 1er'!I22+'MARZ 2A'!I22</f>
        <v>957</v>
      </c>
      <c r="J22" s="35">
        <f>+'mzo 1er'!J22+'MARZ 2A'!J22</f>
        <v>292.16000000000003</v>
      </c>
      <c r="K22" s="35">
        <f>+'mzo 1er'!K22+'MARZ 2A'!K22</f>
        <v>10447.5</v>
      </c>
      <c r="L22" s="35">
        <f>+'mzo 1er'!L22+'MARZ 2A'!L22</f>
        <v>0</v>
      </c>
      <c r="M22" s="35">
        <f>+'mzo 1er'!M22+'MARZ 2A'!M22</f>
        <v>0</v>
      </c>
      <c r="N22" s="35">
        <f>+'mzo 1er'!N22+'MARZ 2A'!N22</f>
        <v>0</v>
      </c>
      <c r="O22" s="35">
        <f>+'mzo 1er'!O22+'MARZ 2A'!O22</f>
        <v>24894.660000000003</v>
      </c>
      <c r="P22" s="35">
        <f>+'mzo 1er'!P22+'MARZ 2A'!P22</f>
        <v>3518.34</v>
      </c>
      <c r="Q22" s="35">
        <f>+'mzo 1er'!Q22+'MARZ 2A'!Q22</f>
        <v>1441.76</v>
      </c>
      <c r="R22" s="35">
        <f>+'mzo 1er'!R22+'MARZ 2A'!R22</f>
        <v>0</v>
      </c>
      <c r="S22" s="35">
        <f>+'mzo 1er'!S22+'MARZ 2A'!S22</f>
        <v>0</v>
      </c>
      <c r="T22" s="35">
        <f>+'mzo 1er'!T22+'MARZ 2A'!T22</f>
        <v>0</v>
      </c>
      <c r="U22" s="35">
        <f>+'mzo 1er'!U22+'MARZ 2A'!U22</f>
        <v>4180</v>
      </c>
      <c r="V22" s="35">
        <f>+'mzo 1er'!V22+'MARZ 2A'!V22</f>
        <v>0</v>
      </c>
      <c r="W22" s="28">
        <f t="shared" si="0"/>
        <v>9140.1</v>
      </c>
      <c r="X22" s="29">
        <f>+O22-W22</f>
        <v>15754.560000000003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26">
        <f>+'mzo 1er'!E23+'MARZ 2A'!E23</f>
        <v>9478.7999999999993</v>
      </c>
      <c r="F23" s="26">
        <f>+'mzo 1er'!F23+'MARZ 2A'!F23</f>
        <v>0</v>
      </c>
      <c r="G23" s="26">
        <f>+'mzo 1er'!G23+'MARZ 2A'!G23</f>
        <v>0</v>
      </c>
      <c r="H23" s="26">
        <f>+'mzo 1er'!H23+'MARZ 2A'!H23</f>
        <v>455</v>
      </c>
      <c r="I23" s="26">
        <f>+'mzo 1er'!I23+'MARZ 2A'!I23</f>
        <v>737</v>
      </c>
      <c r="J23" s="26">
        <f>+'mzo 1er'!J23+'MARZ 2A'!J23</f>
        <v>160.08000000000001</v>
      </c>
      <c r="K23" s="26">
        <f>+'mzo 1er'!K23+'MARZ 2A'!K23</f>
        <v>7899</v>
      </c>
      <c r="L23" s="26">
        <f>+'mzo 1er'!L23+'MARZ 2A'!L23</f>
        <v>0</v>
      </c>
      <c r="M23" s="26">
        <f>+'mzo 1er'!M23+'MARZ 2A'!M23</f>
        <v>0</v>
      </c>
      <c r="N23" s="26">
        <f>+'mzo 1er'!N23+'MARZ 2A'!N23</f>
        <v>0</v>
      </c>
      <c r="O23" s="28">
        <f t="shared" ref="O23" si="7">SUM(E23:M23)</f>
        <v>18729.879999999997</v>
      </c>
      <c r="P23" s="26">
        <f>+'mzo 1er'!P23+'MARZ 2A'!P23</f>
        <v>2185.27</v>
      </c>
      <c r="Q23" s="26">
        <f>+'mzo 1er'!Q23+'MARZ 2A'!Q23</f>
        <v>1090.0619999999999</v>
      </c>
      <c r="R23" s="26">
        <f>+'mzo 1er'!R23+'MARZ 2A'!R23</f>
        <v>0</v>
      </c>
      <c r="S23" s="26">
        <f>+'mzo 1er'!S23+'MARZ 2A'!S23</f>
        <v>0</v>
      </c>
      <c r="T23" s="26">
        <f>+'mzo 1er'!T23+'MARZ 2A'!T23</f>
        <v>0</v>
      </c>
      <c r="U23" s="26">
        <f>+'mzo 1er'!U23+'MARZ 2A'!U23</f>
        <v>3128</v>
      </c>
      <c r="V23" s="26">
        <f>+'mzo 1er'!V23+'MARZ 2A'!V23</f>
        <v>0</v>
      </c>
      <c r="W23" s="37">
        <f>SUM(P23:V23)</f>
        <v>6403.3320000000003</v>
      </c>
      <c r="X23" s="38">
        <f>+O23-W23</f>
        <v>12326.547999999997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35">
        <f>+'mzo 1er'!E24+'MARZ 2A'!E24</f>
        <v>76938</v>
      </c>
      <c r="F24" s="35">
        <f>+'mzo 1er'!F24+'MARZ 2A'!F24</f>
        <v>0</v>
      </c>
      <c r="G24" s="35">
        <f>+'mzo 1er'!G24+'MARZ 2A'!G24</f>
        <v>0</v>
      </c>
      <c r="H24" s="35">
        <f>+'mzo 1er'!H24+'MARZ 2A'!H24</f>
        <v>0</v>
      </c>
      <c r="I24" s="35">
        <f>+'mzo 1er'!I24+'MARZ 2A'!I24</f>
        <v>0</v>
      </c>
      <c r="J24" s="35">
        <f>+'mzo 1er'!J24+'MARZ 2A'!J24</f>
        <v>0</v>
      </c>
      <c r="K24" s="35">
        <f>+'mzo 1er'!K24+'MARZ 2A'!K24</f>
        <v>64115</v>
      </c>
      <c r="L24" s="35">
        <f>+'mzo 1er'!L24+'MARZ 2A'!L24</f>
        <v>0</v>
      </c>
      <c r="M24" s="35">
        <f>+'mzo 1er'!M24+'MARZ 2A'!M24</f>
        <v>0</v>
      </c>
      <c r="N24" s="35">
        <f>+'mzo 1er'!N24+'MARZ 2A'!N24</f>
        <v>0</v>
      </c>
      <c r="O24" s="35">
        <f>+'mzo 1er'!O24+'MARZ 2A'!O24</f>
        <v>141053</v>
      </c>
      <c r="P24" s="35">
        <f>+'mzo 1er'!P24+'MARZ 2A'!P24</f>
        <v>39684.31</v>
      </c>
      <c r="Q24" s="35">
        <f>+'mzo 1er'!Q24+'MARZ 2A'!Q24</f>
        <v>8847.8700000000008</v>
      </c>
      <c r="R24" s="35">
        <f>+'mzo 1er'!R24+'MARZ 2A'!R24</f>
        <v>0</v>
      </c>
      <c r="S24" s="35">
        <f>+'mzo 1er'!S24+'MARZ 2A'!S24</f>
        <v>0</v>
      </c>
      <c r="T24" s="35">
        <f>+'mzo 1er'!T24+'MARZ 2A'!T24</f>
        <v>0</v>
      </c>
      <c r="U24" s="35">
        <f>+'mzo 1er'!U24+'MARZ 2A'!U24</f>
        <v>0</v>
      </c>
      <c r="V24" s="35">
        <f>+'mzo 1er'!V24+'MARZ 2A'!V24</f>
        <v>0</v>
      </c>
      <c r="W24" s="28">
        <f>SUM(P24:V24)</f>
        <v>48532.18</v>
      </c>
      <c r="X24" s="29">
        <f>+O24-W24-0.01</f>
        <v>92520.810000000012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26">
        <f>+'mzo 1er'!E25+'MARZ 2A'!E25</f>
        <v>27627</v>
      </c>
      <c r="F25" s="26">
        <f>+'mzo 1er'!F25+'MARZ 2A'!F25</f>
        <v>0</v>
      </c>
      <c r="G25" s="26">
        <f>+'mzo 1er'!G25+'MARZ 2A'!G25</f>
        <v>0</v>
      </c>
      <c r="H25" s="26">
        <f>+'mzo 1er'!H25+'MARZ 2A'!H25</f>
        <v>1119</v>
      </c>
      <c r="I25" s="26">
        <f>+'mzo 1er'!I25+'MARZ 2A'!I25</f>
        <v>1664</v>
      </c>
      <c r="J25" s="26">
        <f>+'mzo 1er'!J25+'MARZ 2A'!J25</f>
        <v>0</v>
      </c>
      <c r="K25" s="26">
        <f>+'mzo 1er'!K25+'MARZ 2A'!K25</f>
        <v>23022.5</v>
      </c>
      <c r="L25" s="26">
        <f>+'mzo 1er'!L25+'MARZ 2A'!L25</f>
        <v>0</v>
      </c>
      <c r="M25" s="26">
        <f>+'mzo 1er'!M25+'MARZ 2A'!M25</f>
        <v>0</v>
      </c>
      <c r="N25" s="26">
        <f>+'mzo 1er'!N25+'MARZ 2A'!N25</f>
        <v>0</v>
      </c>
      <c r="O25" s="28">
        <f t="shared" ref="O25" si="8">SUM(E25:M25)</f>
        <v>53432.5</v>
      </c>
      <c r="P25" s="26">
        <f>+'mzo 1er'!P25+'MARZ 2A'!P25</f>
        <v>11277.42</v>
      </c>
      <c r="Q25" s="26">
        <f>+'mzo 1er'!Q25+'MARZ 2A'!Q25</f>
        <v>3177.105</v>
      </c>
      <c r="R25" s="26">
        <f>+'mzo 1er'!R25+'MARZ 2A'!R25</f>
        <v>0</v>
      </c>
      <c r="S25" s="26">
        <f>+'mzo 1er'!S25+'MARZ 2A'!S25</f>
        <v>0</v>
      </c>
      <c r="T25" s="26">
        <f>+'mzo 1er'!T25+'MARZ 2A'!T25</f>
        <v>0</v>
      </c>
      <c r="U25" s="26">
        <f>+'mzo 1er'!U25+'MARZ 2A'!U25</f>
        <v>0</v>
      </c>
      <c r="V25" s="26">
        <f>+'mzo 1er'!V25+'MARZ 2A'!V25</f>
        <v>0</v>
      </c>
      <c r="W25" s="37">
        <f>SUM(P25:V25)</f>
        <v>14454.525</v>
      </c>
      <c r="X25" s="38">
        <f>+O25-W25</f>
        <v>38977.974999999999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35">
        <f>+'mzo 1er'!E26+'MARZ 2A'!E26</f>
        <v>27627</v>
      </c>
      <c r="F26" s="35">
        <f>+'mzo 1er'!F26+'MARZ 2A'!F26</f>
        <v>0</v>
      </c>
      <c r="G26" s="35">
        <f>+'mzo 1er'!G26+'MARZ 2A'!G26</f>
        <v>0</v>
      </c>
      <c r="H26" s="35">
        <f>+'mzo 1er'!H26+'MARZ 2A'!H26</f>
        <v>1119</v>
      </c>
      <c r="I26" s="35">
        <f>+'mzo 1er'!I26+'MARZ 2A'!I26</f>
        <v>1664</v>
      </c>
      <c r="J26" s="35">
        <f>+'mzo 1er'!J26+'MARZ 2A'!J26</f>
        <v>0</v>
      </c>
      <c r="K26" s="35">
        <f>+'mzo 1er'!K26+'MARZ 2A'!K26</f>
        <v>23022.5</v>
      </c>
      <c r="L26" s="35">
        <f>+'mzo 1er'!L26+'MARZ 2A'!L26</f>
        <v>0</v>
      </c>
      <c r="M26" s="35">
        <f>+'mzo 1er'!M26+'MARZ 2A'!M26</f>
        <v>0</v>
      </c>
      <c r="N26" s="35">
        <f>+'mzo 1er'!N26+'MARZ 2A'!N26</f>
        <v>0</v>
      </c>
      <c r="O26" s="35">
        <f>+'mzo 1er'!O26+'MARZ 2A'!O26</f>
        <v>53432.5</v>
      </c>
      <c r="P26" s="35">
        <f>+'mzo 1er'!P26+'MARZ 2A'!P26</f>
        <v>11277.42</v>
      </c>
      <c r="Q26" s="35">
        <f>+'mzo 1er'!Q26+'MARZ 2A'!Q26</f>
        <v>3177.105</v>
      </c>
      <c r="R26" s="35">
        <f>+'mzo 1er'!R26+'MARZ 2A'!R26</f>
        <v>0</v>
      </c>
      <c r="S26" s="35">
        <f>+'mzo 1er'!S26+'MARZ 2A'!S26</f>
        <v>0</v>
      </c>
      <c r="T26" s="35">
        <f>+'mzo 1er'!T26+'MARZ 2A'!T26</f>
        <v>0</v>
      </c>
      <c r="U26" s="35">
        <f>+'mzo 1er'!U26+'MARZ 2A'!U26</f>
        <v>6851.17</v>
      </c>
      <c r="V26" s="35">
        <f>+'mzo 1er'!V26+'MARZ 2A'!V26</f>
        <v>0</v>
      </c>
      <c r="W26" s="28">
        <f>SUM(P26:V26)</f>
        <v>21305.695</v>
      </c>
      <c r="X26" s="29">
        <f>+O26-W26</f>
        <v>32126.805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26">
        <f>+'mzo 1er'!E27+'MARZ 2A'!E27</f>
        <v>17212.8</v>
      </c>
      <c r="F27" s="26">
        <f>+'mzo 1er'!F27+'MARZ 2A'!F27</f>
        <v>0</v>
      </c>
      <c r="G27" s="26">
        <f>+'mzo 1er'!G27+'MARZ 2A'!G27</f>
        <v>0</v>
      </c>
      <c r="H27" s="26">
        <f>+'mzo 1er'!H27+'MARZ 2A'!H27</f>
        <v>779</v>
      </c>
      <c r="I27" s="26">
        <f>+'mzo 1er'!I27+'MARZ 2A'!I27</f>
        <v>1247</v>
      </c>
      <c r="J27" s="26">
        <f>+'mzo 1er'!J27+'MARZ 2A'!J27</f>
        <v>0</v>
      </c>
      <c r="K27" s="26">
        <f>+'mzo 1er'!K27+'MARZ 2A'!K27</f>
        <v>14344</v>
      </c>
      <c r="L27" s="26">
        <f>+'mzo 1er'!L27+'MARZ 2A'!L27</f>
        <v>0</v>
      </c>
      <c r="M27" s="26">
        <f>+'mzo 1er'!M27+'MARZ 2A'!M27</f>
        <v>0</v>
      </c>
      <c r="N27" s="26">
        <f>+'mzo 1er'!N27+'MARZ 2A'!N27</f>
        <v>0</v>
      </c>
      <c r="O27" s="28">
        <f t="shared" ref="O27" si="9">SUM(E27:M27)</f>
        <v>33582.800000000003</v>
      </c>
      <c r="P27" s="26">
        <f>+'mzo 1er'!P27+'MARZ 2A'!P27</f>
        <v>5734.79</v>
      </c>
      <c r="Q27" s="26">
        <f>+'mzo 1er'!Q27+'MARZ 2A'!Q27</f>
        <v>1979.49</v>
      </c>
      <c r="R27" s="26">
        <f>+'mzo 1er'!R27+'MARZ 2A'!R27</f>
        <v>0</v>
      </c>
      <c r="S27" s="26">
        <f>+'mzo 1er'!S27+'MARZ 2A'!S27</f>
        <v>0</v>
      </c>
      <c r="T27" s="26">
        <f>+'mzo 1er'!T27+'MARZ 2A'!T27</f>
        <v>0</v>
      </c>
      <c r="U27" s="26">
        <f>+'mzo 1er'!U27+'MARZ 2A'!U27</f>
        <v>0</v>
      </c>
      <c r="V27" s="26">
        <f>+'mzo 1er'!V27+'MARZ 2A'!V27</f>
        <v>0</v>
      </c>
      <c r="W27" s="37">
        <f t="shared" ref="W27:W36" si="10">SUM(P27:V27)</f>
        <v>7714.28</v>
      </c>
      <c r="X27" s="38">
        <f t="shared" ref="X27:X36" si="11">+O27-W27</f>
        <v>25868.520000000004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35">
        <f>+'mzo 1er'!E28+'MARZ 2A'!E28</f>
        <v>13966.8</v>
      </c>
      <c r="F28" s="35">
        <f>+'mzo 1er'!F28+'MARZ 2A'!F28</f>
        <v>0</v>
      </c>
      <c r="G28" s="35">
        <f>+'mzo 1er'!G28+'MARZ 2A'!G28</f>
        <v>0</v>
      </c>
      <c r="H28" s="35">
        <f>+'mzo 1er'!H28+'MARZ 2A'!H28</f>
        <v>1163</v>
      </c>
      <c r="I28" s="35">
        <f>+'mzo 1er'!I28+'MARZ 2A'!I28</f>
        <v>722</v>
      </c>
      <c r="J28" s="35">
        <f>+'mzo 1er'!J28+'MARZ 2A'!J28</f>
        <v>0</v>
      </c>
      <c r="K28" s="35">
        <f>+'mzo 1er'!K28+'MARZ 2A'!K28</f>
        <v>11639</v>
      </c>
      <c r="L28" s="35">
        <f>+'mzo 1er'!L28+'MARZ 2A'!L28</f>
        <v>0</v>
      </c>
      <c r="M28" s="35">
        <f>+'mzo 1er'!M28+'MARZ 2A'!M28</f>
        <v>0</v>
      </c>
      <c r="N28" s="35">
        <f>+'mzo 1er'!N28+'MARZ 2A'!N28</f>
        <v>0</v>
      </c>
      <c r="O28" s="35">
        <f>+'mzo 1er'!O28+'MARZ 2A'!O28</f>
        <v>27490.800000000003</v>
      </c>
      <c r="P28" s="35">
        <f>+'mzo 1er'!P28+'MARZ 2A'!P28</f>
        <v>4179.24</v>
      </c>
      <c r="Q28" s="35">
        <f>+'mzo 1er'!Q28+'MARZ 2A'!Q28</f>
        <v>1606.182</v>
      </c>
      <c r="R28" s="35">
        <f>+'mzo 1er'!R28+'MARZ 2A'!R28</f>
        <v>0</v>
      </c>
      <c r="S28" s="35">
        <f>+'mzo 1er'!S28+'MARZ 2A'!S28</f>
        <v>0</v>
      </c>
      <c r="T28" s="35">
        <f>+'mzo 1er'!T28+'MARZ 2A'!T28</f>
        <v>0</v>
      </c>
      <c r="U28" s="35">
        <f>+'mzo 1er'!U28+'MARZ 2A'!U28</f>
        <v>0</v>
      </c>
      <c r="V28" s="35">
        <f>+'mzo 1er'!V28+'MARZ 2A'!V28</f>
        <v>0</v>
      </c>
      <c r="W28" s="28">
        <f t="shared" si="10"/>
        <v>5785.4219999999996</v>
      </c>
      <c r="X28" s="29">
        <f t="shared" si="11"/>
        <v>21705.378000000004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26">
        <f>+'mzo 1er'!E29+'MARZ 2A'!E29</f>
        <v>7680.9</v>
      </c>
      <c r="F29" s="26">
        <f>+'mzo 1er'!F29+'MARZ 2A'!F29</f>
        <v>0</v>
      </c>
      <c r="G29" s="26">
        <f>+'mzo 1er'!G29+'MARZ 2A'!G29</f>
        <v>0</v>
      </c>
      <c r="H29" s="26">
        <f>+'mzo 1er'!H29+'MARZ 2A'!H29</f>
        <v>555.96</v>
      </c>
      <c r="I29" s="26">
        <f>+'mzo 1er'!I29+'MARZ 2A'!I29</f>
        <v>342.96</v>
      </c>
      <c r="J29" s="26">
        <f>+'mzo 1er'!J29+'MARZ 2A'!J29</f>
        <v>0</v>
      </c>
      <c r="K29" s="26">
        <f>+'mzo 1er'!K29+'MARZ 2A'!K29</f>
        <v>6400.75</v>
      </c>
      <c r="L29" s="26">
        <f>+'mzo 1er'!L29+'MARZ 2A'!L29</f>
        <v>0</v>
      </c>
      <c r="M29" s="26">
        <f>+'mzo 1er'!M29+'MARZ 2A'!M29</f>
        <v>0</v>
      </c>
      <c r="N29" s="26">
        <f>+'mzo 1er'!N29+'MARZ 2A'!N29</f>
        <v>0</v>
      </c>
      <c r="O29" s="28">
        <f t="shared" ref="O29" si="12">SUM(E29:M29)</f>
        <v>14980.57</v>
      </c>
      <c r="P29" s="26">
        <f>+'mzo 1er'!P29+'MARZ 2A'!P29</f>
        <v>1467.3799999999999</v>
      </c>
      <c r="Q29" s="26">
        <f>+'mzo 1er'!Q29+'MARZ 2A'!Q29</f>
        <v>883.30349999999999</v>
      </c>
      <c r="R29" s="26">
        <f>+'mzo 1er'!R29+'MARZ 2A'!R29</f>
        <v>0</v>
      </c>
      <c r="S29" s="26">
        <f>+'mzo 1er'!S29+'MARZ 2A'!S29</f>
        <v>0</v>
      </c>
      <c r="T29" s="26">
        <f>+'mzo 1er'!T29+'MARZ 2A'!T29</f>
        <v>0</v>
      </c>
      <c r="U29" s="26">
        <f>+'mzo 1er'!U29+'MARZ 2A'!U29</f>
        <v>0</v>
      </c>
      <c r="V29" s="26">
        <f>+'mzo 1er'!V29+'MARZ 2A'!V29</f>
        <v>0</v>
      </c>
      <c r="W29" s="37">
        <f t="shared" si="10"/>
        <v>2350.6835000000001</v>
      </c>
      <c r="X29" s="38">
        <f t="shared" si="11"/>
        <v>12629.886500000001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35">
        <f>+'mzo 1er'!E30+'MARZ 2A'!E30</f>
        <v>13966.8</v>
      </c>
      <c r="F30" s="35">
        <f>+'mzo 1er'!F30+'MARZ 2A'!F30</f>
        <v>0</v>
      </c>
      <c r="G30" s="35">
        <f>+'mzo 1er'!G30+'MARZ 2A'!G30</f>
        <v>0</v>
      </c>
      <c r="H30" s="35">
        <f>+'mzo 1er'!H30+'MARZ 2A'!H30</f>
        <v>722</v>
      </c>
      <c r="I30" s="35">
        <f>+'mzo 1er'!I30+'MARZ 2A'!I30</f>
        <v>1163</v>
      </c>
      <c r="J30" s="35">
        <f>+'mzo 1er'!J30+'MARZ 2A'!J30</f>
        <v>0</v>
      </c>
      <c r="K30" s="35">
        <f>+'mzo 1er'!K30+'MARZ 2A'!K30</f>
        <v>11639</v>
      </c>
      <c r="L30" s="35">
        <f>+'mzo 1er'!L30+'MARZ 2A'!L30</f>
        <v>0</v>
      </c>
      <c r="M30" s="35">
        <f>+'mzo 1er'!M30+'MARZ 2A'!M30</f>
        <v>0</v>
      </c>
      <c r="N30" s="35">
        <f>+'mzo 1er'!N30+'MARZ 2A'!N30</f>
        <v>0</v>
      </c>
      <c r="O30" s="35">
        <f>+'mzo 1er'!O30+'MARZ 2A'!O30</f>
        <v>27490.800000000003</v>
      </c>
      <c r="P30" s="35">
        <f>+'mzo 1er'!P30+'MARZ 2A'!P30</f>
        <v>4179.4400000000005</v>
      </c>
      <c r="Q30" s="35">
        <f>+'mzo 1er'!Q30+'MARZ 2A'!Q30</f>
        <v>1606.18</v>
      </c>
      <c r="R30" s="35">
        <f>+'mzo 1er'!R30+'MARZ 2A'!R30</f>
        <v>0</v>
      </c>
      <c r="S30" s="35">
        <f>+'mzo 1er'!S30+'MARZ 2A'!S30</f>
        <v>0</v>
      </c>
      <c r="T30" s="35">
        <f>+'mzo 1er'!T30+'MARZ 2A'!T30</f>
        <v>0</v>
      </c>
      <c r="U30" s="35">
        <f>+'mzo 1er'!U30+'MARZ 2A'!U30</f>
        <v>0</v>
      </c>
      <c r="V30" s="35">
        <f>+'mzo 1er'!V30+'MARZ 2A'!V30</f>
        <v>0</v>
      </c>
      <c r="W30" s="28">
        <f t="shared" si="10"/>
        <v>5785.6200000000008</v>
      </c>
      <c r="X30" s="29">
        <f t="shared" si="11"/>
        <v>21705.18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26">
        <f>+'mzo 1er'!E31+'MARZ 2A'!E31</f>
        <v>9106.7999999999993</v>
      </c>
      <c r="F31" s="26">
        <f>+'mzo 1er'!F31+'MARZ 2A'!F31</f>
        <v>0</v>
      </c>
      <c r="G31" s="26">
        <f>+'mzo 1er'!G31+'MARZ 2A'!G31</f>
        <v>0</v>
      </c>
      <c r="H31" s="26">
        <f>+'mzo 1er'!H31+'MARZ 2A'!H31</f>
        <v>447</v>
      </c>
      <c r="I31" s="26">
        <f>+'mzo 1er'!I31+'MARZ 2A'!I31</f>
        <v>717</v>
      </c>
      <c r="J31" s="26">
        <f>+'mzo 1er'!J31+'MARZ 2A'!J31</f>
        <v>0</v>
      </c>
      <c r="K31" s="26">
        <f>+'mzo 1er'!K31+'MARZ 2A'!K31</f>
        <v>7589</v>
      </c>
      <c r="L31" s="26">
        <f>+'mzo 1er'!L31+'MARZ 2A'!L31</f>
        <v>0</v>
      </c>
      <c r="M31" s="26">
        <f>+'mzo 1er'!M31+'MARZ 2A'!M31</f>
        <v>0</v>
      </c>
      <c r="N31" s="26">
        <f>+'mzo 1er'!N31+'MARZ 2A'!N31</f>
        <v>0</v>
      </c>
      <c r="O31" s="28">
        <f t="shared" ref="O31" si="13">SUM(E31:M31)</f>
        <v>17859.8</v>
      </c>
      <c r="P31" s="26">
        <f>+'mzo 1er'!P31+'MARZ 2A'!P31</f>
        <v>2040.48</v>
      </c>
      <c r="Q31" s="26">
        <f>+'mzo 1er'!Q31+'MARZ 2A'!Q31</f>
        <v>1047.2819999999999</v>
      </c>
      <c r="R31" s="26">
        <f>+'mzo 1er'!R31+'MARZ 2A'!R31</f>
        <v>0</v>
      </c>
      <c r="S31" s="26">
        <f>+'mzo 1er'!S31+'MARZ 2A'!S31</f>
        <v>0</v>
      </c>
      <c r="T31" s="26">
        <f>+'mzo 1er'!T31+'MARZ 2A'!T31</f>
        <v>0</v>
      </c>
      <c r="U31" s="26">
        <f>+'mzo 1er'!U31+'MARZ 2A'!U31</f>
        <v>1518</v>
      </c>
      <c r="V31" s="26">
        <f>+'mzo 1er'!V31+'MARZ 2A'!V31</f>
        <v>0</v>
      </c>
      <c r="W31" s="37">
        <f t="shared" si="10"/>
        <v>4605.7619999999997</v>
      </c>
      <c r="X31" s="38">
        <f t="shared" si="11"/>
        <v>13254.038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35">
        <f>+'mzo 1er'!E32+'MARZ 2A'!E32</f>
        <v>15124.8</v>
      </c>
      <c r="F32" s="35">
        <f>+'mzo 1er'!F32+'MARZ 2A'!F32</f>
        <v>0</v>
      </c>
      <c r="G32" s="35">
        <f>+'mzo 1er'!G32+'MARZ 2A'!G32</f>
        <v>0</v>
      </c>
      <c r="H32" s="35">
        <f>+'mzo 1er'!H32+'MARZ 2A'!H32</f>
        <v>756</v>
      </c>
      <c r="I32" s="35">
        <f>+'mzo 1er'!I32+'MARZ 2A'!I32</f>
        <v>1206</v>
      </c>
      <c r="J32" s="35">
        <f>+'mzo 1er'!J32+'MARZ 2A'!J32</f>
        <v>0</v>
      </c>
      <c r="K32" s="35">
        <f>+'mzo 1er'!K32+'MARZ 2A'!K32</f>
        <v>12604</v>
      </c>
      <c r="L32" s="35">
        <f>+'mzo 1er'!L32+'MARZ 2A'!L32</f>
        <v>0</v>
      </c>
      <c r="M32" s="35">
        <f>+'mzo 1er'!M32+'MARZ 2A'!M32</f>
        <v>0</v>
      </c>
      <c r="N32" s="35">
        <f>+'mzo 1er'!N32+'MARZ 2A'!N32</f>
        <v>0</v>
      </c>
      <c r="O32" s="35">
        <f>+'mzo 1er'!O32+'MARZ 2A'!O32</f>
        <v>29690.800000000003</v>
      </c>
      <c r="P32" s="35">
        <f>+'mzo 1er'!P32+'MARZ 2A'!P32</f>
        <v>4683.55</v>
      </c>
      <c r="Q32" s="35">
        <f>+'mzo 1er'!Q32+'MARZ 2A'!Q32</f>
        <v>1739.36</v>
      </c>
      <c r="R32" s="35">
        <f>+'mzo 1er'!R32+'MARZ 2A'!R32</f>
        <v>0</v>
      </c>
      <c r="S32" s="35">
        <f>+'mzo 1er'!S32+'MARZ 2A'!S32</f>
        <v>0</v>
      </c>
      <c r="T32" s="35">
        <f>+'mzo 1er'!T32+'MARZ 2A'!T32</f>
        <v>0</v>
      </c>
      <c r="U32" s="35">
        <f>+'mzo 1er'!U32+'MARZ 2A'!U32</f>
        <v>0</v>
      </c>
      <c r="V32" s="35">
        <f>+'mzo 1er'!V32+'MARZ 2A'!V32</f>
        <v>0</v>
      </c>
      <c r="W32" s="28">
        <f t="shared" si="10"/>
        <v>6422.91</v>
      </c>
      <c r="X32" s="29">
        <f t="shared" si="11"/>
        <v>23267.890000000003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26">
        <f>+'mzo 1er'!E33+'MARZ 2A'!E33</f>
        <v>12547.8</v>
      </c>
      <c r="F33" s="26">
        <f>+'mzo 1er'!F33+'MARZ 2A'!F33</f>
        <v>0</v>
      </c>
      <c r="G33" s="26">
        <f>+'mzo 1er'!G33+'MARZ 2A'!G33</f>
        <v>0</v>
      </c>
      <c r="H33" s="26">
        <f>+'mzo 1er'!H33+'MARZ 2A'!H33</f>
        <v>689</v>
      </c>
      <c r="I33" s="26">
        <f>+'mzo 1er'!I33+'MARZ 2A'!I33</f>
        <v>1099</v>
      </c>
      <c r="J33" s="26">
        <f>+'mzo 1er'!J33+'MARZ 2A'!J33</f>
        <v>0</v>
      </c>
      <c r="K33" s="26">
        <f>+'mzo 1er'!K33+'MARZ 2A'!K33</f>
        <v>10456.5</v>
      </c>
      <c r="L33" s="26">
        <f>+'mzo 1er'!L33+'MARZ 2A'!L33</f>
        <v>0</v>
      </c>
      <c r="M33" s="26">
        <f>+'mzo 1er'!M33+'MARZ 2A'!M33</f>
        <v>0</v>
      </c>
      <c r="N33" s="26">
        <f>+'mzo 1er'!N33+'MARZ 2A'!N33</f>
        <v>0</v>
      </c>
      <c r="O33" s="28">
        <f t="shared" ref="O33" si="14">SUM(E33:M33)</f>
        <v>24792.3</v>
      </c>
      <c r="P33" s="26">
        <f>+'mzo 1er'!P33+'MARZ 2A'!P33</f>
        <v>3561.02</v>
      </c>
      <c r="Q33" s="26">
        <f>+'mzo 1er'!Q33+'MARZ 2A'!Q33</f>
        <v>1442.9970000000001</v>
      </c>
      <c r="R33" s="26">
        <f>+'mzo 1er'!R33+'MARZ 2A'!R33</f>
        <v>0</v>
      </c>
      <c r="S33" s="26">
        <f>+'mzo 1er'!S33+'MARZ 2A'!S33</f>
        <v>0</v>
      </c>
      <c r="T33" s="26">
        <f>+'mzo 1er'!T33+'MARZ 2A'!T33</f>
        <v>0</v>
      </c>
      <c r="U33" s="26">
        <f>+'mzo 1er'!U33+'MARZ 2A'!U33</f>
        <v>0</v>
      </c>
      <c r="V33" s="26">
        <f>+'mzo 1er'!V33+'MARZ 2A'!V33</f>
        <v>0</v>
      </c>
      <c r="W33" s="37">
        <f t="shared" si="10"/>
        <v>5004.0169999999998</v>
      </c>
      <c r="X33" s="38">
        <f t="shared" si="11"/>
        <v>19788.282999999999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35">
        <f>+'mzo 1er'!E34+'MARZ 2A'!E34</f>
        <v>27627</v>
      </c>
      <c r="F34" s="35">
        <f>+'mzo 1er'!F34+'MARZ 2A'!F34</f>
        <v>0</v>
      </c>
      <c r="G34" s="35">
        <f>+'mzo 1er'!G34+'MARZ 2A'!G34</f>
        <v>0</v>
      </c>
      <c r="H34" s="35">
        <f>+'mzo 1er'!H34+'MARZ 2A'!H34</f>
        <v>1119</v>
      </c>
      <c r="I34" s="35">
        <f>+'mzo 1er'!I34+'MARZ 2A'!I34</f>
        <v>1664</v>
      </c>
      <c r="J34" s="35">
        <f>+'mzo 1er'!J34+'MARZ 2A'!J34</f>
        <v>0</v>
      </c>
      <c r="K34" s="35">
        <f>+'mzo 1er'!K34+'MARZ 2A'!K34</f>
        <v>23022.5</v>
      </c>
      <c r="L34" s="35">
        <f>+'mzo 1er'!L34+'MARZ 2A'!L34</f>
        <v>0</v>
      </c>
      <c r="M34" s="35">
        <f>+'mzo 1er'!M34+'MARZ 2A'!M34</f>
        <v>0</v>
      </c>
      <c r="N34" s="35">
        <f>+'mzo 1er'!N34+'MARZ 2A'!N34</f>
        <v>0</v>
      </c>
      <c r="O34" s="35">
        <f>+'mzo 1er'!O34+'MARZ 2A'!O34</f>
        <v>53432.5</v>
      </c>
      <c r="P34" s="35">
        <f>+'mzo 1er'!P34+'MARZ 2A'!P34</f>
        <v>11277.42</v>
      </c>
      <c r="Q34" s="35">
        <f>+'mzo 1er'!Q34+'MARZ 2A'!Q34</f>
        <v>3177.105</v>
      </c>
      <c r="R34" s="35">
        <f>+'mzo 1er'!R34+'MARZ 2A'!R34</f>
        <v>0</v>
      </c>
      <c r="S34" s="35">
        <f>+'mzo 1er'!S34+'MARZ 2A'!S34</f>
        <v>0</v>
      </c>
      <c r="T34" s="35">
        <f>+'mzo 1er'!T34+'MARZ 2A'!T34</f>
        <v>0</v>
      </c>
      <c r="U34" s="35">
        <f>+'mzo 1er'!U34+'MARZ 2A'!U34</f>
        <v>0</v>
      </c>
      <c r="V34" s="35">
        <f>+'mzo 1er'!V34+'MARZ 2A'!V34</f>
        <v>0</v>
      </c>
      <c r="W34" s="28">
        <f t="shared" si="10"/>
        <v>14454.525</v>
      </c>
      <c r="X34" s="29">
        <f t="shared" si="11"/>
        <v>38977.974999999999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26">
        <f>+'mzo 1er'!E35+'MARZ 2A'!E35</f>
        <v>27627</v>
      </c>
      <c r="F35" s="26">
        <f>+'mzo 1er'!F35+'MARZ 2A'!F35</f>
        <v>0</v>
      </c>
      <c r="G35" s="26">
        <f>+'mzo 1er'!G35+'MARZ 2A'!G35</f>
        <v>0</v>
      </c>
      <c r="H35" s="26">
        <f>+'mzo 1er'!H35+'MARZ 2A'!H35</f>
        <v>1119</v>
      </c>
      <c r="I35" s="26">
        <f>+'mzo 1er'!I35+'MARZ 2A'!I35</f>
        <v>1664</v>
      </c>
      <c r="J35" s="26">
        <f>+'mzo 1er'!J35+'MARZ 2A'!J35</f>
        <v>0</v>
      </c>
      <c r="K35" s="26">
        <f>+'mzo 1er'!K35+'MARZ 2A'!K35</f>
        <v>23022.5</v>
      </c>
      <c r="L35" s="26">
        <f>+'mzo 1er'!L35+'MARZ 2A'!L35</f>
        <v>0</v>
      </c>
      <c r="M35" s="26">
        <f>+'mzo 1er'!M35+'MARZ 2A'!M35</f>
        <v>0</v>
      </c>
      <c r="N35" s="26">
        <f>+'mzo 1er'!N35+'MARZ 2A'!N35</f>
        <v>0</v>
      </c>
      <c r="O35" s="28">
        <f t="shared" ref="O35" si="15">SUM(E35:M35)</f>
        <v>53432.5</v>
      </c>
      <c r="P35" s="26">
        <f>+'mzo 1er'!P35+'MARZ 2A'!P35</f>
        <v>11277.42</v>
      </c>
      <c r="Q35" s="26">
        <f>+'mzo 1er'!Q35+'MARZ 2A'!Q35</f>
        <v>3177.1</v>
      </c>
      <c r="R35" s="26">
        <f>+'mzo 1er'!R35+'MARZ 2A'!R35</f>
        <v>0</v>
      </c>
      <c r="S35" s="26">
        <f>+'mzo 1er'!S35+'MARZ 2A'!S35</f>
        <v>0</v>
      </c>
      <c r="T35" s="26">
        <f>+'mzo 1er'!T35+'MARZ 2A'!T35</f>
        <v>0</v>
      </c>
      <c r="U35" s="26">
        <f>+'mzo 1er'!U35+'MARZ 2A'!U35</f>
        <v>0</v>
      </c>
      <c r="V35" s="26">
        <f>+'mzo 1er'!V35+'MARZ 2A'!V35</f>
        <v>0</v>
      </c>
      <c r="W35" s="37">
        <f t="shared" si="10"/>
        <v>14454.52</v>
      </c>
      <c r="X35" s="38">
        <f t="shared" si="11"/>
        <v>38977.979999999996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35">
        <f>+'mzo 1er'!E36+'MARZ 2A'!E36</f>
        <v>19531.8</v>
      </c>
      <c r="F36" s="35">
        <f>+'mzo 1er'!F36+'MARZ 2A'!F36</f>
        <v>0</v>
      </c>
      <c r="G36" s="35">
        <f>+'mzo 1er'!G36+'MARZ 2A'!G36</f>
        <v>0</v>
      </c>
      <c r="H36" s="35">
        <f>+'mzo 1er'!H36+'MARZ 2A'!H36</f>
        <v>987</v>
      </c>
      <c r="I36" s="35">
        <f>+'mzo 1er'!I36+'MARZ 2A'!I36</f>
        <v>1465</v>
      </c>
      <c r="J36" s="35">
        <f>+'mzo 1er'!J36+'MARZ 2A'!J36</f>
        <v>0</v>
      </c>
      <c r="K36" s="35">
        <f>+'mzo 1er'!K36+'MARZ 2A'!K36</f>
        <v>16276.5</v>
      </c>
      <c r="L36" s="35">
        <f>+'mzo 1er'!L36+'MARZ 2A'!L36</f>
        <v>0</v>
      </c>
      <c r="M36" s="35">
        <f>+'mzo 1er'!M36+'MARZ 2A'!M36</f>
        <v>0</v>
      </c>
      <c r="N36" s="35">
        <f>+'mzo 1er'!N36+'MARZ 2A'!N36</f>
        <v>0</v>
      </c>
      <c r="O36" s="35">
        <f>+'mzo 1er'!O36+'MARZ 2A'!O36</f>
        <v>38260.300000000003</v>
      </c>
      <c r="P36" s="35">
        <f>+'mzo 1er'!P36+'MARZ 2A'!P36</f>
        <v>7019.46</v>
      </c>
      <c r="Q36" s="35">
        <f>+'mzo 1er'!Q36+'MARZ 2A'!Q36</f>
        <v>2246.16</v>
      </c>
      <c r="R36" s="35">
        <f>+'mzo 1er'!R36+'MARZ 2A'!R36</f>
        <v>0</v>
      </c>
      <c r="S36" s="35">
        <f>+'mzo 1er'!S36+'MARZ 2A'!S36</f>
        <v>0</v>
      </c>
      <c r="T36" s="35">
        <f>+'mzo 1er'!T36+'MARZ 2A'!T36</f>
        <v>0</v>
      </c>
      <c r="U36" s="35">
        <f>+'mzo 1er'!U36+'MARZ 2A'!U36</f>
        <v>0</v>
      </c>
      <c r="V36" s="35">
        <f>+'mzo 1er'!V36+'MARZ 2A'!V36</f>
        <v>0</v>
      </c>
      <c r="W36" s="101">
        <f t="shared" si="10"/>
        <v>9265.619999999999</v>
      </c>
      <c r="X36" s="102">
        <f t="shared" si="11"/>
        <v>28994.680000000004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455291.09999999992</v>
      </c>
      <c r="F38" s="50">
        <f t="shared" ref="F38:X38" si="16">SUM(F11:F36)</f>
        <v>0</v>
      </c>
      <c r="G38" s="50">
        <f t="shared" si="16"/>
        <v>0</v>
      </c>
      <c r="H38" s="50">
        <f t="shared" si="16"/>
        <v>18514.96</v>
      </c>
      <c r="I38" s="50">
        <f t="shared" si="16"/>
        <v>27244.959999999999</v>
      </c>
      <c r="J38" s="50">
        <f t="shared" si="16"/>
        <v>3459.8799999999992</v>
      </c>
      <c r="K38" s="50">
        <f t="shared" si="16"/>
        <v>379409.25</v>
      </c>
      <c r="L38" s="50">
        <f t="shared" si="16"/>
        <v>0</v>
      </c>
      <c r="M38" s="50">
        <f t="shared" si="16"/>
        <v>0</v>
      </c>
      <c r="N38" s="50">
        <f t="shared" si="16"/>
        <v>0</v>
      </c>
      <c r="O38" s="50">
        <f t="shared" si="16"/>
        <v>883920.15000000026</v>
      </c>
      <c r="P38" s="50">
        <f t="shared" si="16"/>
        <v>162055.67999999999</v>
      </c>
      <c r="Q38" s="50">
        <f t="shared" si="16"/>
        <v>52358.5435</v>
      </c>
      <c r="R38" s="50">
        <f t="shared" si="16"/>
        <v>0</v>
      </c>
      <c r="S38" s="50">
        <f t="shared" si="16"/>
        <v>0</v>
      </c>
      <c r="T38" s="50">
        <f t="shared" si="16"/>
        <v>0</v>
      </c>
      <c r="U38" s="50">
        <f t="shared" si="16"/>
        <v>49109.950000000004</v>
      </c>
      <c r="V38" s="50">
        <f t="shared" si="16"/>
        <v>0</v>
      </c>
      <c r="W38" s="50">
        <f t="shared" si="16"/>
        <v>263524.17349999998</v>
      </c>
      <c r="X38" s="50">
        <f t="shared" si="16"/>
        <v>620395.9665000001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124"/>
      <c r="E39" s="55">
        <f>+'mzo 1er'!E38+'MARZ 2A'!E38</f>
        <v>455291.09999999992</v>
      </c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124"/>
      <c r="B40" s="124"/>
      <c r="C40" s="124"/>
      <c r="D40" s="124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124"/>
      <c r="B43" s="124"/>
      <c r="C43" s="124"/>
      <c r="D43" s="124"/>
      <c r="I43" s="60"/>
      <c r="J43" s="141"/>
      <c r="K43" s="141"/>
      <c r="L43" s="141"/>
      <c r="M43" s="141"/>
      <c r="N43" s="141"/>
      <c r="O43" s="141"/>
      <c r="P43" s="141"/>
      <c r="U43" s="124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124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124"/>
      <c r="B49" s="124"/>
      <c r="C49" s="124"/>
      <c r="D49" s="71"/>
      <c r="I49" s="60"/>
      <c r="J49" s="141"/>
      <c r="K49" s="141"/>
      <c r="L49" s="141"/>
      <c r="M49" s="141"/>
      <c r="N49" s="141"/>
      <c r="O49" s="141"/>
      <c r="P49" s="141"/>
      <c r="U49" s="124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124"/>
      <c r="B55" s="124"/>
      <c r="I55" s="60"/>
      <c r="J55" s="141"/>
      <c r="K55" s="141"/>
      <c r="L55" s="141"/>
      <c r="M55" s="141"/>
      <c r="N55" s="141"/>
      <c r="O55" s="141"/>
      <c r="P55" s="141"/>
      <c r="U55" s="124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124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124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124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124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124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124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J56:P56"/>
    <mergeCell ref="P8:P9"/>
    <mergeCell ref="V8:V9"/>
    <mergeCell ref="J41:P41"/>
    <mergeCell ref="A42:AA42"/>
    <mergeCell ref="J43:P43"/>
    <mergeCell ref="J44:P44"/>
    <mergeCell ref="H8:H9"/>
    <mergeCell ref="I8:I9"/>
    <mergeCell ref="J8:J9"/>
    <mergeCell ref="K8:K9"/>
    <mergeCell ref="L8:L9"/>
    <mergeCell ref="M8:M9"/>
    <mergeCell ref="AA7:AA8"/>
    <mergeCell ref="J48:P48"/>
    <mergeCell ref="J49:P49"/>
    <mergeCell ref="J50:P50"/>
    <mergeCell ref="J54:P54"/>
    <mergeCell ref="J55:P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Ene 1a</vt:lpstr>
      <vt:lpstr>Ene 2a</vt:lpstr>
      <vt:lpstr>ENE</vt:lpstr>
      <vt:lpstr>Feb 1a</vt:lpstr>
      <vt:lpstr>Feb 2a</vt:lpstr>
      <vt:lpstr>FEB</vt:lpstr>
      <vt:lpstr>mzo 1er</vt:lpstr>
      <vt:lpstr>MARZ 2A</vt:lpstr>
      <vt:lpstr>marzo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HP</cp:lastModifiedBy>
  <cp:lastPrinted>2017-08-17T22:41:27Z</cp:lastPrinted>
  <dcterms:created xsi:type="dcterms:W3CDTF">2017-01-24T22:49:30Z</dcterms:created>
  <dcterms:modified xsi:type="dcterms:W3CDTF">2018-03-27T15:19:02Z</dcterms:modified>
</cp:coreProperties>
</file>