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4000" windowHeight="9735" activeTab="1"/>
  </bookViews>
  <sheets>
    <sheet name="CÉDULA" sheetId="1" r:id="rId1"/>
    <sheet name=" PE PARTIDA " sheetId="2" r:id="rId2"/>
    <sheet name="PE-PARTIDA" sheetId="3" state="hidden" r:id="rId3"/>
    <sheet name="RESUMEN DE ING Y EGR" sheetId="4" r:id="rId4"/>
    <sheet name=" PE PARTIDA BORRADOR" sheetId="5" state="hidden" r:id="rId5"/>
  </sheets>
  <definedNames/>
  <calcPr fullCalcOnLoad="1"/>
</workbook>
</file>

<file path=xl/sharedStrings.xml><?xml version="1.0" encoding="utf-8"?>
<sst xmlns="http://schemas.openxmlformats.org/spreadsheetml/2006/main" count="640" uniqueCount="284">
  <si>
    <t xml:space="preserve">ORIGEN DE INGRESOS </t>
  </si>
  <si>
    <t>SUBTOTAL</t>
  </si>
  <si>
    <t>INGRESOS PROPIOS</t>
  </si>
  <si>
    <t>TOTAL</t>
  </si>
  <si>
    <t>DENOMINACIÓN</t>
  </si>
  <si>
    <t>Aguinaldo</t>
  </si>
  <si>
    <t>PARTIDA</t>
  </si>
  <si>
    <t>TRANSFERIDO</t>
  </si>
  <si>
    <t>REDUCCIÓN</t>
  </si>
  <si>
    <t>AMPLIACIÓN</t>
  </si>
  <si>
    <t>Prima vacacional y dominical</t>
  </si>
  <si>
    <t>Compensaciones para material didáctico</t>
  </si>
  <si>
    <t>Cuotas para la vivienda</t>
  </si>
  <si>
    <t>Ayuda para despensa</t>
  </si>
  <si>
    <t>Materiales, útiles y equipos menores de oficina</t>
  </si>
  <si>
    <t>Materiales y útiles de impresión y reproducción</t>
  </si>
  <si>
    <t>Material de limpieza</t>
  </si>
  <si>
    <t>Utensilios para el servicio de alimentación</t>
  </si>
  <si>
    <t>Vidrio y productos de vidrio</t>
  </si>
  <si>
    <t>Medicinas y productos farmacéuticos</t>
  </si>
  <si>
    <t>Artículos deportivos</t>
  </si>
  <si>
    <t>Herramientas menores</t>
  </si>
  <si>
    <t>Refacciones y accesorios menores de edificios</t>
  </si>
  <si>
    <t>Refacciones y accesorios menores de equipo de transporte</t>
  </si>
  <si>
    <t>Refacciones y accesorios menores de maquinaria y otros equipos</t>
  </si>
  <si>
    <t>Servicio postal</t>
  </si>
  <si>
    <t>Capacitación institucional</t>
  </si>
  <si>
    <t>Servicios de vigilancia</t>
  </si>
  <si>
    <t>Servicios financieros y bancarios</t>
  </si>
  <si>
    <t>Fletes y maniobras</t>
  </si>
  <si>
    <t>ORIGEN</t>
  </si>
  <si>
    <t>PROGRAMAS ESPECIALES</t>
  </si>
  <si>
    <t>CAPITULO</t>
  </si>
  <si>
    <t>SERVICIOS PERSONALES</t>
  </si>
  <si>
    <t>MATERIALES Y SUMINISTROS</t>
  </si>
  <si>
    <t>SERVICIOS GENERALES</t>
  </si>
  <si>
    <t>BIENES MUEBLES E INMUEBLES</t>
  </si>
  <si>
    <t>TOTAL DE EGRESOS</t>
  </si>
  <si>
    <t xml:space="preserve">REMANENTE DE INGRESOS DE PROGRAMAS ESPECIALES DE EJERCICIOS ANTERIORES </t>
  </si>
  <si>
    <t>Servicios de limpieza y manejo de desechos</t>
  </si>
  <si>
    <t>Equipo de comunicación y telecomunicación</t>
  </si>
  <si>
    <t>TOTAL CAPÍTULO 1000 Servicios Personales</t>
  </si>
  <si>
    <t>Productos minerales no metálicos</t>
  </si>
  <si>
    <t>Cemento y productos de concreto</t>
  </si>
  <si>
    <t>Madera y productos de madera</t>
  </si>
  <si>
    <t>Otros materiales y artículos de construcción y reparación</t>
  </si>
  <si>
    <t>Prendas de seguridad y protección personal</t>
  </si>
  <si>
    <t>TOTAL CAPÍTULO 2000 Materiales y Suministros</t>
  </si>
  <si>
    <t>Reparación y mantenimiento de equipo de transporte</t>
  </si>
  <si>
    <t>Servicios de jardinería y fumigación</t>
  </si>
  <si>
    <t>Viáticos en el país</t>
  </si>
  <si>
    <t>TOTAL CAPÍTULO 3000 Servicios Generales</t>
  </si>
  <si>
    <t>TOTAL CAPÍTULO 4000 Transferencias, Asignaciones, Subsidios y Otras Ayudas</t>
  </si>
  <si>
    <t>Equipos y aparatos audiovisuales</t>
  </si>
  <si>
    <t>Otro mobiliario y equipo educacional y recreativo</t>
  </si>
  <si>
    <t>Software</t>
  </si>
  <si>
    <t>TOTAL CAPÍTULO 5000 Bienes Muebles, Inmuebles e Intangibles</t>
  </si>
  <si>
    <t>SUMAS</t>
  </si>
  <si>
    <t>Capítulo 1000 (Servicios Personales)</t>
  </si>
  <si>
    <t>Capítulo 2000 (Materiales y Suministros)</t>
  </si>
  <si>
    <t>Capítulo 3000 (Servicios Generales)</t>
  </si>
  <si>
    <t>Capítulo 5000 (Bienes Muebles e Inmuebles)</t>
  </si>
  <si>
    <t>RESUMEN INGRESOS</t>
  </si>
  <si>
    <t xml:space="preserve">RESUMEN EGRESOS </t>
  </si>
  <si>
    <t xml:space="preserve">REMANENTE DE PRESUPUESTO DE OPERACIÓN </t>
  </si>
  <si>
    <t xml:space="preserve">SUBTOTAL </t>
  </si>
  <si>
    <t xml:space="preserve">TOTAL DE INGRESOS </t>
  </si>
  <si>
    <t>TRANSFERENCIAS</t>
  </si>
  <si>
    <t>PENDIENTE  DE RECIBIR</t>
  </si>
  <si>
    <t>Prima quinquenal por años de servicios efectivos prestados</t>
  </si>
  <si>
    <t>Cuotas a pensiones</t>
  </si>
  <si>
    <t>Otros estímulos</t>
  </si>
  <si>
    <t>Materiales, útiles y equipos menores de tecnologías de la información y comunicaciones</t>
  </si>
  <si>
    <t>Material impreso e información digital</t>
  </si>
  <si>
    <t>Artículos metálicos para la construcción</t>
  </si>
  <si>
    <t>Otros productos químicos</t>
  </si>
  <si>
    <t>Productos textiles</t>
  </si>
  <si>
    <t>Refacciones y accesorios menores de mobiliario y equipo de administración</t>
  </si>
  <si>
    <t>Refacciones y accesorios menores de equipo e instrumental médico y de laboratorio</t>
  </si>
  <si>
    <t>Servicio de energía eléctrica</t>
  </si>
  <si>
    <t>Telefonía tradicional</t>
  </si>
  <si>
    <t>Arrendamiento de mobiliario y equipo</t>
  </si>
  <si>
    <t>Arrendamiento de maquinaria, otros equipos y herramientas</t>
  </si>
  <si>
    <t>Arrendamientos especiales</t>
  </si>
  <si>
    <t>Servicios legales, de contabilidad, auditoría y relacionados</t>
  </si>
  <si>
    <t>Capacitación especializada</t>
  </si>
  <si>
    <t>Impresiones de papelería oficial</t>
  </si>
  <si>
    <t>Servicios profesionales, científicos y técnicos integrales</t>
  </si>
  <si>
    <t>Instalación, reparación y mantenimiento de equipo de cómputo y tecnologías de la información</t>
  </si>
  <si>
    <t>Difusión por radio, televisión y otros medios de mensajes comerciales para promover la venta de bienes o servicios</t>
  </si>
  <si>
    <t>Otros servicios de traslado y hospedaje</t>
  </si>
  <si>
    <t>Gastos de orden cultural</t>
  </si>
  <si>
    <t>Impuestos y derechos</t>
  </si>
  <si>
    <t>Muebles de oficina y estantería</t>
  </si>
  <si>
    <t>Equipo de cómputo y de tecnología de la información</t>
  </si>
  <si>
    <t>Otros mobiliarios y equipos de administración</t>
  </si>
  <si>
    <t>Cámaras fotográficas y de video</t>
  </si>
  <si>
    <t>Licencias informáticas e intelectuales</t>
  </si>
  <si>
    <t>SEDESOL PROGRAMA MEXICO SIN HAMBRE</t>
  </si>
  <si>
    <t>REEMBOLSO POR DAÑOS MATERIALES</t>
  </si>
  <si>
    <t>INCREMENTO SALARIAL</t>
  </si>
  <si>
    <t>PRODET 2014-2015</t>
  </si>
  <si>
    <t>MEJORA DE LA INFRAESTRUCTURA EDUCATIVA Y COMPLEMENTARIA PARA LA FORMACIÓN INTEGRAL EN LOS INSTITUTOS TECNOLÓGICOS DESCENTRALIZADOS</t>
  </si>
  <si>
    <t>OTROS INGRESOS</t>
  </si>
  <si>
    <t>PRESUPUESTO AUTORIZADO</t>
  </si>
  <si>
    <t>CONVOCATORIA 2014 DE APOYO A LA INVESTIGACIÓN CIENTÍFICA Y DESARROLLO TECNOLÓGICO DE LOS PROGRAMAS EDUCATIVOS DE LOS INSTITUTOS TECNOLÓGICOS DESCENTRALIZADOS</t>
  </si>
  <si>
    <t>MEJORA DE LA CALIDAD EN LOS INSTITUTOS TECNOLOGÍAS DESCENTRALIZADOS</t>
  </si>
  <si>
    <t>EXCEDENTE INGRESOS PROPIOS</t>
  </si>
  <si>
    <t xml:space="preserve">Sub TOTAL </t>
  </si>
  <si>
    <t>Sub TOTAL</t>
  </si>
  <si>
    <t xml:space="preserve">CONVOCATORIA 2014 DE APOYO A LA INVESTIGACIÓN CIENTÍFICA Y DESARROLLO TECNOLÓGICO DE LOS PROGRAMAS EDUCATIVOS DE LOS INSTITUTOS TECNOLÓGICOS </t>
  </si>
  <si>
    <t>OTROS INGRESOS (REMBOLSO POR DAÑOS MATERIALES)</t>
  </si>
  <si>
    <t>RECURSO ESTATAL</t>
  </si>
  <si>
    <t>RECURSO FEDERAL</t>
  </si>
  <si>
    <t>CIERRE DEL EJERCICIO PRESUPUESTAL 2015</t>
  </si>
  <si>
    <t>AMPLIACIÓN ESTATAL</t>
  </si>
  <si>
    <t>AMPLIACIÓN FEDERAL</t>
  </si>
  <si>
    <t>REMANENTES</t>
  </si>
  <si>
    <t>PRESUPUESTO  EJERCIDO</t>
  </si>
  <si>
    <t>% EJERCIDO</t>
  </si>
  <si>
    <t>REMANENTE</t>
  </si>
  <si>
    <t>PRESUPUESTO DE EGRESOS  POR OBJETO DEL GASTO</t>
  </si>
  <si>
    <t xml:space="preserve">TOTAL PRESUPUESTO AL CIERRE </t>
  </si>
  <si>
    <t>ORIGEN
 (-)</t>
  </si>
  <si>
    <t>DESTINO
 (+)</t>
  </si>
  <si>
    <t>ESTATAL</t>
  </si>
  <si>
    <t>FEDERAL</t>
  </si>
  <si>
    <t>INGREOS PROPIOS</t>
  </si>
  <si>
    <t>REMANENTES PRESUPUESTO OPERACIÓN 2014</t>
  </si>
  <si>
    <t>REMANENTES PROGRAMAS ESPECIALES 2014</t>
  </si>
  <si>
    <t>Estatal</t>
  </si>
  <si>
    <t>Federal</t>
  </si>
  <si>
    <t>Ingresos Propios</t>
  </si>
  <si>
    <t>PRESUPUESTO DE INGRESOS 2015</t>
  </si>
  <si>
    <t xml:space="preserve">PRESUPUESTO DE INGRESOS AL CIERRE DEL EJERCICIO PRESUPUESTAL </t>
  </si>
  <si>
    <t>PRGRAMAS ESPECIALES</t>
  </si>
  <si>
    <t>AMPLIACIÓN INGRESOS PROPIOS</t>
  </si>
  <si>
    <t>AMPLIACIÓN PROGRAMA Y</t>
  </si>
  <si>
    <t>AMPLIACIÓN PROGRAMA X</t>
  </si>
  <si>
    <t>CIERRE PRESUPUESTAL  2015</t>
  </si>
  <si>
    <t>PRESUPUESTO INICIAL  2015</t>
  </si>
  <si>
    <t>CIERRE DE INGRESOS 2015</t>
  </si>
  <si>
    <t>PRESUPUESTO EJERCIDO TOTAL</t>
  </si>
  <si>
    <t>PRESUPUESTO INICIAL</t>
  </si>
  <si>
    <t>Ampliación Vales de Despensa</t>
  </si>
  <si>
    <t>Ampliación Operación</t>
  </si>
  <si>
    <t>Monto</t>
  </si>
  <si>
    <t>PRESTACIONES SOCIOECNÓMICAS</t>
  </si>
  <si>
    <t>GASTOS DE OPERACIÓN</t>
  </si>
  <si>
    <t>REMANENTES 2015</t>
  </si>
  <si>
    <t>PRESUPUESTO EJERCIDO GASTOS DE OPERACIÓN 2015</t>
  </si>
  <si>
    <t>CIERRE DE PRESUPUESTO EJERCIDO DE PROGRAMAS ESPECIALES 2015</t>
  </si>
  <si>
    <t>PRESUPUESTO ESTATAL INICIAL</t>
  </si>
  <si>
    <t>PRESUPUESTO FEDERAL INICIAL</t>
  </si>
  <si>
    <t xml:space="preserve">Organismo: Instituto Tecnológico Superior de Cocula                                                                        </t>
  </si>
  <si>
    <t>Mantenimiento y Reparación menor de cerco perimetral y edificios</t>
  </si>
  <si>
    <t>Contraparte Pendiente Estatal 2014</t>
  </si>
  <si>
    <t>Contraparte Pendiente Estatal 2013 y Anteriores</t>
  </si>
  <si>
    <t>Organismo: Instituto Tecnológico Superior de Cocula</t>
  </si>
  <si>
    <t>Sueldo base</t>
  </si>
  <si>
    <t>Honorarios Asimilados a Salarios</t>
  </si>
  <si>
    <t>Compensaciones por nómina</t>
  </si>
  <si>
    <t>Cuotas al IMSS</t>
  </si>
  <si>
    <t>Cuotas para el Sistema de Ahorro para el Retiro (SAR)</t>
  </si>
  <si>
    <t>Indemnizaciones por separación</t>
  </si>
  <si>
    <t>Estimulos al Personal</t>
  </si>
  <si>
    <t>Homologación</t>
  </si>
  <si>
    <t>Apoyo a la capacitación específica de los servidores públicos</t>
  </si>
  <si>
    <t>Impacto al salario en el transcurso del año</t>
  </si>
  <si>
    <t>Ayuda para pasajes</t>
  </si>
  <si>
    <t>Estímulo por el día del servidor público</t>
  </si>
  <si>
    <t>Estímulos de antigüedad</t>
  </si>
  <si>
    <t>Materiales y utiles de enseñanza</t>
  </si>
  <si>
    <t>Productos alimenticios para personas derivado de la prestacion de servicios publicos en unidades de salud, educativas, de readaptacion social y otras</t>
  </si>
  <si>
    <t>Productos alimenticios para el personal en las instalaciones de las dependencias y entidades</t>
  </si>
  <si>
    <t>Productos alimenticios, agropecuarios y forestales adquiridos como materia prima</t>
  </si>
  <si>
    <t>Combustibles, lubricantes, aditivos, carbon y sus derivados adquiridos como materia prima</t>
  </si>
  <si>
    <t>Cal, yesos y productos de yeso</t>
  </si>
  <si>
    <t>Material eléctrico y electrónico</t>
  </si>
  <si>
    <t>Materiales complementarios</t>
  </si>
  <si>
    <t>Productos químicos Básicos</t>
  </si>
  <si>
    <t>Fertilizantes, pesticidas y otros agroquímicos</t>
  </si>
  <si>
    <t>Materiales, accesorios y suministros médicos</t>
  </si>
  <si>
    <t>Materiales, accesorios y suministros de laboratorio</t>
  </si>
  <si>
    <t>Fibras sintéticas, hules, plásticos y derviados</t>
  </si>
  <si>
    <t>Combustibles, lubricantes y aditivos para vehiculos terrestres</t>
  </si>
  <si>
    <t>Combustibles, lubricantes y aditivos para maquinaria, equipo de</t>
  </si>
  <si>
    <t>Vestuarios y uniformes</t>
  </si>
  <si>
    <t>Refacciones y accesorios menores de equipo de cómputo y tecnologías de la información</t>
  </si>
  <si>
    <t>Servicio de agua potable</t>
  </si>
  <si>
    <t>Telefonía celular</t>
  </si>
  <si>
    <t>Servicios de acceso de internet, redes y procesamiento de información</t>
  </si>
  <si>
    <t>Arrendamiento de vehículos</t>
  </si>
  <si>
    <t>Servicios de consulltoría administrativa e informática</t>
  </si>
  <si>
    <t>Servicios de apoyo administrativo</t>
  </si>
  <si>
    <t>Servicios de impresión de material informativo derivado de la operación y administracion</t>
  </si>
  <si>
    <t>Informacion en medios masivos derivadas de la operación y administracion de las dependencias y entidades</t>
  </si>
  <si>
    <t>Seguro de bienes patrimoniales</t>
  </si>
  <si>
    <t>Conservación y mantenimiento menor de inmuebles</t>
  </si>
  <si>
    <t>Instalación, reparación y mantenimiento de mobiliario y equipo de administración</t>
  </si>
  <si>
    <t>Instalación, reparación y mantenimiento de maquinaria y otros equipos</t>
  </si>
  <si>
    <t>Mantenimiento y conservación de maquinaria y equipo de trabajo específico</t>
  </si>
  <si>
    <t>Difusión por radio, televisión y otros medios de mensajes sobre programas y actividades gubernamentales</t>
  </si>
  <si>
    <t>Servicios de creatividad, preproducción y producción de publicidad, excepto internet</t>
  </si>
  <si>
    <t>Servicios de la industria fílmica del sonido y del video</t>
  </si>
  <si>
    <t>Servicio de creación y difusión de contenido exclusivamente a través de internet</t>
  </si>
  <si>
    <t>Pasajes aéreos nacionales</t>
  </si>
  <si>
    <t>Pasajes terrestres nacionales</t>
  </si>
  <si>
    <t>Viáticos en el extranjero</t>
  </si>
  <si>
    <t>Gastos de ceremonial</t>
  </si>
  <si>
    <t>Gastos de orden social</t>
  </si>
  <si>
    <t>Congresos y convenciones</t>
  </si>
  <si>
    <t>Exposiciones</t>
  </si>
  <si>
    <t>Capítulo 4000 (Transferencias, Asignaciones, Subsidios y Otras Ayudas))</t>
  </si>
  <si>
    <t>Programas y Conceptos Complementarios</t>
  </si>
  <si>
    <t>Aportación para Erogaciones Contingentes</t>
  </si>
  <si>
    <t>Ayudas Pre y Premios</t>
  </si>
  <si>
    <t>Ayuda a instituciones sin fines de lucro</t>
  </si>
  <si>
    <t>Vehículos y equipo de transporte</t>
  </si>
  <si>
    <t>Otros equipos de transporte</t>
  </si>
  <si>
    <t>Maquinaria y equipo agropecuario</t>
  </si>
  <si>
    <t>Maquinaria y equipo industrial</t>
  </si>
  <si>
    <t>Sistemas de aire acondicionado, calefacción y de refrigeración</t>
  </si>
  <si>
    <t>Herramientas y máquinas-herramienta</t>
  </si>
  <si>
    <t>PRESUPUESTO DE EGRESOS 2015</t>
  </si>
  <si>
    <t>PROGRAMA PRESUPUESTARIO:    Instituto Tecnológico Superior de Cocula</t>
  </si>
  <si>
    <t>CLASIFICACION POR OBJETO DEL GASTO, SEGÚN ORIGEN DEL RECURSO</t>
  </si>
  <si>
    <t>PARTIDA PRESUPUESTAL</t>
  </si>
  <si>
    <t>ESTATAL AUTORIZADO 27.02.2015</t>
  </si>
  <si>
    <t>AMPLIACION</t>
  </si>
  <si>
    <t>PRESUPUESTO ESTATAL ACTUALIZADO 10.07.2015</t>
  </si>
  <si>
    <t>TRASNFERENCIA</t>
  </si>
  <si>
    <t>PRESUPUESTO ESTATAL AUTORIZADO 10.07.2015</t>
  </si>
  <si>
    <t>TRANSFERENCIAS CON RECURSO ESTATAL</t>
  </si>
  <si>
    <t>PRESUPUESTO ESTATAL ACTUALIZADO 30.11.2015</t>
  </si>
  <si>
    <t>AMPLIACION ESTATAL</t>
  </si>
  <si>
    <t>PRESUPUESTO ESTATAL ACTUALIZADO 31.12.2015</t>
  </si>
  <si>
    <t>PRESUPUESTO FEDERAL ACTUALIZADO 10.07.2015</t>
  </si>
  <si>
    <t>ADECUACION PRESUPUESTAL</t>
  </si>
  <si>
    <t>PRESUPUESTO FEDERAL ACTUALIZADO 30.11.2015</t>
  </si>
  <si>
    <t>INGRESOS PROPIOS AUTORIZADOS 27.02.2015</t>
  </si>
  <si>
    <t>AMPLIACION FEDERAL</t>
  </si>
  <si>
    <t>PRESUPUESTO FEDERAL ACTUALIZADO 31.12.2015</t>
  </si>
  <si>
    <t>INGRESOS PROPIOS ACTUALIZADOS 10.07.2015</t>
  </si>
  <si>
    <t>INGRESOS PROPIOS ACTUALIZADOS 30.11.2015</t>
  </si>
  <si>
    <t>AMPLIACION INGRESOS PROPIOS</t>
  </si>
  <si>
    <t>INGRESOS PROPIOS ACTUALIZADOS 31.12.2015</t>
  </si>
  <si>
    <t>REMANENTES EJERCICIO 2014 ACTUALIZADOS 10.07.2015</t>
  </si>
  <si>
    <t>REMANENTES EJERCICIO 2014 ACTUALIZADOS 30.11.2015</t>
  </si>
  <si>
    <t>TRANSFERENCIAS CON RECURSO REMANENTE</t>
  </si>
  <si>
    <t>REMANENTES EJERCICIO 2014 ACTUALIZADOS 31.12.2015</t>
  </si>
  <si>
    <t>TOTAL MODIFICADO AL 31.12.2015</t>
  </si>
  <si>
    <t>GASTO EJERCIDO</t>
  </si>
  <si>
    <t>SALDO DISPONIBLE</t>
  </si>
  <si>
    <t>PORCENTAJE DEL EJERCIDO</t>
  </si>
  <si>
    <t>DENOMINACION</t>
  </si>
  <si>
    <t>DESTINO</t>
  </si>
  <si>
    <t xml:space="preserve">REDUCCION </t>
  </si>
  <si>
    <t>REDUCCION</t>
  </si>
  <si>
    <t>Laudos laborales</t>
  </si>
  <si>
    <t>Penas, multas, accesorios y actualizaciones</t>
  </si>
  <si>
    <t>Gastos menores</t>
  </si>
  <si>
    <t xml:space="preserve"> FEDERAL AUTORIZADO 27.02.2015</t>
  </si>
  <si>
    <t>AJUSTE FEDERAL</t>
  </si>
  <si>
    <t>REMANENTES EJERCICIO 2014</t>
  </si>
  <si>
    <r>
      <t xml:space="preserve">ORGANISMO:    </t>
    </r>
    <r>
      <rPr>
        <b/>
        <sz val="14"/>
        <rFont val="Arial"/>
        <family val="2"/>
      </rPr>
      <t xml:space="preserve">               Instituto Tecnológico Superior de Cocula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</si>
  <si>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Adeudo Estatal de Ejercicios Anteriores</t>
  </si>
  <si>
    <t>Total</t>
  </si>
  <si>
    <t>AMPLIACION OPERACIÓN (Diciembre)</t>
  </si>
  <si>
    <t>TRANSFERENCIAS II JUNTA DIRECTIVA 2015</t>
  </si>
  <si>
    <t>AJUSTE FEDERAL II JUNTA DIRECTIVA 2015</t>
  </si>
  <si>
    <t>AMPLIACIÓN FEDERAL II JUNTA DIRECTIVA 2015</t>
  </si>
  <si>
    <t>AMPLIACIÓN ESTATAL II JUNTA DIRECTIVA 2015</t>
  </si>
  <si>
    <t>AMPLIACIÓN INGRESOS PROPIOS II JUNTA DIRECTIVA 2015</t>
  </si>
  <si>
    <t>AMPLIACIÓN PROGRAMA MANTENIMIENTO II JUNTA DIRECTIVA 2015</t>
  </si>
  <si>
    <t>TRANSFERENCIAS III JUNTA DIRECTIVA 2015</t>
  </si>
  <si>
    <t>AMPLIACIÓN FEDERAL III JUNTA DIRECTIVA 2015</t>
  </si>
  <si>
    <t>AMPLIACIÓN ESTATAL III JUNTA DIRECTIVA 2015</t>
  </si>
  <si>
    <t>AMPLIACIÓN INGRESOS PROPIOS III JUNTA DIRECTIVA 2015</t>
  </si>
  <si>
    <t>TRANSFERENCIAS I JUNTA DIRECTIVA 2016</t>
  </si>
  <si>
    <t>AMPLIACIÓN FEDERAL I JUNTA DIRECTIVA 2016</t>
  </si>
  <si>
    <t>AMPLIACIÓN ESTATAL I JUNTA DIRECTIVA 2016</t>
  </si>
  <si>
    <t>AMPLIACIÓN INGRESOS PROPIOS I JUNTA DIRECTIVA 2016</t>
  </si>
  <si>
    <t>TOTAL PRESUPUESTO AL CIERRE 2015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</si>
</sst>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_-[$€-2]* #,##0.00_-;\-[$€-2]* #,##0.00_-;_-[$€-2]* &quot;-&quot;??_-"/>
    <numFmt numFmtId="167" formatCode="#,##0.00;[Red]#,##0.00"/>
    <numFmt numFmtId="168" formatCode="#,##0;[Red]#,##0"/>
    <numFmt numFmtId="169" formatCode="#,##0.0"/>
    <numFmt numFmtId="170" formatCode="#,##0_ ;\-#,##0\ "/>
    <numFmt numFmtId="171" formatCode="&quot; &quot;#,##0&quot; &quot;;&quot;-&quot;#,##0&quot; &quot;;&quot; -&quot;00&quot; &quot;;&quot; &quot;@&quot; &quot;"/>
    <numFmt numFmtId="172" formatCode="&quot; &quot;&quot;$&quot;#,##0&quot; &quot;;&quot;-&quot;&quot;$&quot;#,##0&quot; &quot;;&quot; &quot;&quot;$&quot;&quot;-&quot;00&quot; &quot;;&quot; &quot;@&quot; &quot;"/>
    <numFmt numFmtId="173" formatCode="[$-80A]General"/>
    <numFmt numFmtId="174" formatCode="&quot; &quot;#,##0.00&quot; &quot;;&quot;-&quot;#,##0.00&quot; &quot;;&quot; -&quot;00&quot; &quot;;&quot; &quot;@&quot; &quot;"/>
    <numFmt numFmtId="175" formatCode="#,##0&quot; &quot;;[Red]&quot;-&quot;#,##0&quot; &quot;"/>
    <numFmt numFmtId="176" formatCode="#,##0.00&quot; &quot;;[Red]&quot;-&quot;#,##0.00&quot; &quot;"/>
    <numFmt numFmtId="177" formatCode="0.0%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1.05"/>
      <color indexed="8"/>
      <name val="Times New Roman"/>
      <family val="1"/>
    </font>
    <font>
      <sz val="9.85"/>
      <color indexed="8"/>
      <name val="Times New Roman"/>
      <family val="1"/>
    </font>
    <font>
      <b/>
      <sz val="14"/>
      <name val="Arial"/>
      <family val="2"/>
    </font>
    <font>
      <b/>
      <sz val="11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b/>
      <u val="single"/>
      <sz val="12"/>
      <color indexed="63"/>
      <name val="Century Gothic"/>
      <family val="2"/>
    </font>
    <font>
      <sz val="10"/>
      <color indexed="63"/>
      <name val="Century Gothic"/>
      <family val="2"/>
    </font>
    <font>
      <b/>
      <sz val="12"/>
      <color indexed="63"/>
      <name val="Century Gothic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b/>
      <u val="single"/>
      <sz val="12"/>
      <color indexed="10"/>
      <name val="Century Gothic"/>
      <family val="2"/>
    </font>
    <font>
      <b/>
      <sz val="12"/>
      <color indexed="8"/>
      <name val="Century Gothic"/>
      <family val="2"/>
    </font>
    <font>
      <b/>
      <sz val="16"/>
      <color indexed="63"/>
      <name val="Century Gothic"/>
      <family val="2"/>
    </font>
    <font>
      <b/>
      <sz val="14"/>
      <color indexed="9"/>
      <name val="Century Gothic"/>
      <family val="2"/>
    </font>
    <font>
      <b/>
      <sz val="11"/>
      <color indexed="9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sz val="12"/>
      <color indexed="9"/>
      <name val="Calibri"/>
      <family val="2"/>
    </font>
    <font>
      <b/>
      <sz val="12"/>
      <color indexed="16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Century Gothic"/>
      <family val="2"/>
    </font>
    <font>
      <b/>
      <sz val="14"/>
      <color indexed="63"/>
      <name val="Century Gothic"/>
      <family val="2"/>
    </font>
    <font>
      <b/>
      <sz val="14"/>
      <color indexed="60"/>
      <name val="Arial"/>
      <family val="2"/>
    </font>
    <font>
      <b/>
      <sz val="14"/>
      <color indexed="10"/>
      <name val="Arial"/>
      <family val="2"/>
    </font>
    <font>
      <b/>
      <i/>
      <sz val="12"/>
      <color indexed="23"/>
      <name val="Arial"/>
      <family val="2"/>
    </font>
    <font>
      <b/>
      <sz val="14"/>
      <color indexed="23"/>
      <name val="Arial"/>
      <family val="2"/>
    </font>
    <font>
      <b/>
      <sz val="12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u val="single"/>
      <sz val="12"/>
      <color theme="1" tint="0.34999001026153564"/>
      <name val="Century Gothic"/>
      <family val="2"/>
    </font>
    <font>
      <sz val="10"/>
      <color theme="1" tint="0.34999001026153564"/>
      <name val="Century Gothic"/>
      <family val="2"/>
    </font>
    <font>
      <b/>
      <sz val="12"/>
      <color theme="1" tint="0.34999001026153564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u val="single"/>
      <sz val="12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16"/>
      <color theme="1" tint="0.34999001026153564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b/>
      <sz val="10"/>
      <color rgb="FFFFFFFF"/>
      <name val="Arial"/>
      <family val="2"/>
    </font>
    <font>
      <sz val="12"/>
      <color rgb="FFFFFFFF"/>
      <name val="Calibri"/>
      <family val="2"/>
    </font>
    <font>
      <b/>
      <sz val="12"/>
      <color rgb="FF990000"/>
      <name val="Arial"/>
      <family val="2"/>
    </font>
    <font>
      <b/>
      <sz val="12"/>
      <color rgb="FFFFFFFF"/>
      <name val="Calibri"/>
      <family val="2"/>
    </font>
    <font>
      <b/>
      <sz val="12"/>
      <color rgb="FFFFFFFF"/>
      <name val="Arial"/>
      <family val="2"/>
    </font>
    <font>
      <b/>
      <sz val="12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entury Gothic"/>
      <family val="2"/>
    </font>
    <font>
      <b/>
      <sz val="14"/>
      <color theme="1" tint="0.34999001026153564"/>
      <name val="Century Gothic"/>
      <family val="2"/>
    </font>
    <font>
      <b/>
      <sz val="14"/>
      <color theme="5" tint="-0.24997000396251678"/>
      <name val="Arial"/>
      <family val="2"/>
    </font>
    <font>
      <b/>
      <sz val="14"/>
      <color rgb="FFFF0000"/>
      <name val="Arial"/>
      <family val="2"/>
    </font>
    <font>
      <b/>
      <i/>
      <sz val="12"/>
      <color theme="1" tint="0.49998000264167786"/>
      <name val="Arial"/>
      <family val="2"/>
    </font>
    <font>
      <b/>
      <sz val="14"/>
      <color rgb="FF953735"/>
      <name val="Arial"/>
      <family val="2"/>
    </font>
    <font>
      <b/>
      <sz val="14"/>
      <color rgb="FF7F7F7F"/>
      <name val="Arial"/>
      <family val="2"/>
    </font>
    <font>
      <b/>
      <sz val="12"/>
      <color rgb="FF7F7F7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166" fontId="2" fillId="0" borderId="0" applyFont="0" applyFill="0" applyBorder="0" applyAlignment="0" applyProtection="0"/>
    <xf numFmtId="0" fontId="1" fillId="0" borderId="0">
      <alignment/>
      <protection/>
    </xf>
    <xf numFmtId="0" fontId="67" fillId="0" borderId="0" applyNumberFormat="0" applyBorder="0" applyProtection="0">
      <alignment/>
    </xf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76" fillId="0" borderId="0" xfId="0" applyFont="1" applyAlignment="1">
      <alignment/>
    </xf>
    <xf numFmtId="44" fontId="76" fillId="0" borderId="0" xfId="0" applyNumberFormat="1" applyFont="1" applyAlignment="1">
      <alignment/>
    </xf>
    <xf numFmtId="0" fontId="77" fillId="0" borderId="0" xfId="0" applyFont="1" applyAlignment="1">
      <alignment/>
    </xf>
    <xf numFmtId="44" fontId="76" fillId="0" borderId="0" xfId="55" applyFont="1" applyAlignment="1">
      <alignment/>
    </xf>
    <xf numFmtId="0" fontId="78" fillId="0" borderId="0" xfId="0" applyFont="1" applyAlignment="1">
      <alignment/>
    </xf>
    <xf numFmtId="0" fontId="4" fillId="0" borderId="0" xfId="61" applyFont="1">
      <alignment/>
      <protection/>
    </xf>
    <xf numFmtId="0" fontId="3" fillId="0" borderId="0" xfId="61" applyFont="1" applyBorder="1" applyAlignment="1">
      <alignment horizontal="center"/>
      <protection/>
    </xf>
    <xf numFmtId="3" fontId="4" fillId="0" borderId="0" xfId="61" applyNumberFormat="1" applyFont="1">
      <alignment/>
      <protection/>
    </xf>
    <xf numFmtId="3" fontId="78" fillId="0" borderId="0" xfId="57" applyNumberFormat="1" applyFont="1" applyAlignment="1">
      <alignment/>
    </xf>
    <xf numFmtId="3" fontId="79" fillId="0" borderId="0" xfId="57" applyNumberFormat="1" applyFont="1" applyAlignment="1">
      <alignment/>
    </xf>
    <xf numFmtId="44" fontId="4" fillId="0" borderId="0" xfId="61" applyNumberFormat="1" applyFont="1">
      <alignment/>
      <protection/>
    </xf>
    <xf numFmtId="0" fontId="4" fillId="0" borderId="0" xfId="61" applyFont="1" applyBorder="1">
      <alignment/>
      <protection/>
    </xf>
    <xf numFmtId="44" fontId="78" fillId="0" borderId="0" xfId="57" applyFont="1" applyBorder="1" applyAlignment="1">
      <alignment/>
    </xf>
    <xf numFmtId="38" fontId="4" fillId="0" borderId="0" xfId="61" applyNumberFormat="1" applyFont="1">
      <alignment/>
      <protection/>
    </xf>
    <xf numFmtId="0" fontId="6" fillId="0" borderId="10" xfId="0" applyFont="1" applyFill="1" applyBorder="1" applyAlignment="1">
      <alignment horizontal="center" vertical="center"/>
    </xf>
    <xf numFmtId="167" fontId="77" fillId="0" borderId="0" xfId="50" applyNumberFormat="1" applyFont="1" applyBorder="1" applyAlignment="1">
      <alignment/>
    </xf>
    <xf numFmtId="0" fontId="71" fillId="0" borderId="0" xfId="0" applyFont="1" applyFill="1" applyAlignment="1">
      <alignment/>
    </xf>
    <xf numFmtId="0" fontId="80" fillId="0" borderId="0" xfId="61" applyFont="1" applyAlignment="1">
      <alignment horizontal="center"/>
      <protection/>
    </xf>
    <xf numFmtId="0" fontId="81" fillId="0" borderId="0" xfId="61" applyFont="1">
      <alignment/>
      <protection/>
    </xf>
    <xf numFmtId="0" fontId="82" fillId="0" borderId="0" xfId="61" applyFont="1" applyAlignment="1">
      <alignment horizontal="center"/>
      <protection/>
    </xf>
    <xf numFmtId="0" fontId="83" fillId="33" borderId="11" xfId="0" applyFont="1" applyFill="1" applyBorder="1" applyAlignment="1">
      <alignment horizontal="center" vertical="center"/>
    </xf>
    <xf numFmtId="0" fontId="4" fillId="0" borderId="0" xfId="61" applyFont="1" applyFill="1" applyBorder="1">
      <alignment/>
      <protection/>
    </xf>
    <xf numFmtId="165" fontId="84" fillId="0" borderId="0" xfId="52" applyNumberFormat="1" applyFont="1" applyFill="1" applyBorder="1" applyAlignment="1">
      <alignment/>
    </xf>
    <xf numFmtId="3" fontId="4" fillId="0" borderId="0" xfId="61" applyNumberFormat="1" applyFont="1" applyFill="1" applyBorder="1">
      <alignment/>
      <protection/>
    </xf>
    <xf numFmtId="0" fontId="85" fillId="0" borderId="0" xfId="61" applyFont="1" applyAlignment="1">
      <alignment horizontal="left"/>
      <protection/>
    </xf>
    <xf numFmtId="43" fontId="4" fillId="0" borderId="0" xfId="50" applyFont="1" applyAlignment="1">
      <alignment/>
    </xf>
    <xf numFmtId="43" fontId="4" fillId="0" borderId="0" xfId="61" applyNumberFormat="1" applyFont="1">
      <alignment/>
      <protection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4" fontId="3" fillId="0" borderId="0" xfId="57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3" fontId="3" fillId="0" borderId="0" xfId="61" applyNumberFormat="1" applyFont="1">
      <alignment/>
      <protection/>
    </xf>
    <xf numFmtId="43" fontId="4" fillId="0" borderId="0" xfId="50" applyFont="1" applyFill="1" applyAlignment="1">
      <alignment/>
    </xf>
    <xf numFmtId="43" fontId="78" fillId="0" borderId="0" xfId="50" applyFont="1" applyFill="1" applyAlignment="1">
      <alignment/>
    </xf>
    <xf numFmtId="10" fontId="3" fillId="0" borderId="0" xfId="68" applyNumberFormat="1" applyFont="1" applyFill="1" applyBorder="1" applyAlignment="1">
      <alignment/>
    </xf>
    <xf numFmtId="3" fontId="78" fillId="0" borderId="0" xfId="57" applyNumberFormat="1" applyFont="1" applyFill="1" applyAlignment="1">
      <alignment/>
    </xf>
    <xf numFmtId="3" fontId="3" fillId="0" borderId="0" xfId="61" applyNumberFormat="1" applyFont="1" applyFill="1" applyBorder="1">
      <alignment/>
      <protection/>
    </xf>
    <xf numFmtId="3" fontId="4" fillId="0" borderId="0" xfId="61" applyNumberFormat="1" applyFont="1" applyFill="1">
      <alignment/>
      <protection/>
    </xf>
    <xf numFmtId="0" fontId="4" fillId="0" borderId="0" xfId="61" applyFont="1" applyFill="1">
      <alignment/>
      <protection/>
    </xf>
    <xf numFmtId="0" fontId="86" fillId="0" borderId="0" xfId="0" applyFont="1" applyAlignment="1">
      <alignment horizontal="center"/>
    </xf>
    <xf numFmtId="0" fontId="83" fillId="34" borderId="11" xfId="0" applyFont="1" applyFill="1" applyBorder="1" applyAlignment="1">
      <alignment horizontal="center" vertical="center" wrapText="1"/>
    </xf>
    <xf numFmtId="0" fontId="87" fillId="0" borderId="0" xfId="61" applyFont="1" applyAlignment="1">
      <alignment/>
      <protection/>
    </xf>
    <xf numFmtId="0" fontId="80" fillId="0" borderId="0" xfId="61" applyFont="1" applyAlignment="1">
      <alignment/>
      <protection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8" fillId="34" borderId="14" xfId="0" applyFont="1" applyFill="1" applyBorder="1" applyAlignment="1">
      <alignment horizontal="center"/>
    </xf>
    <xf numFmtId="0" fontId="88" fillId="34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" fontId="7" fillId="0" borderId="11" xfId="61" applyNumberFormat="1" applyFont="1" applyFill="1" applyBorder="1">
      <alignment/>
      <protection/>
    </xf>
    <xf numFmtId="0" fontId="7" fillId="0" borderId="11" xfId="61" applyFont="1" applyBorder="1" applyAlignment="1">
      <alignment vertical="center" wrapText="1"/>
      <protection/>
    </xf>
    <xf numFmtId="3" fontId="7" fillId="0" borderId="11" xfId="61" applyNumberFormat="1" applyFont="1" applyFill="1" applyBorder="1">
      <alignment/>
      <protection/>
    </xf>
    <xf numFmtId="3" fontId="7" fillId="0" borderId="11" xfId="61" applyNumberFormat="1" applyFont="1" applyBorder="1">
      <alignment/>
      <protection/>
    </xf>
    <xf numFmtId="0" fontId="7" fillId="0" borderId="11" xfId="61" applyFont="1" applyBorder="1" applyAlignment="1">
      <alignment horizontal="left" wrapText="1"/>
      <protection/>
    </xf>
    <xf numFmtId="0" fontId="11" fillId="35" borderId="11" xfId="61" applyFont="1" applyFill="1" applyBorder="1" applyAlignment="1">
      <alignment horizontal="right" wrapText="1"/>
      <protection/>
    </xf>
    <xf numFmtId="3" fontId="7" fillId="35" borderId="11" xfId="61" applyNumberFormat="1" applyFont="1" applyFill="1" applyBorder="1">
      <alignment/>
      <protection/>
    </xf>
    <xf numFmtId="3" fontId="11" fillId="35" borderId="11" xfId="61" applyNumberFormat="1" applyFont="1" applyFill="1" applyBorder="1">
      <alignment/>
      <protection/>
    </xf>
    <xf numFmtId="3" fontId="11" fillId="0" borderId="11" xfId="61" applyNumberFormat="1" applyFont="1" applyFill="1" applyBorder="1">
      <alignment/>
      <protection/>
    </xf>
    <xf numFmtId="3" fontId="7" fillId="0" borderId="18" xfId="61" applyNumberFormat="1" applyFont="1" applyFill="1" applyBorder="1">
      <alignment/>
      <protection/>
    </xf>
    <xf numFmtId="4" fontId="89" fillId="34" borderId="19" xfId="57" applyNumberFormat="1" applyFont="1" applyFill="1" applyBorder="1" applyAlignment="1">
      <alignment vertical="center"/>
    </xf>
    <xf numFmtId="4" fontId="11" fillId="35" borderId="11" xfId="61" applyNumberFormat="1" applyFont="1" applyFill="1" applyBorder="1">
      <alignment/>
      <protection/>
    </xf>
    <xf numFmtId="4" fontId="11" fillId="35" borderId="11" xfId="61" applyNumberFormat="1" applyFont="1" applyFill="1" applyBorder="1" applyAlignment="1">
      <alignment horizontal="center"/>
      <protection/>
    </xf>
    <xf numFmtId="4" fontId="7" fillId="0" borderId="11" xfId="61" applyNumberFormat="1" applyFont="1" applyFill="1" applyBorder="1" applyAlignment="1">
      <alignment horizontal="center"/>
      <protection/>
    </xf>
    <xf numFmtId="0" fontId="7" fillId="0" borderId="0" xfId="61" applyFont="1">
      <alignment/>
      <protection/>
    </xf>
    <xf numFmtId="0" fontId="7" fillId="0" borderId="20" xfId="61" applyFont="1" applyBorder="1" applyAlignment="1">
      <alignment horizontal="center"/>
      <protection/>
    </xf>
    <xf numFmtId="0" fontId="7" fillId="0" borderId="21" xfId="61" applyFont="1" applyBorder="1">
      <alignment/>
      <protection/>
    </xf>
    <xf numFmtId="4" fontId="7" fillId="0" borderId="22" xfId="61" applyNumberFormat="1" applyFont="1" applyBorder="1" applyAlignment="1">
      <alignment horizontal="center"/>
      <protection/>
    </xf>
    <xf numFmtId="4" fontId="7" fillId="0" borderId="22" xfId="61" applyNumberFormat="1" applyFont="1" applyBorder="1">
      <alignment/>
      <protection/>
    </xf>
    <xf numFmtId="4" fontId="7" fillId="0" borderId="20" xfId="61" applyNumberFormat="1" applyFont="1" applyBorder="1" applyAlignment="1">
      <alignment horizontal="center"/>
      <protection/>
    </xf>
    <xf numFmtId="0" fontId="7" fillId="0" borderId="21" xfId="61" applyFont="1" applyBorder="1" applyAlignment="1">
      <alignment wrapText="1"/>
      <protection/>
    </xf>
    <xf numFmtId="0" fontId="7" fillId="0" borderId="23" xfId="61" applyFont="1" applyBorder="1" applyAlignment="1">
      <alignment horizontal="center"/>
      <protection/>
    </xf>
    <xf numFmtId="0" fontId="7" fillId="0" borderId="0" xfId="61" applyFont="1" applyBorder="1">
      <alignment/>
      <protection/>
    </xf>
    <xf numFmtId="4" fontId="7" fillId="0" borderId="23" xfId="61" applyNumberFormat="1" applyFont="1" applyBorder="1">
      <alignment/>
      <protection/>
    </xf>
    <xf numFmtId="0" fontId="89" fillId="34" borderId="19" xfId="57" applyNumberFormat="1" applyFont="1" applyFill="1" applyBorder="1" applyAlignment="1">
      <alignment horizontal="center" vertical="center"/>
    </xf>
    <xf numFmtId="4" fontId="89" fillId="34" borderId="19" xfId="57" applyNumberFormat="1" applyFont="1" applyFill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0" borderId="24" xfId="0" applyFont="1" applyBorder="1" applyAlignment="1">
      <alignment horizontal="justify" vertical="center" wrapText="1"/>
    </xf>
    <xf numFmtId="171" fontId="91" fillId="36" borderId="24" xfId="0" applyNumberFormat="1" applyFont="1" applyFill="1" applyBorder="1" applyAlignment="1">
      <alignment horizontal="center" vertical="center"/>
    </xf>
    <xf numFmtId="172" fontId="91" fillId="36" borderId="24" xfId="0" applyNumberFormat="1" applyFont="1" applyFill="1" applyBorder="1" applyAlignment="1">
      <alignment/>
    </xf>
    <xf numFmtId="0" fontId="90" fillId="0" borderId="24" xfId="0" applyFont="1" applyBorder="1" applyAlignment="1">
      <alignment horizontal="center"/>
    </xf>
    <xf numFmtId="0" fontId="90" fillId="0" borderId="24" xfId="0" applyFont="1" applyBorder="1" applyAlignment="1">
      <alignment wrapText="1"/>
    </xf>
    <xf numFmtId="0" fontId="90" fillId="0" borderId="24" xfId="0" applyFont="1" applyFill="1" applyBorder="1" applyAlignment="1">
      <alignment horizontal="justify" vertical="center" wrapText="1"/>
    </xf>
    <xf numFmtId="0" fontId="92" fillId="0" borderId="24" xfId="63" applyFont="1" applyFill="1" applyBorder="1" applyAlignment="1">
      <alignment horizontal="center"/>
      <protection/>
    </xf>
    <xf numFmtId="0" fontId="92" fillId="0" borderId="24" xfId="63" applyFont="1" applyFill="1" applyBorder="1" applyAlignment="1">
      <alignment wrapText="1"/>
      <protection/>
    </xf>
    <xf numFmtId="0" fontId="90" fillId="0" borderId="24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horizontal="justify" vertical="center" wrapText="1"/>
    </xf>
    <xf numFmtId="172" fontId="91" fillId="36" borderId="24" xfId="0" applyNumberFormat="1" applyFont="1" applyFill="1" applyBorder="1" applyAlignment="1">
      <alignment wrapText="1"/>
    </xf>
    <xf numFmtId="0" fontId="90" fillId="0" borderId="0" xfId="0" applyFont="1" applyAlignment="1">
      <alignment horizontal="center" vertical="center"/>
    </xf>
    <xf numFmtId="0" fontId="92" fillId="0" borderId="25" xfId="63" applyFont="1" applyFill="1" applyBorder="1" applyAlignment="1">
      <alignment horizontal="center"/>
      <protection/>
    </xf>
    <xf numFmtId="0" fontId="92" fillId="0" borderId="25" xfId="63" applyFont="1" applyFill="1" applyBorder="1" applyAlignment="1">
      <alignment wrapText="1"/>
      <protection/>
    </xf>
    <xf numFmtId="171" fontId="93" fillId="37" borderId="24" xfId="0" applyNumberFormat="1" applyFont="1" applyFill="1" applyBorder="1" applyAlignment="1">
      <alignment horizontal="center" vertical="center"/>
    </xf>
    <xf numFmtId="172" fontId="93" fillId="37" borderId="24" xfId="0" applyNumberFormat="1" applyFont="1" applyFill="1" applyBorder="1" applyAlignment="1">
      <alignment/>
    </xf>
    <xf numFmtId="4" fontId="91" fillId="36" borderId="24" xfId="0" applyNumberFormat="1" applyFont="1" applyFill="1" applyBorder="1" applyAlignment="1">
      <alignment horizontal="center" vertical="center"/>
    </xf>
    <xf numFmtId="4" fontId="90" fillId="0" borderId="24" xfId="0" applyNumberFormat="1" applyFont="1" applyBorder="1" applyAlignment="1">
      <alignment horizontal="center" vertical="center"/>
    </xf>
    <xf numFmtId="4" fontId="77" fillId="0" borderId="0" xfId="0" applyNumberFormat="1" applyFont="1" applyAlignment="1">
      <alignment/>
    </xf>
    <xf numFmtId="4" fontId="90" fillId="0" borderId="24" xfId="0" applyNumberFormat="1" applyFont="1" applyBorder="1" applyAlignment="1">
      <alignment horizontal="center" vertical="center" wrapText="1"/>
    </xf>
    <xf numFmtId="4" fontId="93" fillId="37" borderId="24" xfId="0" applyNumberFormat="1" applyFont="1" applyFill="1" applyBorder="1" applyAlignment="1">
      <alignment horizontal="center" vertical="center"/>
    </xf>
    <xf numFmtId="0" fontId="94" fillId="0" borderId="0" xfId="63" applyFont="1" applyFill="1" applyAlignment="1">
      <alignment/>
      <protection/>
    </xf>
    <xf numFmtId="0" fontId="92" fillId="0" borderId="0" xfId="63" applyFont="1" applyFill="1" applyAlignment="1">
      <alignment horizontal="center"/>
      <protection/>
    </xf>
    <xf numFmtId="0" fontId="92" fillId="0" borderId="0" xfId="63" applyFont="1" applyFill="1" applyAlignment="1">
      <alignment wrapText="1"/>
      <protection/>
    </xf>
    <xf numFmtId="0" fontId="92" fillId="0" borderId="0" xfId="63" applyFont="1" applyFill="1" applyAlignment="1">
      <alignment/>
      <protection/>
    </xf>
    <xf numFmtId="0" fontId="95" fillId="0" borderId="26" xfId="63" applyFont="1" applyFill="1" applyBorder="1" applyAlignment="1">
      <alignment/>
      <protection/>
    </xf>
    <xf numFmtId="0" fontId="95" fillId="0" borderId="0" xfId="63" applyFont="1" applyFill="1" applyAlignment="1">
      <alignment horizontal="center"/>
      <protection/>
    </xf>
    <xf numFmtId="0" fontId="96" fillId="37" borderId="27" xfId="63" applyFont="1" applyFill="1" applyBorder="1" applyAlignment="1">
      <alignment horizontal="center" vertical="center"/>
      <protection/>
    </xf>
    <xf numFmtId="0" fontId="97" fillId="37" borderId="24" xfId="47" applyFont="1" applyFill="1" applyBorder="1" applyAlignment="1">
      <alignment horizontal="center" vertical="center"/>
      <protection/>
    </xf>
    <xf numFmtId="0" fontId="96" fillId="37" borderId="28" xfId="63" applyFont="1" applyFill="1" applyBorder="1" applyAlignment="1">
      <alignment horizontal="center" vertical="center" wrapText="1"/>
      <protection/>
    </xf>
    <xf numFmtId="0" fontId="96" fillId="37" borderId="29" xfId="63" applyFont="1" applyFill="1" applyBorder="1" applyAlignment="1">
      <alignment horizontal="center" vertical="center" wrapText="1"/>
      <protection/>
    </xf>
    <xf numFmtId="4" fontId="98" fillId="0" borderId="25" xfId="63" applyNumberFormat="1" applyFont="1" applyFill="1" applyBorder="1" applyAlignment="1">
      <alignment horizontal="center" vertical="center" wrapText="1"/>
      <protection/>
    </xf>
    <xf numFmtId="4" fontId="98" fillId="0" borderId="30" xfId="63" applyNumberFormat="1" applyFont="1" applyFill="1" applyBorder="1" applyAlignment="1">
      <alignment horizontal="center" vertical="center" wrapText="1"/>
      <protection/>
    </xf>
    <xf numFmtId="4" fontId="98" fillId="0" borderId="31" xfId="63" applyNumberFormat="1" applyFont="1" applyFill="1" applyBorder="1" applyAlignment="1">
      <alignment horizontal="center" vertical="center" wrapText="1"/>
      <protection/>
    </xf>
    <xf numFmtId="0" fontId="92" fillId="0" borderId="24" xfId="63" applyFont="1" applyFill="1" applyBorder="1" applyAlignment="1">
      <alignment/>
      <protection/>
    </xf>
    <xf numFmtId="4" fontId="92" fillId="0" borderId="24" xfId="63" applyNumberFormat="1" applyFont="1" applyFill="1" applyBorder="1" applyAlignment="1">
      <alignment wrapText="1"/>
      <protection/>
    </xf>
    <xf numFmtId="4" fontId="90" fillId="0" borderId="24" xfId="50" applyNumberFormat="1" applyFont="1" applyBorder="1" applyAlignment="1">
      <alignment/>
    </xf>
    <xf numFmtId="4" fontId="90" fillId="0" borderId="24" xfId="50" applyNumberFormat="1" applyFont="1" applyFill="1" applyBorder="1" applyAlignment="1">
      <alignment/>
    </xf>
    <xf numFmtId="4" fontId="92" fillId="0" borderId="24" xfId="63" applyNumberFormat="1" applyFont="1" applyFill="1" applyBorder="1" applyAlignment="1">
      <alignment/>
      <protection/>
    </xf>
    <xf numFmtId="10" fontId="92" fillId="0" borderId="24" xfId="67" applyNumberFormat="1" applyFont="1" applyFill="1" applyBorder="1" applyAlignment="1">
      <alignment/>
    </xf>
    <xf numFmtId="4" fontId="91" fillId="36" borderId="24" xfId="50" applyNumberFormat="1" applyFont="1" applyFill="1" applyBorder="1" applyAlignment="1">
      <alignment/>
    </xf>
    <xf numFmtId="10" fontId="91" fillId="36" borderId="24" xfId="67" applyNumberFormat="1" applyFont="1" applyFill="1" applyBorder="1" applyAlignment="1">
      <alignment/>
    </xf>
    <xf numFmtId="4" fontId="95" fillId="0" borderId="24" xfId="63" applyNumberFormat="1" applyFont="1" applyFill="1" applyBorder="1" applyAlignment="1">
      <alignment horizontal="center"/>
      <protection/>
    </xf>
    <xf numFmtId="4" fontId="90" fillId="0" borderId="24" xfId="0" applyNumberFormat="1" applyFont="1" applyBorder="1" applyAlignment="1">
      <alignment/>
    </xf>
    <xf numFmtId="0" fontId="90" fillId="0" borderId="24" xfId="0" applyFont="1" applyFill="1" applyBorder="1" applyAlignment="1">
      <alignment horizontal="center" vertical="center"/>
    </xf>
    <xf numFmtId="4" fontId="93" fillId="37" borderId="24" xfId="50" applyNumberFormat="1" applyFont="1" applyFill="1" applyBorder="1" applyAlignment="1">
      <alignment/>
    </xf>
    <xf numFmtId="10" fontId="93" fillId="37" borderId="24" xfId="67" applyNumberFormat="1" applyFont="1" applyFill="1" applyBorder="1" applyAlignment="1">
      <alignment/>
    </xf>
    <xf numFmtId="0" fontId="99" fillId="0" borderId="0" xfId="0" applyFont="1" applyAlignment="1">
      <alignment/>
    </xf>
    <xf numFmtId="4" fontId="92" fillId="0" borderId="0" xfId="63" applyNumberFormat="1" applyFont="1" applyFill="1" applyAlignment="1">
      <alignment/>
      <protection/>
    </xf>
    <xf numFmtId="4" fontId="92" fillId="0" borderId="0" xfId="63" applyNumberFormat="1" applyFont="1" applyFill="1" applyAlignment="1">
      <alignment wrapText="1"/>
      <protection/>
    </xf>
    <xf numFmtId="175" fontId="92" fillId="0" borderId="0" xfId="63" applyNumberFormat="1" applyFont="1" applyFill="1" applyAlignment="1">
      <alignment wrapText="1"/>
      <protection/>
    </xf>
    <xf numFmtId="10" fontId="90" fillId="0" borderId="24" xfId="67" applyNumberFormat="1" applyFont="1" applyBorder="1" applyAlignment="1">
      <alignment horizontal="center" vertical="center"/>
    </xf>
    <xf numFmtId="10" fontId="91" fillId="36" borderId="24" xfId="67" applyNumberFormat="1" applyFont="1" applyFill="1" applyBorder="1" applyAlignment="1">
      <alignment horizontal="center" vertical="center"/>
    </xf>
    <xf numFmtId="10" fontId="77" fillId="0" borderId="0" xfId="67" applyNumberFormat="1" applyFont="1" applyAlignment="1">
      <alignment/>
    </xf>
    <xf numFmtId="10" fontId="90" fillId="0" borderId="24" xfId="67" applyNumberFormat="1" applyFont="1" applyBorder="1" applyAlignment="1">
      <alignment horizontal="center" vertical="center" wrapText="1"/>
    </xf>
    <xf numFmtId="10" fontId="77" fillId="0" borderId="0" xfId="67" applyNumberFormat="1" applyFont="1" applyBorder="1" applyAlignment="1">
      <alignment/>
    </xf>
    <xf numFmtId="10" fontId="93" fillId="37" borderId="24" xfId="67" applyNumberFormat="1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100" fillId="0" borderId="0" xfId="0" applyFont="1" applyAlignment="1">
      <alignment horizontal="center"/>
    </xf>
    <xf numFmtId="4" fontId="7" fillId="0" borderId="11" xfId="61" applyNumberFormat="1" applyFont="1" applyFill="1" applyBorder="1" applyAlignment="1">
      <alignment horizontal="left" wrapText="1"/>
      <protection/>
    </xf>
    <xf numFmtId="44" fontId="7" fillId="0" borderId="10" xfId="55" applyFont="1" applyFill="1" applyBorder="1" applyAlignment="1">
      <alignment vertical="center"/>
    </xf>
    <xf numFmtId="44" fontId="7" fillId="0" borderId="32" xfId="55" applyFont="1" applyFill="1" applyBorder="1" applyAlignment="1">
      <alignment vertical="center"/>
    </xf>
    <xf numFmtId="44" fontId="11" fillId="0" borderId="10" xfId="55" applyFont="1" applyFill="1" applyBorder="1" applyAlignment="1">
      <alignment vertical="center"/>
    </xf>
    <xf numFmtId="44" fontId="11" fillId="0" borderId="32" xfId="55" applyFont="1" applyFill="1" applyBorder="1" applyAlignment="1">
      <alignment vertical="center"/>
    </xf>
    <xf numFmtId="0" fontId="87" fillId="0" borderId="0" xfId="0" applyFont="1" applyAlignment="1">
      <alignment horizontal="center"/>
    </xf>
    <xf numFmtId="44" fontId="7" fillId="0" borderId="33" xfId="55" applyFont="1" applyFill="1" applyBorder="1" applyAlignment="1">
      <alignment horizontal="center" vertical="center"/>
    </xf>
    <xf numFmtId="44" fontId="7" fillId="0" borderId="34" xfId="55" applyFont="1" applyFill="1" applyBorder="1" applyAlignment="1">
      <alignment horizontal="center" vertical="center"/>
    </xf>
    <xf numFmtId="44" fontId="7" fillId="0" borderId="35" xfId="55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4" fontId="11" fillId="0" borderId="33" xfId="55" applyFont="1" applyFill="1" applyBorder="1" applyAlignment="1">
      <alignment horizontal="center" vertical="center"/>
    </xf>
    <xf numFmtId="44" fontId="11" fillId="0" borderId="34" xfId="55" applyFont="1" applyFill="1" applyBorder="1" applyAlignment="1">
      <alignment horizontal="center" vertical="center"/>
    </xf>
    <xf numFmtId="44" fontId="11" fillId="0" borderId="35" xfId="55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84" fillId="0" borderId="39" xfId="0" applyFont="1" applyBorder="1" applyAlignment="1">
      <alignment horizontal="center" vertical="center"/>
    </xf>
    <xf numFmtId="0" fontId="88" fillId="34" borderId="40" xfId="0" applyFont="1" applyFill="1" applyBorder="1" applyAlignment="1">
      <alignment horizontal="center" vertical="center"/>
    </xf>
    <xf numFmtId="0" fontId="88" fillId="34" borderId="41" xfId="0" applyFont="1" applyFill="1" applyBorder="1" applyAlignment="1">
      <alignment horizontal="center" vertical="center"/>
    </xf>
    <xf numFmtId="0" fontId="88" fillId="34" borderId="42" xfId="0" applyFont="1" applyFill="1" applyBorder="1" applyAlignment="1">
      <alignment horizontal="center" vertical="center"/>
    </xf>
    <xf numFmtId="44" fontId="7" fillId="0" borderId="11" xfId="55" applyFont="1" applyFill="1" applyBorder="1" applyAlignment="1">
      <alignment vertical="center"/>
    </xf>
    <xf numFmtId="0" fontId="100" fillId="0" borderId="43" xfId="0" applyFont="1" applyBorder="1" applyAlignment="1">
      <alignment horizontal="center" vertical="center"/>
    </xf>
    <xf numFmtId="0" fontId="100" fillId="0" borderId="44" xfId="0" applyFont="1" applyBorder="1" applyAlignment="1">
      <alignment horizontal="center" vertical="center"/>
    </xf>
    <xf numFmtId="44" fontId="100" fillId="0" borderId="11" xfId="0" applyNumberFormat="1" applyFont="1" applyBorder="1" applyAlignment="1">
      <alignment horizontal="center"/>
    </xf>
    <xf numFmtId="0" fontId="100" fillId="0" borderId="11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/>
    </xf>
    <xf numFmtId="0" fontId="6" fillId="0" borderId="4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4" fontId="89" fillId="34" borderId="15" xfId="0" applyNumberFormat="1" applyFont="1" applyFill="1" applyBorder="1" applyAlignment="1">
      <alignment horizontal="left"/>
    </xf>
    <xf numFmtId="0" fontId="89" fillId="34" borderId="15" xfId="0" applyFont="1" applyFill="1" applyBorder="1" applyAlignment="1">
      <alignment horizontal="left"/>
    </xf>
    <xf numFmtId="0" fontId="89" fillId="34" borderId="47" xfId="0" applyFont="1" applyFill="1" applyBorder="1" applyAlignment="1">
      <alignment horizontal="left"/>
    </xf>
    <xf numFmtId="0" fontId="95" fillId="0" borderId="48" xfId="63" applyFont="1" applyFill="1" applyBorder="1" applyAlignment="1">
      <alignment horizontal="left"/>
      <protection/>
    </xf>
    <xf numFmtId="0" fontId="83" fillId="34" borderId="43" xfId="0" applyFont="1" applyFill="1" applyBorder="1" applyAlignment="1">
      <alignment horizontal="center" vertical="center" wrapText="1"/>
    </xf>
    <xf numFmtId="0" fontId="83" fillId="34" borderId="44" xfId="0" applyFont="1" applyFill="1" applyBorder="1" applyAlignment="1">
      <alignment horizontal="center" vertical="center" wrapText="1"/>
    </xf>
    <xf numFmtId="0" fontId="95" fillId="0" borderId="48" xfId="63" applyFont="1" applyFill="1" applyBorder="1" applyAlignment="1">
      <alignment horizontal="center" wrapText="1"/>
      <protection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49" xfId="0" applyFont="1" applyFill="1" applyBorder="1" applyAlignment="1">
      <alignment horizontal="center" vertical="center" wrapText="1"/>
    </xf>
    <xf numFmtId="0" fontId="83" fillId="34" borderId="21" xfId="0" applyFont="1" applyFill="1" applyBorder="1" applyAlignment="1">
      <alignment horizontal="center" vertical="center" wrapText="1"/>
    </xf>
    <xf numFmtId="0" fontId="83" fillId="34" borderId="50" xfId="0" applyFont="1" applyFill="1" applyBorder="1" applyAlignment="1">
      <alignment horizontal="center" vertical="center" wrapText="1"/>
    </xf>
    <xf numFmtId="0" fontId="102" fillId="38" borderId="0" xfId="0" applyFont="1" applyFill="1" applyAlignment="1">
      <alignment horizontal="center"/>
    </xf>
    <xf numFmtId="0" fontId="103" fillId="38" borderId="0" xfId="0" applyFont="1" applyFill="1" applyBorder="1" applyAlignment="1">
      <alignment horizontal="center" wrapText="1"/>
    </xf>
    <xf numFmtId="0" fontId="104" fillId="38" borderId="0" xfId="0" applyFont="1" applyFill="1" applyBorder="1" applyAlignment="1">
      <alignment horizontal="center" wrapText="1"/>
    </xf>
    <xf numFmtId="0" fontId="83" fillId="33" borderId="11" xfId="0" applyFont="1" applyFill="1" applyBorder="1" applyAlignment="1">
      <alignment horizontal="center" vertical="center" wrapText="1"/>
    </xf>
    <xf numFmtId="0" fontId="105" fillId="39" borderId="0" xfId="48" applyFont="1" applyFill="1" applyAlignment="1">
      <alignment horizontal="center"/>
    </xf>
    <xf numFmtId="0" fontId="106" fillId="39" borderId="0" xfId="48" applyFont="1" applyFill="1" applyAlignment="1">
      <alignment horizontal="center" wrapText="1"/>
    </xf>
    <xf numFmtId="0" fontId="107" fillId="39" borderId="0" xfId="48" applyFont="1" applyFill="1" applyAlignment="1">
      <alignment horizontal="center" wrapText="1"/>
    </xf>
    <xf numFmtId="0" fontId="96" fillId="37" borderId="28" xfId="63" applyFont="1" applyFill="1" applyBorder="1" applyAlignment="1">
      <alignment horizontal="center" vertical="center"/>
      <protection/>
    </xf>
    <xf numFmtId="0" fontId="96" fillId="37" borderId="28" xfId="63" applyFont="1" applyFill="1" applyBorder="1" applyAlignment="1">
      <alignment horizontal="center" vertical="center" wrapText="1"/>
      <protection/>
    </xf>
    <xf numFmtId="0" fontId="96" fillId="37" borderId="51" xfId="63" applyFont="1" applyFill="1" applyBorder="1" applyAlignment="1">
      <alignment horizontal="center" vertical="center" wrapText="1"/>
      <protection/>
    </xf>
    <xf numFmtId="0" fontId="95" fillId="0" borderId="48" xfId="63" applyFont="1" applyFill="1" applyBorder="1" applyAlignment="1">
      <alignment horizontal="center"/>
      <protection/>
    </xf>
    <xf numFmtId="0" fontId="95" fillId="0" borderId="24" xfId="63" applyFont="1" applyFill="1" applyBorder="1" applyAlignment="1">
      <alignment horizontal="center"/>
      <protection/>
    </xf>
    <xf numFmtId="0" fontId="95" fillId="0" borderId="24" xfId="63" applyFont="1" applyFill="1" applyBorder="1" applyAlignment="1">
      <alignment horizontal="center" wrapText="1"/>
      <protection/>
    </xf>
    <xf numFmtId="0" fontId="87" fillId="0" borderId="0" xfId="61" applyFont="1" applyAlignment="1">
      <alignment horizontal="center"/>
      <protection/>
    </xf>
    <xf numFmtId="0" fontId="80" fillId="0" borderId="0" xfId="61" applyFont="1" applyAlignment="1">
      <alignment horizontal="center"/>
      <protection/>
    </xf>
    <xf numFmtId="0" fontId="7" fillId="0" borderId="11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 wrapText="1"/>
      <protection/>
    </xf>
    <xf numFmtId="0" fontId="89" fillId="34" borderId="52" xfId="57" applyNumberFormat="1" applyFont="1" applyFill="1" applyBorder="1" applyAlignment="1">
      <alignment horizontal="center" vertical="center"/>
    </xf>
    <xf numFmtId="0" fontId="89" fillId="34" borderId="53" xfId="57" applyNumberFormat="1" applyFont="1" applyFill="1" applyBorder="1" applyAlignment="1">
      <alignment horizontal="center" vertical="center"/>
    </xf>
    <xf numFmtId="0" fontId="85" fillId="0" borderId="0" xfId="61" applyFont="1" applyAlignment="1">
      <alignment horizontal="center"/>
      <protection/>
    </xf>
    <xf numFmtId="0" fontId="89" fillId="34" borderId="11" xfId="57" applyNumberFormat="1" applyFont="1" applyFill="1" applyBorder="1" applyAlignment="1">
      <alignment horizontal="center" vertical="center" wrapText="1"/>
    </xf>
    <xf numFmtId="0" fontId="89" fillId="34" borderId="19" xfId="57" applyNumberFormat="1" applyFont="1" applyFill="1" applyBorder="1" applyAlignment="1">
      <alignment horizontal="center" vertical="center" wrapText="1"/>
    </xf>
    <xf numFmtId="0" fontId="89" fillId="34" borderId="22" xfId="57" applyNumberFormat="1" applyFont="1" applyFill="1" applyBorder="1" applyAlignment="1">
      <alignment horizontal="center" vertical="center" wrapText="1"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54" xfId="61" applyFont="1" applyBorder="1" applyAlignment="1">
      <alignment horizontal="center" wrapText="1"/>
      <protection/>
    </xf>
    <xf numFmtId="0" fontId="7" fillId="0" borderId="21" xfId="61" applyFont="1" applyBorder="1" applyAlignment="1">
      <alignment horizontal="center" wrapText="1"/>
      <protection/>
    </xf>
    <xf numFmtId="0" fontId="89" fillId="34" borderId="19" xfId="57" applyNumberFormat="1" applyFont="1" applyFill="1" applyBorder="1" applyAlignment="1">
      <alignment horizontal="center" vertical="center"/>
    </xf>
    <xf numFmtId="0" fontId="89" fillId="34" borderId="22" xfId="57" applyNumberFormat="1" applyFont="1" applyFill="1" applyBorder="1" applyAlignment="1">
      <alignment horizontal="center" vertical="center"/>
    </xf>
    <xf numFmtId="0" fontId="11" fillId="35" borderId="11" xfId="61" applyFont="1" applyFill="1" applyBorder="1" applyAlignment="1">
      <alignment horizontal="right" wrapText="1"/>
      <protection/>
    </xf>
    <xf numFmtId="0" fontId="89" fillId="34" borderId="11" xfId="57" applyNumberFormat="1" applyFont="1" applyFill="1" applyBorder="1" applyAlignment="1">
      <alignment horizontal="center" vertic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xcel Built-in Normal" xfId="47"/>
    <cellStyle name="Excel Built-in Normal 2" xfId="48"/>
    <cellStyle name="Incorrecto" xfId="49"/>
    <cellStyle name="Comma" xfId="50"/>
    <cellStyle name="Comma [0]" xfId="51"/>
    <cellStyle name="Millares 2" xfId="52"/>
    <cellStyle name="Millares 3" xfId="53"/>
    <cellStyle name="Millares 3 2" xfId="54"/>
    <cellStyle name="Currency" xfId="55"/>
    <cellStyle name="Currency [0]" xfId="56"/>
    <cellStyle name="Moneda 2" xfId="57"/>
    <cellStyle name="Moneda 3" xfId="58"/>
    <cellStyle name="Moneda 3 2" xfId="59"/>
    <cellStyle name="Neutral" xfId="60"/>
    <cellStyle name="Normal 2" xfId="61"/>
    <cellStyle name="Normal 2 2" xfId="62"/>
    <cellStyle name="Normal 3" xfId="63"/>
    <cellStyle name="Normal 3 2" xfId="64"/>
    <cellStyle name="Normal 3 3" xfId="65"/>
    <cellStyle name="Notas" xfId="66"/>
    <cellStyle name="Percent" xfId="67"/>
    <cellStyle name="Porcentual 2" xfId="68"/>
    <cellStyle name="Porcentual 2 2" xfId="69"/>
    <cellStyle name="Porcentual 2 3" xfId="70"/>
    <cellStyle name="Porcentual 3" xfId="71"/>
    <cellStyle name="Porcentual 3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2343150</xdr:colOff>
      <xdr:row>4</xdr:row>
      <xdr:rowOff>38100</xdr:rowOff>
    </xdr:to>
    <xdr:pic>
      <xdr:nvPicPr>
        <xdr:cNvPr id="1" name="Picture 2" descr="C:\Users\Cedric Caulfield\Downloads\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314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4</xdr:row>
      <xdr:rowOff>9525</xdr:rowOff>
    </xdr:to>
    <xdr:pic>
      <xdr:nvPicPr>
        <xdr:cNvPr id="1" name="Picture 2" descr="C:\Users\Cedric Caulfield\Downloads\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</xdr:rowOff>
    </xdr:from>
    <xdr:to>
      <xdr:col>1</xdr:col>
      <xdr:colOff>2152650</xdr:colOff>
      <xdr:row>4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2552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2</xdr:col>
      <xdr:colOff>1314450</xdr:colOff>
      <xdr:row>5</xdr:row>
      <xdr:rowOff>85725</xdr:rowOff>
    </xdr:to>
    <xdr:pic>
      <xdr:nvPicPr>
        <xdr:cNvPr id="1" name="Picture 2" descr="C:\Users\Cedric Caulfield\Downloads\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2257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4</xdr:row>
      <xdr:rowOff>9525</xdr:rowOff>
    </xdr:to>
    <xdr:pic>
      <xdr:nvPicPr>
        <xdr:cNvPr id="1" name="Picture 2" descr="C:\Users\Cedric Caulfield\Downloads\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1">
      <selection activeCell="H8" sqref="H8"/>
    </sheetView>
  </sheetViews>
  <sheetFormatPr defaultColWidth="9.140625" defaultRowHeight="15"/>
  <cols>
    <col min="1" max="1" width="3.28125" style="5" customWidth="1"/>
    <col min="2" max="2" width="42.57421875" style="5" customWidth="1"/>
    <col min="3" max="3" width="46.140625" style="5" customWidth="1"/>
    <col min="4" max="5" width="9.140625" style="5" customWidth="1"/>
    <col min="6" max="6" width="25.140625" style="5" customWidth="1"/>
    <col min="7" max="7" width="9.140625" style="5" customWidth="1"/>
    <col min="8" max="8" width="16.8515625" style="1" bestFit="1" customWidth="1"/>
    <col min="9" max="10" width="15.57421875" style="1" bestFit="1" customWidth="1"/>
    <col min="11" max="11" width="16.8515625" style="1" bestFit="1" customWidth="1"/>
    <col min="12" max="16384" width="9.140625" style="1" customWidth="1"/>
  </cols>
  <sheetData>
    <row r="1" spans="2:6" ht="20.25">
      <c r="B1" s="147" t="s">
        <v>133</v>
      </c>
      <c r="C1" s="147"/>
      <c r="D1" s="147"/>
      <c r="E1" s="147"/>
      <c r="F1" s="147"/>
    </row>
    <row r="2" spans="1:6" ht="15" customHeight="1">
      <c r="A2" s="1"/>
      <c r="B2" s="157"/>
      <c r="C2" s="157"/>
      <c r="D2" s="157"/>
      <c r="E2" s="157"/>
      <c r="F2" s="157"/>
    </row>
    <row r="3" spans="1:6" ht="15" customHeight="1">
      <c r="A3" s="1"/>
      <c r="B3" s="42"/>
      <c r="C3" s="25" t="s">
        <v>154</v>
      </c>
      <c r="D3" s="42"/>
      <c r="E3" s="42"/>
      <c r="F3" s="42"/>
    </row>
    <row r="4" spans="1:6" ht="15" customHeight="1">
      <c r="A4" s="1"/>
      <c r="B4" s="42"/>
      <c r="C4" s="42"/>
      <c r="D4" s="42"/>
      <c r="E4" s="42"/>
      <c r="F4" s="42"/>
    </row>
    <row r="5" spans="1:6" ht="18">
      <c r="A5" s="1"/>
      <c r="B5" s="158" t="s">
        <v>134</v>
      </c>
      <c r="C5" s="158"/>
      <c r="D5" s="158"/>
      <c r="E5" s="158"/>
      <c r="F5" s="158"/>
    </row>
    <row r="6" spans="1:6" ht="17.25" thickBot="1">
      <c r="A6" s="1"/>
      <c r="D6" s="159"/>
      <c r="E6" s="159"/>
      <c r="F6" s="159"/>
    </row>
    <row r="7" spans="1:6" ht="44.25" customHeight="1">
      <c r="A7" s="1"/>
      <c r="B7" s="160" t="s">
        <v>0</v>
      </c>
      <c r="C7" s="161"/>
      <c r="D7" s="161" t="s">
        <v>146</v>
      </c>
      <c r="E7" s="161"/>
      <c r="F7" s="162"/>
    </row>
    <row r="8" spans="1:8" ht="16.5">
      <c r="A8" s="1"/>
      <c r="B8" s="151" t="s">
        <v>112</v>
      </c>
      <c r="C8" s="28" t="s">
        <v>143</v>
      </c>
      <c r="D8" s="148">
        <v>6745094</v>
      </c>
      <c r="E8" s="149"/>
      <c r="F8" s="150"/>
      <c r="H8" s="2"/>
    </row>
    <row r="9" spans="1:6" ht="16.5">
      <c r="A9" s="1"/>
      <c r="B9" s="152"/>
      <c r="C9" s="28" t="s">
        <v>144</v>
      </c>
      <c r="D9" s="148">
        <v>241027.93</v>
      </c>
      <c r="E9" s="149"/>
      <c r="F9" s="150"/>
    </row>
    <row r="10" spans="1:8" ht="16.5">
      <c r="A10" s="1"/>
      <c r="B10" s="152"/>
      <c r="C10" s="28" t="s">
        <v>145</v>
      </c>
      <c r="D10" s="148">
        <v>2554963</v>
      </c>
      <c r="E10" s="149"/>
      <c r="F10" s="150"/>
      <c r="H10" s="2"/>
    </row>
    <row r="11" spans="1:8" ht="17.25">
      <c r="A11" s="1"/>
      <c r="B11" s="152"/>
      <c r="C11" s="15" t="s">
        <v>108</v>
      </c>
      <c r="D11" s="154">
        <f>SUM(D8:F10)</f>
        <v>9541084.93</v>
      </c>
      <c r="E11" s="155"/>
      <c r="F11" s="156"/>
      <c r="H11" s="2"/>
    </row>
    <row r="12" spans="1:6" ht="17.25" customHeight="1">
      <c r="A12" s="1"/>
      <c r="B12" s="151" t="s">
        <v>113</v>
      </c>
      <c r="C12" s="28" t="s">
        <v>143</v>
      </c>
      <c r="D12" s="143">
        <v>9300057</v>
      </c>
      <c r="E12" s="143"/>
      <c r="F12" s="144"/>
    </row>
    <row r="13" spans="1:6" ht="16.5" customHeight="1">
      <c r="A13" s="1"/>
      <c r="B13" s="152"/>
      <c r="C13" s="28" t="s">
        <v>100</v>
      </c>
      <c r="D13" s="143">
        <v>268555</v>
      </c>
      <c r="E13" s="143"/>
      <c r="F13" s="144"/>
    </row>
    <row r="14" spans="1:6" ht="16.5" customHeight="1">
      <c r="A14" s="1"/>
      <c r="B14" s="152"/>
      <c r="C14" s="28" t="s">
        <v>101</v>
      </c>
      <c r="D14" s="143">
        <v>277874.23</v>
      </c>
      <c r="E14" s="143"/>
      <c r="F14" s="144"/>
    </row>
    <row r="15" spans="1:6" ht="16.5" customHeight="1">
      <c r="A15" s="1"/>
      <c r="B15" s="152"/>
      <c r="C15" s="28" t="s">
        <v>147</v>
      </c>
      <c r="D15" s="143">
        <f>51245+18833.88</f>
        <v>70078.88</v>
      </c>
      <c r="E15" s="143"/>
      <c r="F15" s="144"/>
    </row>
    <row r="16" spans="1:6" ht="25.5" customHeight="1" hidden="1">
      <c r="A16" s="1"/>
      <c r="B16" s="152"/>
      <c r="C16" s="29"/>
      <c r="D16" s="143"/>
      <c r="E16" s="143"/>
      <c r="F16" s="144"/>
    </row>
    <row r="17" spans="1:6" ht="16.5" customHeight="1">
      <c r="A17" s="1"/>
      <c r="B17" s="152"/>
      <c r="C17" s="28" t="s">
        <v>148</v>
      </c>
      <c r="D17" s="143">
        <v>196029.03</v>
      </c>
      <c r="E17" s="143"/>
      <c r="F17" s="144"/>
    </row>
    <row r="18" spans="1:6" ht="16.5" customHeight="1">
      <c r="A18" s="1"/>
      <c r="B18" s="53"/>
      <c r="C18" s="15" t="s">
        <v>108</v>
      </c>
      <c r="D18" s="145">
        <f>SUM(D12:F17)</f>
        <v>10112594.14</v>
      </c>
      <c r="E18" s="145"/>
      <c r="F18" s="146"/>
    </row>
    <row r="19" spans="1:8" ht="16.5">
      <c r="A19" s="1"/>
      <c r="B19" s="168" t="s">
        <v>2</v>
      </c>
      <c r="C19" s="29" t="s">
        <v>104</v>
      </c>
      <c r="D19" s="143">
        <v>714000</v>
      </c>
      <c r="E19" s="143"/>
      <c r="F19" s="144"/>
      <c r="H19" s="4"/>
    </row>
    <row r="20" spans="1:8" ht="16.5">
      <c r="A20" s="1"/>
      <c r="B20" s="169"/>
      <c r="C20" s="29" t="s">
        <v>107</v>
      </c>
      <c r="D20" s="143">
        <f>133504.18+53140.97</f>
        <v>186645.15</v>
      </c>
      <c r="E20" s="143"/>
      <c r="F20" s="144"/>
      <c r="H20" s="4"/>
    </row>
    <row r="21" spans="1:8" ht="17.25">
      <c r="A21" s="1"/>
      <c r="B21" s="170"/>
      <c r="C21" s="15" t="s">
        <v>109</v>
      </c>
      <c r="D21" s="145">
        <f>SUM(D19:F20)</f>
        <v>900645.15</v>
      </c>
      <c r="E21" s="145"/>
      <c r="F21" s="146"/>
      <c r="H21" s="4"/>
    </row>
    <row r="22" spans="1:8" ht="16.5" hidden="1">
      <c r="A22" s="1"/>
      <c r="B22" s="171" t="s">
        <v>103</v>
      </c>
      <c r="C22" s="29" t="s">
        <v>99</v>
      </c>
      <c r="D22" s="143"/>
      <c r="E22" s="143"/>
      <c r="F22" s="144"/>
      <c r="H22" s="4"/>
    </row>
    <row r="23" spans="1:8" ht="17.25" hidden="1">
      <c r="A23" s="1"/>
      <c r="B23" s="171"/>
      <c r="C23" s="15" t="s">
        <v>109</v>
      </c>
      <c r="D23" s="145">
        <f>SUM(D22)</f>
        <v>0</v>
      </c>
      <c r="E23" s="145"/>
      <c r="F23" s="146"/>
      <c r="H23" s="4"/>
    </row>
    <row r="24" spans="1:8" ht="16.5" customHeight="1" hidden="1">
      <c r="A24" s="1"/>
      <c r="B24" s="172" t="s">
        <v>128</v>
      </c>
      <c r="C24" s="29" t="s">
        <v>157</v>
      </c>
      <c r="D24" s="143">
        <v>5832620.68</v>
      </c>
      <c r="E24" s="143"/>
      <c r="F24" s="144"/>
      <c r="H24" s="2"/>
    </row>
    <row r="25" spans="1:8" ht="16.5" customHeight="1" hidden="1">
      <c r="A25" s="1"/>
      <c r="B25" s="173"/>
      <c r="C25" s="29" t="s">
        <v>156</v>
      </c>
      <c r="D25" s="143">
        <v>4257649</v>
      </c>
      <c r="E25" s="143"/>
      <c r="F25" s="144"/>
      <c r="H25" s="2"/>
    </row>
    <row r="26" spans="1:8" ht="16.5" customHeight="1">
      <c r="A26" s="1"/>
      <c r="B26" s="173"/>
      <c r="C26" s="29" t="s">
        <v>130</v>
      </c>
      <c r="D26" s="143">
        <v>639217.06</v>
      </c>
      <c r="E26" s="143"/>
      <c r="F26" s="144"/>
      <c r="H26" s="2"/>
    </row>
    <row r="27" spans="1:8" ht="16.5" customHeight="1">
      <c r="A27" s="1"/>
      <c r="B27" s="173"/>
      <c r="C27" s="29" t="s">
        <v>131</v>
      </c>
      <c r="D27" s="148">
        <v>4478242.94</v>
      </c>
      <c r="E27" s="149"/>
      <c r="F27" s="150"/>
      <c r="H27" s="2"/>
    </row>
    <row r="28" spans="1:8" ht="16.5">
      <c r="A28" s="1"/>
      <c r="B28" s="173"/>
      <c r="C28" s="29" t="s">
        <v>132</v>
      </c>
      <c r="D28" s="148">
        <v>0</v>
      </c>
      <c r="E28" s="149"/>
      <c r="F28" s="150"/>
      <c r="H28" s="2"/>
    </row>
    <row r="29" spans="1:8" ht="17.25">
      <c r="A29" s="1"/>
      <c r="B29" s="174"/>
      <c r="C29" s="15" t="s">
        <v>109</v>
      </c>
      <c r="D29" s="154">
        <f>SUM(D26:F28)</f>
        <v>5117460</v>
      </c>
      <c r="E29" s="155"/>
      <c r="F29" s="156"/>
      <c r="H29" s="2"/>
    </row>
    <row r="30" spans="1:8" ht="16.5" customHeight="1" hidden="1">
      <c r="A30" s="1"/>
      <c r="B30" s="151" t="s">
        <v>31</v>
      </c>
      <c r="C30" s="46" t="s">
        <v>98</v>
      </c>
      <c r="D30" s="143"/>
      <c r="E30" s="143"/>
      <c r="F30" s="144"/>
      <c r="H30" s="2"/>
    </row>
    <row r="31" spans="1:8" ht="54" hidden="1">
      <c r="A31" s="1"/>
      <c r="B31" s="152"/>
      <c r="C31" s="46" t="s">
        <v>105</v>
      </c>
      <c r="D31" s="143"/>
      <c r="E31" s="143"/>
      <c r="F31" s="144"/>
      <c r="H31" s="2"/>
    </row>
    <row r="32" spans="1:8" ht="27" customHeight="1">
      <c r="A32" s="1"/>
      <c r="B32" s="152"/>
      <c r="C32" s="29" t="s">
        <v>155</v>
      </c>
      <c r="D32" s="143">
        <v>500000</v>
      </c>
      <c r="E32" s="143"/>
      <c r="F32" s="144"/>
      <c r="H32" s="2"/>
    </row>
    <row r="33" spans="1:8" ht="40.5" hidden="1">
      <c r="A33" s="1"/>
      <c r="B33" s="152"/>
      <c r="C33" s="46" t="s">
        <v>102</v>
      </c>
      <c r="D33" s="143"/>
      <c r="E33" s="143"/>
      <c r="F33" s="144"/>
      <c r="H33" s="2"/>
    </row>
    <row r="34" spans="1:8" ht="27" hidden="1">
      <c r="A34" s="1"/>
      <c r="B34" s="152"/>
      <c r="C34" s="46" t="s">
        <v>106</v>
      </c>
      <c r="D34" s="143"/>
      <c r="E34" s="143"/>
      <c r="F34" s="144"/>
      <c r="H34" s="2"/>
    </row>
    <row r="35" spans="1:8" ht="17.25">
      <c r="A35" s="1"/>
      <c r="B35" s="153"/>
      <c r="C35" s="47" t="s">
        <v>108</v>
      </c>
      <c r="D35" s="145">
        <f>+D32</f>
        <v>500000</v>
      </c>
      <c r="E35" s="145"/>
      <c r="F35" s="146"/>
      <c r="H35" s="2"/>
    </row>
    <row r="36" spans="1:8" ht="34.5" hidden="1">
      <c r="A36" s="1"/>
      <c r="B36" s="51" t="s">
        <v>129</v>
      </c>
      <c r="C36" s="48"/>
      <c r="D36" s="145"/>
      <c r="E36" s="145"/>
      <c r="F36" s="146"/>
      <c r="H36" s="2"/>
    </row>
    <row r="37" spans="1:8" ht="17.25" hidden="1">
      <c r="A37" s="1"/>
      <c r="B37" s="52"/>
      <c r="C37" s="48"/>
      <c r="D37" s="145"/>
      <c r="E37" s="145"/>
      <c r="F37" s="146"/>
      <c r="H37" s="2"/>
    </row>
    <row r="38" spans="1:8" ht="17.25" hidden="1">
      <c r="A38" s="1"/>
      <c r="B38" s="52"/>
      <c r="C38" s="48"/>
      <c r="D38" s="145"/>
      <c r="E38" s="145"/>
      <c r="F38" s="146"/>
      <c r="H38" s="2"/>
    </row>
    <row r="39" spans="1:8" ht="17.25" hidden="1">
      <c r="A39" s="1"/>
      <c r="B39" s="52"/>
      <c r="C39" s="48"/>
      <c r="D39" s="154"/>
      <c r="E39" s="155"/>
      <c r="F39" s="156"/>
      <c r="H39" s="2"/>
    </row>
    <row r="40" spans="1:7" ht="36" customHeight="1" thickBot="1">
      <c r="A40" s="1"/>
      <c r="B40" s="49" t="s">
        <v>3</v>
      </c>
      <c r="C40" s="50"/>
      <c r="D40" s="175">
        <f>+D11+D18+D21+D23+D29+D35</f>
        <v>26171784.22</v>
      </c>
      <c r="E40" s="176"/>
      <c r="F40" s="177"/>
      <c r="G40" s="1"/>
    </row>
    <row r="43" spans="2:6" ht="16.5">
      <c r="B43" s="164" t="s">
        <v>266</v>
      </c>
      <c r="C43" s="140" t="s">
        <v>157</v>
      </c>
      <c r="D43" s="163">
        <v>5832620.68</v>
      </c>
      <c r="E43" s="163"/>
      <c r="F43" s="163"/>
    </row>
    <row r="44" spans="2:6" ht="16.5">
      <c r="B44" s="165"/>
      <c r="C44" s="140" t="s">
        <v>156</v>
      </c>
      <c r="D44" s="163">
        <v>4257649</v>
      </c>
      <c r="E44" s="163"/>
      <c r="F44" s="163"/>
    </row>
    <row r="45" spans="3:6" ht="16.5">
      <c r="C45" s="141" t="s">
        <v>267</v>
      </c>
      <c r="D45" s="166">
        <f>+D43+D44</f>
        <v>10090269.68</v>
      </c>
      <c r="E45" s="167"/>
      <c r="F45" s="167"/>
    </row>
  </sheetData>
  <sheetProtection/>
  <mergeCells count="49">
    <mergeCell ref="D43:F43"/>
    <mergeCell ref="D44:F44"/>
    <mergeCell ref="B43:B44"/>
    <mergeCell ref="D45:F45"/>
    <mergeCell ref="B19:B21"/>
    <mergeCell ref="D19:F19"/>
    <mergeCell ref="D25:F25"/>
    <mergeCell ref="B22:B23"/>
    <mergeCell ref="B24:B29"/>
    <mergeCell ref="D40:F40"/>
    <mergeCell ref="D29:F29"/>
    <mergeCell ref="D36:F36"/>
    <mergeCell ref="D37:F37"/>
    <mergeCell ref="B2:F2"/>
    <mergeCell ref="B5:F5"/>
    <mergeCell ref="D6:F6"/>
    <mergeCell ref="B7:C7"/>
    <mergeCell ref="D7:F7"/>
    <mergeCell ref="B8:B11"/>
    <mergeCell ref="D8:F8"/>
    <mergeCell ref="D9:F9"/>
    <mergeCell ref="D10:F10"/>
    <mergeCell ref="D11:F11"/>
    <mergeCell ref="B12:B17"/>
    <mergeCell ref="D12:F12"/>
    <mergeCell ref="D13:F13"/>
    <mergeCell ref="D14:F14"/>
    <mergeCell ref="D15:F15"/>
    <mergeCell ref="D16:F16"/>
    <mergeCell ref="D34:F34"/>
    <mergeCell ref="D35:F35"/>
    <mergeCell ref="D39:F39"/>
    <mergeCell ref="D20:F20"/>
    <mergeCell ref="D21:F21"/>
    <mergeCell ref="D22:F22"/>
    <mergeCell ref="D23:F23"/>
    <mergeCell ref="D30:F30"/>
    <mergeCell ref="D38:F38"/>
    <mergeCell ref="D28:F28"/>
    <mergeCell ref="D17:F17"/>
    <mergeCell ref="D18:F18"/>
    <mergeCell ref="B1:F1"/>
    <mergeCell ref="D26:F26"/>
    <mergeCell ref="D27:F27"/>
    <mergeCell ref="B30:B35"/>
    <mergeCell ref="D24:F24"/>
    <mergeCell ref="D31:F31"/>
    <mergeCell ref="D32:F32"/>
    <mergeCell ref="D33:F3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H149"/>
  <sheetViews>
    <sheetView tabSelected="1" zoomScalePageLayoutView="0" workbookViewId="0" topLeftCell="A5">
      <pane xSplit="2" ySplit="3" topLeftCell="C8" activePane="bottomRight" state="frozen"/>
      <selection pane="topLeft" activeCell="A5" sqref="A5"/>
      <selection pane="topRight" activeCell="C5" sqref="C5"/>
      <selection pane="bottomLeft" activeCell="A8" sqref="A8"/>
      <selection pane="bottomRight" activeCell="G160" sqref="G160"/>
    </sheetView>
  </sheetViews>
  <sheetFormatPr defaultColWidth="9.140625" defaultRowHeight="15"/>
  <cols>
    <col min="1" max="1" width="11.421875" style="3" customWidth="1"/>
    <col min="2" max="2" width="47.57421875" style="3" customWidth="1"/>
    <col min="3" max="3" width="17.28125" style="3" customWidth="1"/>
    <col min="4" max="4" width="15.57421875" style="3" hidden="1" customWidth="1"/>
    <col min="5" max="5" width="19.28125" style="3" hidden="1" customWidth="1"/>
    <col min="6" max="7" width="18.140625" style="3" customWidth="1"/>
    <col min="8" max="8" width="16.28125" style="3" hidden="1" customWidth="1"/>
    <col min="9" max="10" width="18.140625" style="3" customWidth="1"/>
    <col min="11" max="12" width="18.140625" style="3" hidden="1" customWidth="1"/>
    <col min="13" max="15" width="18.140625" style="3" customWidth="1"/>
    <col min="16" max="16" width="18.140625" style="3" hidden="1" customWidth="1"/>
    <col min="17" max="17" width="18.140625" style="3" customWidth="1"/>
    <col min="18" max="18" width="18.140625" style="3" hidden="1" customWidth="1"/>
    <col min="19" max="19" width="22.57421875" style="3" customWidth="1"/>
    <col min="20" max="20" width="18.140625" style="3" hidden="1" customWidth="1"/>
    <col min="21" max="23" width="18.140625" style="3" customWidth="1"/>
    <col min="24" max="24" width="18.140625" style="3" hidden="1" customWidth="1"/>
    <col min="25" max="31" width="18.140625" style="3" customWidth="1"/>
    <col min="32" max="32" width="19.421875" style="3" customWidth="1"/>
    <col min="33" max="33" width="16.7109375" style="16" customWidth="1"/>
    <col min="34" max="34" width="19.28125" style="3" customWidth="1"/>
    <col min="35" max="35" width="28.00390625" style="3" customWidth="1"/>
    <col min="36" max="16384" width="9.140625" style="3" customWidth="1"/>
  </cols>
  <sheetData>
    <row r="1" ht="15">
      <c r="B1" s="17"/>
    </row>
    <row r="2" spans="1:33" ht="18">
      <c r="A2" s="186" t="s">
        <v>114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1:33" ht="18" customHeight="1">
      <c r="A3" s="187" t="s">
        <v>265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</row>
    <row r="4" spans="1:33" ht="18" customHeight="1">
      <c r="A4" s="188" t="s">
        <v>121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</row>
    <row r="5" ht="12"/>
    <row r="6" spans="1:34" ht="22.5" customHeight="1">
      <c r="A6" s="182" t="s">
        <v>6</v>
      </c>
      <c r="B6" s="182" t="s">
        <v>4</v>
      </c>
      <c r="C6" s="182" t="s">
        <v>152</v>
      </c>
      <c r="D6" s="189" t="s">
        <v>7</v>
      </c>
      <c r="E6" s="189"/>
      <c r="F6" s="182" t="s">
        <v>153</v>
      </c>
      <c r="G6" s="179" t="s">
        <v>2</v>
      </c>
      <c r="H6" s="179" t="s">
        <v>103</v>
      </c>
      <c r="I6" s="183" t="s">
        <v>117</v>
      </c>
      <c r="J6" s="184"/>
      <c r="K6" s="184"/>
      <c r="L6" s="185"/>
      <c r="M6" s="182" t="s">
        <v>269</v>
      </c>
      <c r="N6" s="182"/>
      <c r="O6" s="179" t="s">
        <v>270</v>
      </c>
      <c r="P6" s="179" t="s">
        <v>271</v>
      </c>
      <c r="Q6" s="179" t="s">
        <v>272</v>
      </c>
      <c r="R6" s="179" t="s">
        <v>273</v>
      </c>
      <c r="S6" s="179" t="s">
        <v>274</v>
      </c>
      <c r="T6" s="179" t="s">
        <v>137</v>
      </c>
      <c r="U6" s="182" t="s">
        <v>275</v>
      </c>
      <c r="V6" s="182"/>
      <c r="W6" s="179" t="s">
        <v>276</v>
      </c>
      <c r="X6" s="179" t="s">
        <v>277</v>
      </c>
      <c r="Y6" s="179" t="s">
        <v>278</v>
      </c>
      <c r="Z6" s="182" t="s">
        <v>279</v>
      </c>
      <c r="AA6" s="182"/>
      <c r="AB6" s="179" t="s">
        <v>280</v>
      </c>
      <c r="AC6" s="179" t="s">
        <v>281</v>
      </c>
      <c r="AD6" s="179" t="s">
        <v>282</v>
      </c>
      <c r="AE6" s="182" t="s">
        <v>283</v>
      </c>
      <c r="AF6" s="182" t="s">
        <v>118</v>
      </c>
      <c r="AG6" s="185" t="s">
        <v>119</v>
      </c>
      <c r="AH6" s="185" t="s">
        <v>120</v>
      </c>
    </row>
    <row r="7" spans="1:34" ht="51.75" customHeight="1" thickBot="1">
      <c r="A7" s="182"/>
      <c r="B7" s="182"/>
      <c r="C7" s="182"/>
      <c r="D7" s="21" t="s">
        <v>8</v>
      </c>
      <c r="E7" s="21" t="s">
        <v>9</v>
      </c>
      <c r="F7" s="182"/>
      <c r="G7" s="180"/>
      <c r="H7" s="180"/>
      <c r="I7" s="139" t="s">
        <v>125</v>
      </c>
      <c r="J7" s="139" t="s">
        <v>126</v>
      </c>
      <c r="K7" s="139" t="s">
        <v>127</v>
      </c>
      <c r="L7" s="139" t="s">
        <v>135</v>
      </c>
      <c r="M7" s="139" t="s">
        <v>123</v>
      </c>
      <c r="N7" s="139" t="s">
        <v>124</v>
      </c>
      <c r="O7" s="180"/>
      <c r="P7" s="180"/>
      <c r="Q7" s="180"/>
      <c r="R7" s="180"/>
      <c r="S7" s="180"/>
      <c r="T7" s="180"/>
      <c r="U7" s="139" t="s">
        <v>123</v>
      </c>
      <c r="V7" s="139" t="s">
        <v>124</v>
      </c>
      <c r="W7" s="180"/>
      <c r="X7" s="180"/>
      <c r="Y7" s="180"/>
      <c r="Z7" s="139" t="s">
        <v>123</v>
      </c>
      <c r="AA7" s="139" t="s">
        <v>124</v>
      </c>
      <c r="AB7" s="180"/>
      <c r="AC7" s="180"/>
      <c r="AD7" s="180"/>
      <c r="AE7" s="182"/>
      <c r="AF7" s="182"/>
      <c r="AG7" s="185"/>
      <c r="AH7" s="185"/>
    </row>
    <row r="8" spans="1:33" ht="15.75">
      <c r="A8" s="178" t="s">
        <v>58</v>
      </c>
      <c r="B8" s="178"/>
      <c r="AG8" s="3"/>
    </row>
    <row r="9" spans="1:34" ht="14.25" customHeight="1">
      <c r="A9" s="80">
        <v>1131</v>
      </c>
      <c r="B9" s="81" t="s">
        <v>159</v>
      </c>
      <c r="C9" s="99">
        <f>+'PE-PARTIDA'!C9</f>
        <v>2162631</v>
      </c>
      <c r="D9" s="99"/>
      <c r="E9" s="99"/>
      <c r="F9" s="99">
        <f>+'PE-PARTIDA'!Q9</f>
        <v>4783463</v>
      </c>
      <c r="G9" s="99">
        <f>+'PE-PARTIDA'!AA9</f>
        <v>84398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31000</v>
      </c>
      <c r="N9" s="99">
        <v>0</v>
      </c>
      <c r="O9" s="99">
        <v>52926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409310</v>
      </c>
      <c r="W9" s="99">
        <v>539429.23</v>
      </c>
      <c r="X9" s="99">
        <v>0</v>
      </c>
      <c r="Y9" s="99">
        <v>0</v>
      </c>
      <c r="Z9" s="99">
        <v>0</v>
      </c>
      <c r="AA9" s="99">
        <v>0</v>
      </c>
      <c r="AB9" s="99">
        <v>18833.88</v>
      </c>
      <c r="AC9" s="99">
        <v>1470963</v>
      </c>
      <c r="AD9" s="99">
        <v>0</v>
      </c>
      <c r="AE9" s="99">
        <f>+C9+F9+G9+H9+I9+J9+K9+L9-M9+N9+O9+P9+Q9+R9+S9+T9-U9+V9+W9+X9+Y9-Z9+AA9+AB9+AC9+AD9</f>
        <v>9490954.11</v>
      </c>
      <c r="AF9" s="99">
        <v>8254589.3</v>
      </c>
      <c r="AG9" s="133">
        <f>AF9/AE9</f>
        <v>0.8697322950179137</v>
      </c>
      <c r="AH9" s="99">
        <f>+AE9-AF9</f>
        <v>1236364.8099999996</v>
      </c>
    </row>
    <row r="10" spans="1:34" ht="12.75">
      <c r="A10" s="80">
        <v>1211</v>
      </c>
      <c r="B10" s="81" t="s">
        <v>160</v>
      </c>
      <c r="C10" s="99">
        <f>+'PE-PARTIDA'!C10</f>
        <v>220000</v>
      </c>
      <c r="D10" s="99"/>
      <c r="E10" s="99"/>
      <c r="F10" s="99">
        <f>+'PE-PARTIDA'!Q10</f>
        <v>0</v>
      </c>
      <c r="G10" s="99">
        <f>+'PE-PARTIDA'!AA10</f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f aca="true" t="shared" si="0" ref="AE10:AE29">+C10+F10+G10+H10+I10+J10+K10+L10-M10+N10+O10+P10+Q10+R10+S10+T10-U10+V10+W10+X10+Y10-Z10+AA10+AB10+AC10+AD10</f>
        <v>220000</v>
      </c>
      <c r="AF10" s="99">
        <v>76454.51</v>
      </c>
      <c r="AG10" s="133">
        <f aca="true" t="shared" si="1" ref="AG10:AG29">AF10/AE10</f>
        <v>0.34752049999999995</v>
      </c>
      <c r="AH10" s="99">
        <f aca="true" t="shared" si="2" ref="AH10:AH29">+AE10-AF10</f>
        <v>143545.49</v>
      </c>
    </row>
    <row r="11" spans="1:34" ht="25.5">
      <c r="A11" s="80">
        <v>1311</v>
      </c>
      <c r="B11" s="81" t="s">
        <v>69</v>
      </c>
      <c r="C11" s="99">
        <f>+'PE-PARTIDA'!C11</f>
        <v>0</v>
      </c>
      <c r="D11" s="99"/>
      <c r="E11" s="99"/>
      <c r="F11" s="99">
        <f>+'PE-PARTIDA'!Q11</f>
        <v>0</v>
      </c>
      <c r="G11" s="99">
        <f>+'PE-PARTIDA'!AA11</f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186198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f t="shared" si="0"/>
        <v>186198</v>
      </c>
      <c r="AF11" s="99">
        <v>69800.42</v>
      </c>
      <c r="AG11" s="133">
        <f t="shared" si="1"/>
        <v>0.3748720179593766</v>
      </c>
      <c r="AH11" s="99">
        <f t="shared" si="2"/>
        <v>116397.58</v>
      </c>
    </row>
    <row r="12" spans="1:34" ht="12.75">
      <c r="A12" s="80">
        <v>1321</v>
      </c>
      <c r="B12" s="81" t="s">
        <v>10</v>
      </c>
      <c r="C12" s="99">
        <f>+'PE-PARTIDA'!C12</f>
        <v>245118</v>
      </c>
      <c r="D12" s="99"/>
      <c r="E12" s="99"/>
      <c r="F12" s="99">
        <f>+'PE-PARTIDA'!Q12</f>
        <v>245118</v>
      </c>
      <c r="G12" s="99">
        <f>+'PE-PARTIDA'!AA12</f>
        <v>6372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11000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55000</v>
      </c>
      <c r="AD12" s="99">
        <v>0</v>
      </c>
      <c r="AE12" s="99">
        <f t="shared" si="0"/>
        <v>562608</v>
      </c>
      <c r="AF12" s="99">
        <v>561710.6</v>
      </c>
      <c r="AG12" s="133">
        <f t="shared" si="1"/>
        <v>0.9984049284759547</v>
      </c>
      <c r="AH12" s="99">
        <f t="shared" si="2"/>
        <v>897.4000000000233</v>
      </c>
    </row>
    <row r="13" spans="1:34" ht="12.75">
      <c r="A13" s="80">
        <v>1322</v>
      </c>
      <c r="B13" s="81" t="s">
        <v>5</v>
      </c>
      <c r="C13" s="99">
        <f>+'PE-PARTIDA'!C13</f>
        <v>597135</v>
      </c>
      <c r="D13" s="99"/>
      <c r="E13" s="99"/>
      <c r="F13" s="99">
        <f>+'PE-PARTIDA'!Q13</f>
        <v>498089</v>
      </c>
      <c r="G13" s="99">
        <f>+'PE-PARTIDA'!AA13</f>
        <v>12191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200000</v>
      </c>
      <c r="AD13" s="99">
        <v>0</v>
      </c>
      <c r="AE13" s="99">
        <f t="shared" si="0"/>
        <v>1307415</v>
      </c>
      <c r="AF13" s="99">
        <v>1185075.732</v>
      </c>
      <c r="AG13" s="133">
        <f t="shared" si="1"/>
        <v>0.9064265990523285</v>
      </c>
      <c r="AH13" s="99">
        <f t="shared" si="2"/>
        <v>122339.26799999992</v>
      </c>
    </row>
    <row r="14" spans="1:34" ht="12.75" hidden="1">
      <c r="A14" s="80">
        <v>1343</v>
      </c>
      <c r="B14" s="81" t="s">
        <v>11</v>
      </c>
      <c r="C14" s="99">
        <f>+'PE-PARTIDA'!C14</f>
        <v>0</v>
      </c>
      <c r="D14" s="99"/>
      <c r="E14" s="99"/>
      <c r="F14" s="99">
        <f>+'PE-PARTIDA'!Q14</f>
        <v>0</v>
      </c>
      <c r="G14" s="99">
        <f>+'PE-PARTIDA'!AA14</f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/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/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/>
      <c r="AD14" s="99">
        <v>0</v>
      </c>
      <c r="AE14" s="99">
        <f t="shared" si="0"/>
        <v>0</v>
      </c>
      <c r="AF14" s="99">
        <v>0</v>
      </c>
      <c r="AG14" s="133" t="e">
        <f t="shared" si="1"/>
        <v>#DIV/0!</v>
      </c>
      <c r="AH14" s="99">
        <f t="shared" si="2"/>
        <v>0</v>
      </c>
    </row>
    <row r="15" spans="1:34" ht="12.75" hidden="1">
      <c r="A15" s="80">
        <v>1347</v>
      </c>
      <c r="B15" s="81" t="s">
        <v>161</v>
      </c>
      <c r="C15" s="99">
        <f>+'PE-PARTIDA'!C15</f>
        <v>0</v>
      </c>
      <c r="D15" s="99"/>
      <c r="E15" s="99"/>
      <c r="F15" s="99">
        <f>+'PE-PARTIDA'!Q15</f>
        <v>0</v>
      </c>
      <c r="G15" s="99">
        <f>+'PE-PARTIDA'!AA15</f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/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/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/>
      <c r="AD15" s="99">
        <v>0</v>
      </c>
      <c r="AE15" s="99">
        <f t="shared" si="0"/>
        <v>0</v>
      </c>
      <c r="AF15" s="99">
        <v>0</v>
      </c>
      <c r="AG15" s="133" t="e">
        <f t="shared" si="1"/>
        <v>#DIV/0!</v>
      </c>
      <c r="AH15" s="99">
        <f t="shared" si="2"/>
        <v>0</v>
      </c>
    </row>
    <row r="16" spans="1:34" ht="12.75">
      <c r="A16" s="80">
        <v>1411</v>
      </c>
      <c r="B16" s="81" t="s">
        <v>162</v>
      </c>
      <c r="C16" s="99">
        <f>+'PE-PARTIDA'!C16</f>
        <v>250383</v>
      </c>
      <c r="D16" s="99"/>
      <c r="E16" s="99"/>
      <c r="F16" s="99">
        <f>+'PE-PARTIDA'!Q16</f>
        <v>250383</v>
      </c>
      <c r="G16" s="99">
        <f>+'PE-PARTIDA'!AA16</f>
        <v>8771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25000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25000</v>
      </c>
      <c r="AD16" s="99">
        <v>0</v>
      </c>
      <c r="AE16" s="99">
        <f t="shared" si="0"/>
        <v>559537</v>
      </c>
      <c r="AF16" s="99">
        <v>507730.49</v>
      </c>
      <c r="AG16" s="133">
        <f t="shared" si="1"/>
        <v>0.9074118244191179</v>
      </c>
      <c r="AH16" s="99">
        <f t="shared" si="2"/>
        <v>51806.51000000001</v>
      </c>
    </row>
    <row r="17" spans="1:34" ht="12.75">
      <c r="A17" s="80">
        <v>1421</v>
      </c>
      <c r="B17" s="81" t="s">
        <v>12</v>
      </c>
      <c r="C17" s="99">
        <f>+'PE-PARTIDA'!C17</f>
        <v>110099</v>
      </c>
      <c r="D17" s="99"/>
      <c r="E17" s="99"/>
      <c r="F17" s="99">
        <f>+'PE-PARTIDA'!Q17</f>
        <v>110099</v>
      </c>
      <c r="G17" s="99">
        <f>+'PE-PARTIDA'!AA17</f>
        <v>2918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12000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25000</v>
      </c>
      <c r="AD17" s="99">
        <v>0</v>
      </c>
      <c r="AE17" s="99">
        <f t="shared" si="0"/>
        <v>260116</v>
      </c>
      <c r="AF17" s="99">
        <v>260116</v>
      </c>
      <c r="AG17" s="133">
        <f t="shared" si="1"/>
        <v>1</v>
      </c>
      <c r="AH17" s="99">
        <f t="shared" si="2"/>
        <v>0</v>
      </c>
    </row>
    <row r="18" spans="1:34" ht="12.75">
      <c r="A18" s="80">
        <v>1431</v>
      </c>
      <c r="B18" s="81" t="s">
        <v>70</v>
      </c>
      <c r="C18" s="99">
        <f>+'PE-PARTIDA'!C18</f>
        <v>496808</v>
      </c>
      <c r="D18" s="99"/>
      <c r="E18" s="99"/>
      <c r="F18" s="99">
        <f>+'PE-PARTIDA'!Q18</f>
        <v>496808</v>
      </c>
      <c r="G18" s="99">
        <f>+'PE-PARTIDA'!AA18</f>
        <v>11474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25000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160000</v>
      </c>
      <c r="AD18" s="99">
        <v>0</v>
      </c>
      <c r="AE18" s="99">
        <f t="shared" si="0"/>
        <v>1190090</v>
      </c>
      <c r="AF18" s="99">
        <v>1153922.1400000001</v>
      </c>
      <c r="AG18" s="133">
        <f t="shared" si="1"/>
        <v>0.9696091388046283</v>
      </c>
      <c r="AH18" s="99">
        <f t="shared" si="2"/>
        <v>36167.85999999987</v>
      </c>
    </row>
    <row r="19" spans="1:34" ht="12.75">
      <c r="A19" s="80">
        <v>1432</v>
      </c>
      <c r="B19" s="81" t="s">
        <v>163</v>
      </c>
      <c r="C19" s="99">
        <f>+'PE-PARTIDA'!C19</f>
        <v>97589</v>
      </c>
      <c r="D19" s="99"/>
      <c r="E19" s="99"/>
      <c r="F19" s="99">
        <f>+'PE-PARTIDA'!Q19</f>
        <v>97589</v>
      </c>
      <c r="G19" s="99">
        <f>+'PE-PARTIDA'!AA19</f>
        <v>2112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10000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25000</v>
      </c>
      <c r="AD19" s="99">
        <v>0</v>
      </c>
      <c r="AE19" s="99">
        <f t="shared" si="0"/>
        <v>232290</v>
      </c>
      <c r="AF19" s="99">
        <v>159815.83999999997</v>
      </c>
      <c r="AG19" s="133">
        <f t="shared" si="1"/>
        <v>0.6880013775883592</v>
      </c>
      <c r="AH19" s="99">
        <f t="shared" si="2"/>
        <v>72474.16000000003</v>
      </c>
    </row>
    <row r="20" spans="1:34" ht="12.75">
      <c r="A20" s="80">
        <v>1521</v>
      </c>
      <c r="B20" s="81" t="s">
        <v>164</v>
      </c>
      <c r="C20" s="99">
        <f>+'PE-PARTIDA'!C20</f>
        <v>100000</v>
      </c>
      <c r="D20" s="99"/>
      <c r="E20" s="99"/>
      <c r="F20" s="99">
        <f>+'PE-PARTIDA'!Q20</f>
        <v>0</v>
      </c>
      <c r="G20" s="99">
        <f>+'PE-PARTIDA'!AA20</f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f t="shared" si="0"/>
        <v>100000</v>
      </c>
      <c r="AF20" s="99">
        <v>25741.41</v>
      </c>
      <c r="AG20" s="133">
        <f t="shared" si="1"/>
        <v>0.2574141</v>
      </c>
      <c r="AH20" s="99">
        <f t="shared" si="2"/>
        <v>74258.59</v>
      </c>
    </row>
    <row r="21" spans="1:34" ht="12.75">
      <c r="A21" s="80">
        <v>1543</v>
      </c>
      <c r="B21" s="81" t="s">
        <v>165</v>
      </c>
      <c r="C21" s="99">
        <f>+'PE-PARTIDA'!C21</f>
        <v>166289</v>
      </c>
      <c r="D21" s="99"/>
      <c r="E21" s="99"/>
      <c r="F21" s="99">
        <f>+'PE-PARTIDA'!Q21</f>
        <v>166289</v>
      </c>
      <c r="G21" s="99">
        <f>+'PE-PARTIDA'!AA21</f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129121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10000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f t="shared" si="0"/>
        <v>451699</v>
      </c>
      <c r="AF21" s="99">
        <v>5478.16</v>
      </c>
      <c r="AG21" s="133">
        <f t="shared" si="1"/>
        <v>0.012127899331191789</v>
      </c>
      <c r="AH21" s="99">
        <f t="shared" si="2"/>
        <v>446220.84</v>
      </c>
    </row>
    <row r="22" spans="1:34" ht="12.75">
      <c r="A22" s="80">
        <v>1544</v>
      </c>
      <c r="B22" s="81" t="s">
        <v>166</v>
      </c>
      <c r="C22" s="99">
        <f>+'PE-PARTIDA'!C22</f>
        <v>294200</v>
      </c>
      <c r="D22" s="99"/>
      <c r="E22" s="99"/>
      <c r="F22" s="99">
        <f>+'PE-PARTIDA'!Q22</f>
        <v>0</v>
      </c>
      <c r="G22" s="99">
        <f>+'PE-PARTIDA'!AA22</f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f t="shared" si="0"/>
        <v>294200</v>
      </c>
      <c r="AF22" s="99">
        <v>221903.85</v>
      </c>
      <c r="AG22" s="133">
        <f t="shared" si="1"/>
        <v>0.7542618966689327</v>
      </c>
      <c r="AH22" s="99">
        <f t="shared" si="2"/>
        <v>72296.15</v>
      </c>
    </row>
    <row r="23" spans="1:34" ht="25.5">
      <c r="A23" s="80">
        <v>1551</v>
      </c>
      <c r="B23" s="81" t="s">
        <v>167</v>
      </c>
      <c r="C23" s="99">
        <f>+'PE-PARTIDA'!C23</f>
        <v>91606</v>
      </c>
      <c r="D23" s="99"/>
      <c r="E23" s="99"/>
      <c r="F23" s="99">
        <f>+'PE-PARTIDA'!Q23</f>
        <v>91906</v>
      </c>
      <c r="G23" s="99">
        <f>+'PE-PARTIDA'!AA23</f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8000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f t="shared" si="0"/>
        <v>175512</v>
      </c>
      <c r="AF23" s="99">
        <v>0</v>
      </c>
      <c r="AG23" s="133">
        <f t="shared" si="1"/>
        <v>0</v>
      </c>
      <c r="AH23" s="99">
        <f t="shared" si="2"/>
        <v>175512</v>
      </c>
    </row>
    <row r="24" spans="1:34" ht="12.75">
      <c r="A24" s="80">
        <v>1611</v>
      </c>
      <c r="B24" s="81" t="s">
        <v>168</v>
      </c>
      <c r="C24" s="99">
        <f>+'PE-PARTIDA'!C24</f>
        <v>204655</v>
      </c>
      <c r="D24" s="99"/>
      <c r="E24" s="99"/>
      <c r="F24" s="99">
        <f>+'PE-PARTIDA'!Q24</f>
        <v>204655</v>
      </c>
      <c r="G24" s="99">
        <f>+'PE-PARTIDA'!AA24</f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409310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f t="shared" si="0"/>
        <v>0</v>
      </c>
      <c r="AF24" s="99">
        <v>0</v>
      </c>
      <c r="AG24" s="133">
        <v>0</v>
      </c>
      <c r="AH24" s="99">
        <f t="shared" si="2"/>
        <v>0</v>
      </c>
    </row>
    <row r="25" spans="1:34" ht="12.75">
      <c r="A25" s="80">
        <v>1712</v>
      </c>
      <c r="B25" s="81" t="s">
        <v>13</v>
      </c>
      <c r="C25" s="99">
        <f>+'PE-PARTIDA'!C25</f>
        <v>322954</v>
      </c>
      <c r="D25" s="99"/>
      <c r="E25" s="99"/>
      <c r="F25" s="99">
        <f>+'PE-PARTIDA'!Q25</f>
        <v>322954</v>
      </c>
      <c r="G25" s="99">
        <f>+'PE-PARTIDA'!AA25</f>
        <v>5126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30000</v>
      </c>
      <c r="N25" s="99">
        <v>0</v>
      </c>
      <c r="O25" s="99">
        <v>60933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47000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350000</v>
      </c>
      <c r="AD25" s="99">
        <v>0</v>
      </c>
      <c r="AE25" s="99">
        <f t="shared" si="0"/>
        <v>1078967</v>
      </c>
      <c r="AF25" s="99">
        <v>998207.1699999999</v>
      </c>
      <c r="AG25" s="133">
        <f t="shared" si="1"/>
        <v>0.9251507877442035</v>
      </c>
      <c r="AH25" s="99">
        <f t="shared" si="2"/>
        <v>80759.83000000007</v>
      </c>
    </row>
    <row r="26" spans="1:34" ht="12.75">
      <c r="A26" s="80">
        <v>1713</v>
      </c>
      <c r="B26" s="81" t="s">
        <v>169</v>
      </c>
      <c r="C26" s="99">
        <f>+'PE-PARTIDA'!C26</f>
        <v>17200</v>
      </c>
      <c r="D26" s="99"/>
      <c r="E26" s="99"/>
      <c r="F26" s="99">
        <f>+'PE-PARTIDA'!Q26</f>
        <v>0</v>
      </c>
      <c r="G26" s="99">
        <f>+'PE-PARTIDA'!AA26</f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f t="shared" si="0"/>
        <v>17200</v>
      </c>
      <c r="AF26" s="99">
        <v>16512</v>
      </c>
      <c r="AG26" s="133">
        <f t="shared" si="1"/>
        <v>0.96</v>
      </c>
      <c r="AH26" s="99">
        <f t="shared" si="2"/>
        <v>688</v>
      </c>
    </row>
    <row r="27" spans="1:34" ht="12.75">
      <c r="A27" s="80">
        <v>1715</v>
      </c>
      <c r="B27" s="81" t="s">
        <v>170</v>
      </c>
      <c r="C27" s="99">
        <f>+'PE-PARTIDA'!C27</f>
        <v>200000</v>
      </c>
      <c r="D27" s="99"/>
      <c r="E27" s="99"/>
      <c r="F27" s="99">
        <f>+'PE-PARTIDA'!Q27</f>
        <v>0</v>
      </c>
      <c r="G27" s="99">
        <f>+'PE-PARTIDA'!AA27</f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90000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18000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f t="shared" si="0"/>
        <v>308000</v>
      </c>
      <c r="AF27" s="99">
        <v>307788.19</v>
      </c>
      <c r="AG27" s="133">
        <f t="shared" si="1"/>
        <v>0.9993123051948052</v>
      </c>
      <c r="AH27" s="99">
        <f t="shared" si="2"/>
        <v>211.80999999999767</v>
      </c>
    </row>
    <row r="28" spans="1:34" ht="12.75" hidden="1">
      <c r="A28" s="80">
        <v>1716</v>
      </c>
      <c r="B28" s="81" t="s">
        <v>171</v>
      </c>
      <c r="C28" s="99">
        <f>+'PE-PARTIDA'!C28</f>
        <v>0</v>
      </c>
      <c r="D28" s="99"/>
      <c r="E28" s="99"/>
      <c r="F28" s="99">
        <f>+'PE-PARTIDA'!Q28</f>
        <v>0</v>
      </c>
      <c r="G28" s="99">
        <f>+'PE-PARTIDA'!AA28</f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f>+'PE-PARTIDA'!G28+'PE-PARTIDA'!J28+'PE-PARTIDA'!N28+'PE-PARTIDA'!X28+'PE-PARTIDA'!AJ28+'PE-PARTIDA'!AS28+'PE-PARTIDA'!AV28+'PE-PARTIDA'!AB28+'PE-PARTIDA'!AP28</f>
        <v>0</v>
      </c>
      <c r="N28" s="99">
        <f>+'PE-PARTIDA'!H28+'PE-PARTIDA'!K28+'PE-PARTIDA'!O28+'PE-PARTIDA'!Y28+'PE-PARTIDA'!AC28+'PE-PARTIDA'!AK28+'PE-PARTIDA'!AT28+'PE-PARTIDA'!AW28+'PE-PARTIDA'!AQ27</f>
        <v>0</v>
      </c>
      <c r="O28" s="99"/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/>
      <c r="V28" s="99"/>
      <c r="W28" s="99"/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/>
      <c r="AD28" s="99">
        <v>0</v>
      </c>
      <c r="AE28" s="99">
        <f t="shared" si="0"/>
        <v>0</v>
      </c>
      <c r="AF28" s="99">
        <v>0</v>
      </c>
      <c r="AG28" s="133" t="e">
        <f t="shared" si="1"/>
        <v>#DIV/0!</v>
      </c>
      <c r="AH28" s="99">
        <f t="shared" si="2"/>
        <v>0</v>
      </c>
    </row>
    <row r="29" spans="1:34" ht="12.75">
      <c r="A29" s="80">
        <v>1719</v>
      </c>
      <c r="B29" s="81" t="s">
        <v>71</v>
      </c>
      <c r="C29" s="99">
        <f>+'PE-PARTIDA'!C29</f>
        <v>297475</v>
      </c>
      <c r="D29" s="99"/>
      <c r="E29" s="99"/>
      <c r="F29" s="99">
        <f>+'PE-PARTIDA'!Q29</f>
        <v>247475</v>
      </c>
      <c r="G29" s="99">
        <f>+'PE-PARTIDA'!AA29</f>
        <v>6638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29000</v>
      </c>
      <c r="N29" s="99">
        <v>0</v>
      </c>
      <c r="O29" s="99">
        <v>60000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11245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244000</v>
      </c>
      <c r="AD29" s="99">
        <v>0</v>
      </c>
      <c r="AE29" s="99">
        <f t="shared" si="0"/>
        <v>837833</v>
      </c>
      <c r="AF29" s="99">
        <v>832991.11</v>
      </c>
      <c r="AG29" s="133">
        <f t="shared" si="1"/>
        <v>0.9942209366305695</v>
      </c>
      <c r="AH29" s="99">
        <f t="shared" si="2"/>
        <v>4841.890000000014</v>
      </c>
    </row>
    <row r="30" spans="1:34" ht="13.5" thickBot="1">
      <c r="A30" s="82"/>
      <c r="B30" s="83" t="s">
        <v>41</v>
      </c>
      <c r="C30" s="98">
        <f>SUM(C9:C29)</f>
        <v>5874142</v>
      </c>
      <c r="D30" s="98"/>
      <c r="E30" s="98"/>
      <c r="F30" s="98">
        <f>SUM(F9:F29)</f>
        <v>7514828</v>
      </c>
      <c r="G30" s="98">
        <f>SUM(G9:G29)</f>
        <v>140000</v>
      </c>
      <c r="H30" s="98">
        <f aca="true" t="shared" si="3" ref="H30:AF30">SUM(H9:H29)</f>
        <v>0</v>
      </c>
      <c r="I30" s="98">
        <f t="shared" si="3"/>
        <v>0</v>
      </c>
      <c r="J30" s="98">
        <f t="shared" si="3"/>
        <v>0</v>
      </c>
      <c r="K30" s="98">
        <f t="shared" si="3"/>
        <v>0</v>
      </c>
      <c r="L30" s="98">
        <f t="shared" si="3"/>
        <v>0</v>
      </c>
      <c r="M30" s="98">
        <f t="shared" si="3"/>
        <v>90000</v>
      </c>
      <c r="N30" s="98">
        <f t="shared" si="3"/>
        <v>90000</v>
      </c>
      <c r="O30" s="98">
        <f t="shared" si="3"/>
        <v>572178</v>
      </c>
      <c r="P30" s="98">
        <f t="shared" si="3"/>
        <v>0</v>
      </c>
      <c r="Q30" s="98">
        <f t="shared" si="3"/>
        <v>0</v>
      </c>
      <c r="R30" s="98">
        <f t="shared" si="3"/>
        <v>0</v>
      </c>
      <c r="S30" s="98">
        <f t="shared" si="3"/>
        <v>0</v>
      </c>
      <c r="T30" s="98">
        <f t="shared" si="3"/>
        <v>0</v>
      </c>
      <c r="U30" s="98">
        <f t="shared" si="3"/>
        <v>427310</v>
      </c>
      <c r="V30" s="98">
        <f t="shared" si="3"/>
        <v>427310</v>
      </c>
      <c r="W30" s="98">
        <f t="shared" si="3"/>
        <v>597674.23</v>
      </c>
      <c r="X30" s="98">
        <f t="shared" si="3"/>
        <v>0</v>
      </c>
      <c r="Y30" s="98">
        <f t="shared" si="3"/>
        <v>0</v>
      </c>
      <c r="Z30" s="98">
        <f t="shared" si="3"/>
        <v>0</v>
      </c>
      <c r="AA30" s="98">
        <f t="shared" si="3"/>
        <v>0</v>
      </c>
      <c r="AB30" s="98">
        <f t="shared" si="3"/>
        <v>18833.88</v>
      </c>
      <c r="AC30" s="98">
        <f t="shared" si="3"/>
        <v>2554963</v>
      </c>
      <c r="AD30" s="98">
        <f t="shared" si="3"/>
        <v>0</v>
      </c>
      <c r="AE30" s="98">
        <f t="shared" si="3"/>
        <v>17272619.11</v>
      </c>
      <c r="AF30" s="98">
        <f t="shared" si="3"/>
        <v>14637836.922</v>
      </c>
      <c r="AG30" s="134">
        <f>AF30/AE30</f>
        <v>0.8474590233698496</v>
      </c>
      <c r="AH30" s="98">
        <f>SUM(AH9:AH29)</f>
        <v>2634782.188</v>
      </c>
    </row>
    <row r="31" spans="1:34" ht="15.75">
      <c r="A31" s="178" t="s">
        <v>59</v>
      </c>
      <c r="B31" s="178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35"/>
      <c r="AH31" s="100"/>
    </row>
    <row r="32" spans="1:34" ht="12.75">
      <c r="A32" s="80">
        <v>2111</v>
      </c>
      <c r="B32" s="81" t="s">
        <v>14</v>
      </c>
      <c r="C32" s="99">
        <f>+'PE-PARTIDA'!C32</f>
        <v>0</v>
      </c>
      <c r="D32" s="99"/>
      <c r="E32" s="99"/>
      <c r="F32" s="99">
        <f>+'PE-PARTIDA'!Q32</f>
        <v>0</v>
      </c>
      <c r="G32" s="99">
        <f>+'PE-PARTIDA'!AA32</f>
        <v>24000</v>
      </c>
      <c r="H32" s="99">
        <v>0</v>
      </c>
      <c r="I32" s="99">
        <v>1000</v>
      </c>
      <c r="J32" s="99">
        <v>39000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f aca="true" t="shared" si="4" ref="AE32:AE70">+C32+F32+G32+H32+I32+J32+K32+L32-M32+N32+O32+P32+Q32+R32+S32+T32-U32+V32+W32+X32+Y32-Z32+AA32+AB32+AC32+AD32</f>
        <v>64000</v>
      </c>
      <c r="AF32" s="99">
        <v>63902.33</v>
      </c>
      <c r="AG32" s="133">
        <f>AF32/AE32</f>
        <v>0.99847390625</v>
      </c>
      <c r="AH32" s="99">
        <f aca="true" t="shared" si="5" ref="AH32:AH70">+AE32-AF32</f>
        <v>97.66999999999825</v>
      </c>
    </row>
    <row r="33" spans="1:34" ht="12.75">
      <c r="A33" s="80">
        <v>2121</v>
      </c>
      <c r="B33" s="81" t="s">
        <v>15</v>
      </c>
      <c r="C33" s="99">
        <f>+'PE-PARTIDA'!C33</f>
        <v>0</v>
      </c>
      <c r="D33" s="99"/>
      <c r="E33" s="99"/>
      <c r="F33" s="99">
        <f>+'PE-PARTIDA'!Q33</f>
        <v>0</v>
      </c>
      <c r="G33" s="99">
        <f>+'PE-PARTIDA'!AA33</f>
        <v>60000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6000</v>
      </c>
      <c r="AA33" s="99">
        <v>0</v>
      </c>
      <c r="AB33" s="99">
        <v>0</v>
      </c>
      <c r="AC33" s="99">
        <v>0</v>
      </c>
      <c r="AD33" s="99">
        <v>0</v>
      </c>
      <c r="AE33" s="99">
        <f t="shared" si="4"/>
        <v>54000</v>
      </c>
      <c r="AF33" s="99">
        <v>47426.6</v>
      </c>
      <c r="AG33" s="133">
        <f aca="true" t="shared" si="6" ref="AG33:AG70">AF33/AE33</f>
        <v>0.8782703703703704</v>
      </c>
      <c r="AH33" s="99">
        <f t="shared" si="5"/>
        <v>6573.4000000000015</v>
      </c>
    </row>
    <row r="34" spans="1:34" ht="25.5">
      <c r="A34" s="80">
        <v>2141</v>
      </c>
      <c r="B34" s="81" t="s">
        <v>72</v>
      </c>
      <c r="C34" s="99">
        <f>+'PE-PARTIDA'!C34</f>
        <v>0</v>
      </c>
      <c r="D34" s="99"/>
      <c r="E34" s="99"/>
      <c r="F34" s="99">
        <f>+'PE-PARTIDA'!Q34</f>
        <v>0</v>
      </c>
      <c r="G34" s="99">
        <f>+'PE-PARTIDA'!AA34</f>
        <v>30000</v>
      </c>
      <c r="H34" s="99">
        <v>0</v>
      </c>
      <c r="I34" s="99">
        <v>0</v>
      </c>
      <c r="J34" s="99">
        <v>80000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f t="shared" si="4"/>
        <v>110000</v>
      </c>
      <c r="AF34" s="99">
        <v>107595.57</v>
      </c>
      <c r="AG34" s="133">
        <f t="shared" si="6"/>
        <v>0.9781415454545456</v>
      </c>
      <c r="AH34" s="99">
        <f t="shared" si="5"/>
        <v>2404.429999999993</v>
      </c>
    </row>
    <row r="35" spans="1:34" ht="12.75">
      <c r="A35" s="80">
        <v>2151</v>
      </c>
      <c r="B35" s="81" t="s">
        <v>73</v>
      </c>
      <c r="C35" s="99">
        <f>+'PE-PARTIDA'!C35</f>
        <v>0</v>
      </c>
      <c r="D35" s="99"/>
      <c r="E35" s="99"/>
      <c r="F35" s="99">
        <f>+'PE-PARTIDA'!Q35</f>
        <v>0</v>
      </c>
      <c r="G35" s="99">
        <f>+'PE-PARTIDA'!AA35</f>
        <v>15000</v>
      </c>
      <c r="H35" s="99">
        <v>0</v>
      </c>
      <c r="I35" s="99">
        <v>0</v>
      </c>
      <c r="J35" s="99">
        <v>130000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6500</v>
      </c>
      <c r="AA35" s="99">
        <v>0</v>
      </c>
      <c r="AB35" s="99">
        <v>0</v>
      </c>
      <c r="AC35" s="99">
        <v>0</v>
      </c>
      <c r="AD35" s="99">
        <v>0</v>
      </c>
      <c r="AE35" s="99">
        <f t="shared" si="4"/>
        <v>138500</v>
      </c>
      <c r="AF35" s="99">
        <v>137875.6</v>
      </c>
      <c r="AG35" s="133">
        <f t="shared" si="6"/>
        <v>0.9954916967509025</v>
      </c>
      <c r="AH35" s="99">
        <f t="shared" si="5"/>
        <v>624.3999999999942</v>
      </c>
    </row>
    <row r="36" spans="1:34" ht="12.75">
      <c r="A36" s="80">
        <v>2161</v>
      </c>
      <c r="B36" s="81" t="s">
        <v>16</v>
      </c>
      <c r="C36" s="99">
        <f>+'PE-PARTIDA'!C36</f>
        <v>0</v>
      </c>
      <c r="D36" s="99"/>
      <c r="E36" s="99"/>
      <c r="F36" s="99">
        <f>+'PE-PARTIDA'!Q36</f>
        <v>0</v>
      </c>
      <c r="G36" s="99">
        <f>+'PE-PARTIDA'!AA36</f>
        <v>50000</v>
      </c>
      <c r="H36" s="99">
        <v>0</v>
      </c>
      <c r="I36" s="99">
        <v>0</v>
      </c>
      <c r="J36" s="99">
        <v>180000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10000</v>
      </c>
      <c r="X36" s="99">
        <v>0</v>
      </c>
      <c r="Y36" s="99">
        <v>0</v>
      </c>
      <c r="Z36" s="99">
        <v>20000</v>
      </c>
      <c r="AA36" s="99">
        <v>0</v>
      </c>
      <c r="AB36" s="99">
        <v>0</v>
      </c>
      <c r="AC36" s="99">
        <v>0</v>
      </c>
      <c r="AD36" s="99">
        <v>0</v>
      </c>
      <c r="AE36" s="99">
        <f t="shared" si="4"/>
        <v>220000</v>
      </c>
      <c r="AF36" s="99">
        <v>219983.13</v>
      </c>
      <c r="AG36" s="133">
        <f t="shared" si="6"/>
        <v>0.9999233181818182</v>
      </c>
      <c r="AH36" s="99">
        <f t="shared" si="5"/>
        <v>16.869999999995343</v>
      </c>
    </row>
    <row r="37" spans="1:34" ht="12.75">
      <c r="A37" s="80">
        <v>2171</v>
      </c>
      <c r="B37" s="81" t="s">
        <v>172</v>
      </c>
      <c r="C37" s="99">
        <f>+'PE-PARTIDA'!C37</f>
        <v>4000</v>
      </c>
      <c r="D37" s="99"/>
      <c r="E37" s="99"/>
      <c r="F37" s="99">
        <f>+'PE-PARTIDA'!Q37</f>
        <v>0</v>
      </c>
      <c r="G37" s="99">
        <f>+'PE-PARTIDA'!AA37</f>
        <v>29350</v>
      </c>
      <c r="H37" s="99">
        <v>0</v>
      </c>
      <c r="I37" s="99">
        <v>0</v>
      </c>
      <c r="J37" s="99">
        <v>50000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8000</v>
      </c>
      <c r="AA37" s="99">
        <v>0</v>
      </c>
      <c r="AB37" s="99">
        <v>0</v>
      </c>
      <c r="AC37" s="99">
        <v>0</v>
      </c>
      <c r="AD37" s="99">
        <v>0</v>
      </c>
      <c r="AE37" s="99">
        <f t="shared" si="4"/>
        <v>75350</v>
      </c>
      <c r="AF37" s="99">
        <v>35287.6</v>
      </c>
      <c r="AG37" s="133">
        <f t="shared" si="6"/>
        <v>0.46831585932315856</v>
      </c>
      <c r="AH37" s="99">
        <f t="shared" si="5"/>
        <v>40062.4</v>
      </c>
    </row>
    <row r="38" spans="1:34" ht="38.25">
      <c r="A38" s="80">
        <v>2212</v>
      </c>
      <c r="B38" s="81" t="s">
        <v>173</v>
      </c>
      <c r="C38" s="99">
        <f>+'PE-PARTIDA'!C38</f>
        <v>0</v>
      </c>
      <c r="D38" s="99"/>
      <c r="E38" s="99"/>
      <c r="F38" s="99">
        <f>+'PE-PARTIDA'!Q38</f>
        <v>0</v>
      </c>
      <c r="G38" s="99">
        <f>+'PE-PARTIDA'!AA38</f>
        <v>40000</v>
      </c>
      <c r="H38" s="99">
        <v>0</v>
      </c>
      <c r="I38" s="99">
        <v>5000</v>
      </c>
      <c r="J38" s="99">
        <v>55000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5500</v>
      </c>
      <c r="AB38" s="99">
        <v>0</v>
      </c>
      <c r="AC38" s="99">
        <v>0</v>
      </c>
      <c r="AD38" s="99">
        <v>0</v>
      </c>
      <c r="AE38" s="99">
        <f t="shared" si="4"/>
        <v>105500</v>
      </c>
      <c r="AF38" s="99">
        <v>103452.66</v>
      </c>
      <c r="AG38" s="133">
        <f t="shared" si="6"/>
        <v>0.9805939336492892</v>
      </c>
      <c r="AH38" s="99">
        <f t="shared" si="5"/>
        <v>2047.3399999999965</v>
      </c>
    </row>
    <row r="39" spans="1:34" ht="25.5" hidden="1">
      <c r="A39" s="84">
        <v>2214</v>
      </c>
      <c r="B39" s="85" t="s">
        <v>174</v>
      </c>
      <c r="C39" s="99">
        <f>+'PE-PARTIDA'!C39</f>
        <v>0</v>
      </c>
      <c r="D39" s="99"/>
      <c r="E39" s="99"/>
      <c r="F39" s="99">
        <f>+'PE-PARTIDA'!Q39</f>
        <v>0</v>
      </c>
      <c r="G39" s="99">
        <f>+'PE-PARTIDA'!AA39</f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/>
      <c r="AA39" s="99"/>
      <c r="AB39" s="99"/>
      <c r="AC39" s="99"/>
      <c r="AD39" s="99"/>
      <c r="AE39" s="99">
        <f t="shared" si="4"/>
        <v>0</v>
      </c>
      <c r="AF39" s="99">
        <v>0</v>
      </c>
      <c r="AG39" s="133">
        <v>0</v>
      </c>
      <c r="AH39" s="99">
        <f t="shared" si="5"/>
        <v>0</v>
      </c>
    </row>
    <row r="40" spans="1:34" ht="12.75">
      <c r="A40" s="80">
        <v>2231</v>
      </c>
      <c r="B40" s="81" t="s">
        <v>17</v>
      </c>
      <c r="C40" s="99">
        <f>+'PE-PARTIDA'!C40</f>
        <v>0</v>
      </c>
      <c r="D40" s="99"/>
      <c r="E40" s="99"/>
      <c r="F40" s="99">
        <f>+'PE-PARTIDA'!Q40</f>
        <v>0</v>
      </c>
      <c r="G40" s="99">
        <f>+'PE-PARTIDA'!AA40</f>
        <v>10000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f t="shared" si="4"/>
        <v>10000</v>
      </c>
      <c r="AF40" s="99">
        <v>6950</v>
      </c>
      <c r="AG40" s="133">
        <f t="shared" si="6"/>
        <v>0.695</v>
      </c>
      <c r="AH40" s="99">
        <f t="shared" si="5"/>
        <v>3050</v>
      </c>
    </row>
    <row r="41" spans="1:34" ht="25.5">
      <c r="A41" s="80">
        <v>2311</v>
      </c>
      <c r="B41" s="81" t="s">
        <v>175</v>
      </c>
      <c r="C41" s="99">
        <f>+'PE-PARTIDA'!C41</f>
        <v>0</v>
      </c>
      <c r="D41" s="99"/>
      <c r="E41" s="99"/>
      <c r="F41" s="99">
        <f>+'PE-PARTIDA'!Q41</f>
        <v>0</v>
      </c>
      <c r="G41" s="99">
        <f>+'PE-PARTIDA'!AA41</f>
        <v>2000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f t="shared" si="4"/>
        <v>2000</v>
      </c>
      <c r="AF41" s="99">
        <v>1861</v>
      </c>
      <c r="AG41" s="133">
        <f t="shared" si="6"/>
        <v>0.9305</v>
      </c>
      <c r="AH41" s="99">
        <f t="shared" si="5"/>
        <v>139</v>
      </c>
    </row>
    <row r="42" spans="1:34" ht="25.5">
      <c r="A42" s="80">
        <v>2341</v>
      </c>
      <c r="B42" s="81" t="s">
        <v>176</v>
      </c>
      <c r="C42" s="99">
        <f>+'PE-PARTIDA'!C42</f>
        <v>0</v>
      </c>
      <c r="D42" s="99"/>
      <c r="E42" s="99"/>
      <c r="F42" s="99">
        <f>+'PE-PARTIDA'!Q42</f>
        <v>0</v>
      </c>
      <c r="G42" s="99">
        <f>+'PE-PARTIDA'!AA42</f>
        <v>2000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f t="shared" si="4"/>
        <v>2000</v>
      </c>
      <c r="AF42" s="99">
        <v>133</v>
      </c>
      <c r="AG42" s="133">
        <f t="shared" si="6"/>
        <v>0.0665</v>
      </c>
      <c r="AH42" s="99">
        <f t="shared" si="5"/>
        <v>1867</v>
      </c>
    </row>
    <row r="43" spans="1:34" ht="12.75">
      <c r="A43" s="80">
        <v>2411</v>
      </c>
      <c r="B43" s="81" t="s">
        <v>42</v>
      </c>
      <c r="C43" s="99">
        <f>+'PE-PARTIDA'!C43</f>
        <v>0</v>
      </c>
      <c r="D43" s="99"/>
      <c r="E43" s="99"/>
      <c r="F43" s="99">
        <f>+'PE-PARTIDA'!Q43</f>
        <v>0</v>
      </c>
      <c r="G43" s="99">
        <f>+'PE-PARTIDA'!AA43</f>
        <v>21000</v>
      </c>
      <c r="H43" s="99">
        <v>0</v>
      </c>
      <c r="I43" s="99">
        <v>0</v>
      </c>
      <c r="J43" s="99">
        <v>200000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f t="shared" si="4"/>
        <v>221000</v>
      </c>
      <c r="AF43" s="99">
        <v>209958.63</v>
      </c>
      <c r="AG43" s="133">
        <f t="shared" si="6"/>
        <v>0.9500390497737556</v>
      </c>
      <c r="AH43" s="99">
        <f t="shared" si="5"/>
        <v>11041.369999999995</v>
      </c>
    </row>
    <row r="44" spans="1:34" ht="12.75">
      <c r="A44" s="80">
        <v>2421</v>
      </c>
      <c r="B44" s="81" t="s">
        <v>43</v>
      </c>
      <c r="C44" s="99">
        <f>+'PE-PARTIDA'!C44</f>
        <v>0</v>
      </c>
      <c r="D44" s="99"/>
      <c r="E44" s="99"/>
      <c r="F44" s="99">
        <f>+'PE-PARTIDA'!Q44</f>
        <v>0</v>
      </c>
      <c r="G44" s="99">
        <f>+'PE-PARTIDA'!AA44</f>
        <v>10000</v>
      </c>
      <c r="H44" s="99">
        <v>0</v>
      </c>
      <c r="I44" s="99">
        <v>1000</v>
      </c>
      <c r="J44" s="99">
        <v>9000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f t="shared" si="4"/>
        <v>20000</v>
      </c>
      <c r="AF44" s="99">
        <v>18635.32</v>
      </c>
      <c r="AG44" s="133">
        <f t="shared" si="6"/>
        <v>0.931766</v>
      </c>
      <c r="AH44" s="99">
        <f t="shared" si="5"/>
        <v>1364.6800000000003</v>
      </c>
    </row>
    <row r="45" spans="1:34" ht="12.75">
      <c r="A45" s="80">
        <v>2431</v>
      </c>
      <c r="B45" s="81" t="s">
        <v>177</v>
      </c>
      <c r="C45" s="99">
        <f>+'PE-PARTIDA'!C45</f>
        <v>0</v>
      </c>
      <c r="D45" s="99"/>
      <c r="E45" s="99"/>
      <c r="F45" s="99">
        <f>+'PE-PARTIDA'!Q45</f>
        <v>0</v>
      </c>
      <c r="G45" s="99">
        <f>+'PE-PARTIDA'!AA45</f>
        <v>5250</v>
      </c>
      <c r="H45" s="99">
        <v>0</v>
      </c>
      <c r="I45" s="99">
        <v>2750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f t="shared" si="4"/>
        <v>8000</v>
      </c>
      <c r="AF45" s="99">
        <v>7460</v>
      </c>
      <c r="AG45" s="133">
        <f t="shared" si="6"/>
        <v>0.9325</v>
      </c>
      <c r="AH45" s="99">
        <f t="shared" si="5"/>
        <v>540</v>
      </c>
    </row>
    <row r="46" spans="1:34" ht="12.75">
      <c r="A46" s="80">
        <v>2441</v>
      </c>
      <c r="B46" s="81" t="s">
        <v>44</v>
      </c>
      <c r="C46" s="99">
        <f>+'PE-PARTIDA'!C46</f>
        <v>0</v>
      </c>
      <c r="D46" s="99"/>
      <c r="E46" s="99"/>
      <c r="F46" s="99">
        <f>+'PE-PARTIDA'!Q46</f>
        <v>0</v>
      </c>
      <c r="G46" s="99">
        <f>+'PE-PARTIDA'!AA46</f>
        <v>11300</v>
      </c>
      <c r="H46" s="99">
        <v>0</v>
      </c>
      <c r="I46" s="99">
        <v>2700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f t="shared" si="4"/>
        <v>14000</v>
      </c>
      <c r="AF46" s="99">
        <v>9803.39</v>
      </c>
      <c r="AG46" s="133">
        <f t="shared" si="6"/>
        <v>0.7002421428571428</v>
      </c>
      <c r="AH46" s="99">
        <f t="shared" si="5"/>
        <v>4196.610000000001</v>
      </c>
    </row>
    <row r="47" spans="1:34" ht="12.75">
      <c r="A47" s="80">
        <v>2451</v>
      </c>
      <c r="B47" s="81" t="s">
        <v>18</v>
      </c>
      <c r="C47" s="99">
        <f>+'PE-PARTIDA'!C47</f>
        <v>0</v>
      </c>
      <c r="D47" s="99"/>
      <c r="E47" s="99"/>
      <c r="F47" s="99">
        <f>+'PE-PARTIDA'!Q47</f>
        <v>0</v>
      </c>
      <c r="G47" s="99">
        <f>+'PE-PARTIDA'!AA47</f>
        <v>2100</v>
      </c>
      <c r="H47" s="99">
        <v>0</v>
      </c>
      <c r="I47" s="99">
        <v>2900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f t="shared" si="4"/>
        <v>5000</v>
      </c>
      <c r="AF47" s="99">
        <v>0</v>
      </c>
      <c r="AG47" s="133">
        <f t="shared" si="6"/>
        <v>0</v>
      </c>
      <c r="AH47" s="99">
        <f t="shared" si="5"/>
        <v>5000</v>
      </c>
    </row>
    <row r="48" spans="1:34" ht="12.75">
      <c r="A48" s="80">
        <v>2461</v>
      </c>
      <c r="B48" s="81" t="s">
        <v>178</v>
      </c>
      <c r="C48" s="99">
        <f>+'PE-PARTIDA'!C48</f>
        <v>0</v>
      </c>
      <c r="D48" s="99"/>
      <c r="E48" s="99"/>
      <c r="F48" s="99">
        <f>+'PE-PARTIDA'!Q48</f>
        <v>0</v>
      </c>
      <c r="G48" s="99">
        <f>+'PE-PARTIDA'!AA48</f>
        <v>15000</v>
      </c>
      <c r="H48" s="99">
        <v>0</v>
      </c>
      <c r="I48" s="99">
        <v>0</v>
      </c>
      <c r="J48" s="99">
        <v>40000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3000</v>
      </c>
      <c r="X48" s="99">
        <v>0</v>
      </c>
      <c r="Y48" s="99">
        <v>0</v>
      </c>
      <c r="Z48" s="99">
        <v>5000</v>
      </c>
      <c r="AA48" s="99">
        <v>0</v>
      </c>
      <c r="AB48" s="99">
        <v>0</v>
      </c>
      <c r="AC48" s="99">
        <v>0</v>
      </c>
      <c r="AD48" s="99">
        <v>0</v>
      </c>
      <c r="AE48" s="99">
        <f t="shared" si="4"/>
        <v>53000</v>
      </c>
      <c r="AF48" s="99">
        <v>51465.95</v>
      </c>
      <c r="AG48" s="133">
        <f t="shared" si="6"/>
        <v>0.9710556603773585</v>
      </c>
      <c r="AH48" s="99">
        <f t="shared" si="5"/>
        <v>1534.050000000003</v>
      </c>
    </row>
    <row r="49" spans="1:34" ht="12.75">
      <c r="A49" s="80">
        <v>2471</v>
      </c>
      <c r="B49" s="81" t="s">
        <v>74</v>
      </c>
      <c r="C49" s="99">
        <f>+'PE-PARTIDA'!C49</f>
        <v>0</v>
      </c>
      <c r="D49" s="99"/>
      <c r="E49" s="99"/>
      <c r="F49" s="99">
        <f>+'PE-PARTIDA'!Q49</f>
        <v>0</v>
      </c>
      <c r="G49" s="99">
        <f>+'PE-PARTIDA'!AA49</f>
        <v>20000</v>
      </c>
      <c r="H49" s="99">
        <v>0</v>
      </c>
      <c r="I49" s="99">
        <v>7000</v>
      </c>
      <c r="J49" s="99">
        <v>13000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f t="shared" si="4"/>
        <v>40000</v>
      </c>
      <c r="AF49" s="99">
        <v>39925.5</v>
      </c>
      <c r="AG49" s="133">
        <f t="shared" si="6"/>
        <v>0.9981375</v>
      </c>
      <c r="AH49" s="99">
        <f t="shared" si="5"/>
        <v>74.5</v>
      </c>
    </row>
    <row r="50" spans="1:34" ht="12.75">
      <c r="A50" s="80">
        <v>2481</v>
      </c>
      <c r="B50" s="81" t="s">
        <v>179</v>
      </c>
      <c r="C50" s="99">
        <f>+'PE-PARTIDA'!C50</f>
        <v>0</v>
      </c>
      <c r="D50" s="99"/>
      <c r="E50" s="99"/>
      <c r="F50" s="99">
        <f>+'PE-PARTIDA'!Q50</f>
        <v>0</v>
      </c>
      <c r="G50" s="99">
        <f>+'PE-PARTIDA'!AA50</f>
        <v>21000</v>
      </c>
      <c r="H50" s="99">
        <v>0</v>
      </c>
      <c r="I50" s="99">
        <v>6000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f t="shared" si="4"/>
        <v>27000</v>
      </c>
      <c r="AF50" s="99">
        <v>26976.21</v>
      </c>
      <c r="AG50" s="133">
        <f t="shared" si="6"/>
        <v>0.9991188888888889</v>
      </c>
      <c r="AH50" s="99">
        <f t="shared" si="5"/>
        <v>23.790000000000873</v>
      </c>
    </row>
    <row r="51" spans="1:34" ht="25.5">
      <c r="A51" s="80">
        <v>2491</v>
      </c>
      <c r="B51" s="81" t="s">
        <v>45</v>
      </c>
      <c r="C51" s="99">
        <f>+'PE-PARTIDA'!C51</f>
        <v>0</v>
      </c>
      <c r="D51" s="99"/>
      <c r="E51" s="99"/>
      <c r="F51" s="99">
        <f>+'PE-PARTIDA'!Q51</f>
        <v>0</v>
      </c>
      <c r="G51" s="99">
        <f>+'PE-PARTIDA'!AA51</f>
        <v>10000</v>
      </c>
      <c r="H51" s="99">
        <v>0</v>
      </c>
      <c r="I51" s="99">
        <v>0</v>
      </c>
      <c r="J51" s="99">
        <v>80000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f t="shared" si="4"/>
        <v>90000</v>
      </c>
      <c r="AF51" s="99">
        <v>79875.97</v>
      </c>
      <c r="AG51" s="133">
        <f t="shared" si="6"/>
        <v>0.8875107777777778</v>
      </c>
      <c r="AH51" s="99">
        <f t="shared" si="5"/>
        <v>10124.029999999999</v>
      </c>
    </row>
    <row r="52" spans="1:34" ht="12.75">
      <c r="A52" s="80">
        <v>2511</v>
      </c>
      <c r="B52" s="81" t="s">
        <v>180</v>
      </c>
      <c r="C52" s="99">
        <f>+'PE-PARTIDA'!C52</f>
        <v>0</v>
      </c>
      <c r="D52" s="99"/>
      <c r="E52" s="99"/>
      <c r="F52" s="99">
        <f>+'PE-PARTIDA'!Q52</f>
        <v>0</v>
      </c>
      <c r="G52" s="99">
        <f>+'PE-PARTIDA'!AA52</f>
        <v>10000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f t="shared" si="4"/>
        <v>10000</v>
      </c>
      <c r="AF52" s="99">
        <v>4451.48</v>
      </c>
      <c r="AG52" s="133">
        <f t="shared" si="6"/>
        <v>0.44514799999999993</v>
      </c>
      <c r="AH52" s="99">
        <f t="shared" si="5"/>
        <v>5548.52</v>
      </c>
    </row>
    <row r="53" spans="1:34" ht="12.75">
      <c r="A53" s="80">
        <v>2521</v>
      </c>
      <c r="B53" s="81" t="s">
        <v>181</v>
      </c>
      <c r="C53" s="99">
        <f>+'PE-PARTIDA'!C53</f>
        <v>0</v>
      </c>
      <c r="D53" s="99"/>
      <c r="E53" s="99"/>
      <c r="F53" s="99">
        <f>+'PE-PARTIDA'!Q53</f>
        <v>0</v>
      </c>
      <c r="G53" s="99">
        <f>+'PE-PARTIDA'!AA53</f>
        <v>10000</v>
      </c>
      <c r="H53" s="99">
        <v>0</v>
      </c>
      <c r="I53" s="99">
        <v>0</v>
      </c>
      <c r="J53" s="99">
        <v>20000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f t="shared" si="4"/>
        <v>30000</v>
      </c>
      <c r="AF53" s="99">
        <v>28431.5</v>
      </c>
      <c r="AG53" s="133">
        <f t="shared" si="6"/>
        <v>0.9477166666666667</v>
      </c>
      <c r="AH53" s="99">
        <f t="shared" si="5"/>
        <v>1568.5</v>
      </c>
    </row>
    <row r="54" spans="1:34" ht="12.75">
      <c r="A54" s="80">
        <v>2531</v>
      </c>
      <c r="B54" s="81" t="s">
        <v>19</v>
      </c>
      <c r="C54" s="99">
        <f>+'PE-PARTIDA'!C54</f>
        <v>0</v>
      </c>
      <c r="D54" s="99"/>
      <c r="E54" s="99"/>
      <c r="F54" s="99">
        <f>+'PE-PARTIDA'!Q54</f>
        <v>0</v>
      </c>
      <c r="G54" s="99">
        <f>+'PE-PARTIDA'!AA54</f>
        <v>4000</v>
      </c>
      <c r="H54" s="99">
        <v>0</v>
      </c>
      <c r="I54" s="99">
        <v>2000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f t="shared" si="4"/>
        <v>6000</v>
      </c>
      <c r="AF54" s="99">
        <v>4277.37</v>
      </c>
      <c r="AG54" s="133">
        <f t="shared" si="6"/>
        <v>0.712895</v>
      </c>
      <c r="AH54" s="99">
        <f t="shared" si="5"/>
        <v>1722.63</v>
      </c>
    </row>
    <row r="55" spans="1:34" ht="12.75">
      <c r="A55" s="80">
        <v>2541</v>
      </c>
      <c r="B55" s="81" t="s">
        <v>182</v>
      </c>
      <c r="C55" s="99">
        <f>+'PE-PARTIDA'!C55</f>
        <v>0</v>
      </c>
      <c r="D55" s="99"/>
      <c r="E55" s="99"/>
      <c r="F55" s="99">
        <f>+'PE-PARTIDA'!Q55</f>
        <v>0</v>
      </c>
      <c r="G55" s="99">
        <f>+'PE-PARTIDA'!AA55</f>
        <v>3000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E55" s="99">
        <f t="shared" si="4"/>
        <v>3000</v>
      </c>
      <c r="AF55" s="99">
        <v>1005.19</v>
      </c>
      <c r="AG55" s="133">
        <f t="shared" si="6"/>
        <v>0.3350633333333333</v>
      </c>
      <c r="AH55" s="99">
        <f t="shared" si="5"/>
        <v>1994.81</v>
      </c>
    </row>
    <row r="56" spans="1:34" ht="12.75">
      <c r="A56" s="80">
        <v>2551</v>
      </c>
      <c r="B56" s="81" t="s">
        <v>183</v>
      </c>
      <c r="C56" s="99">
        <f>+'PE-PARTIDA'!C56</f>
        <v>0</v>
      </c>
      <c r="D56" s="99"/>
      <c r="E56" s="99"/>
      <c r="F56" s="99">
        <f>+'PE-PARTIDA'!Q56</f>
        <v>0</v>
      </c>
      <c r="G56" s="99">
        <f>+'PE-PARTIDA'!AA56</f>
        <v>5000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99">
        <v>0</v>
      </c>
      <c r="AD56" s="99">
        <v>0</v>
      </c>
      <c r="AE56" s="99">
        <f t="shared" si="4"/>
        <v>5000</v>
      </c>
      <c r="AF56" s="99">
        <v>4999.5</v>
      </c>
      <c r="AG56" s="133">
        <f t="shared" si="6"/>
        <v>0.9999</v>
      </c>
      <c r="AH56" s="99">
        <f t="shared" si="5"/>
        <v>0.5</v>
      </c>
    </row>
    <row r="57" spans="1:34" ht="12.75">
      <c r="A57" s="80">
        <v>2561</v>
      </c>
      <c r="B57" s="81" t="s">
        <v>184</v>
      </c>
      <c r="C57" s="99">
        <f>+'PE-PARTIDA'!C57</f>
        <v>0</v>
      </c>
      <c r="D57" s="99"/>
      <c r="E57" s="99"/>
      <c r="F57" s="99">
        <f>+'PE-PARTIDA'!Q57</f>
        <v>0</v>
      </c>
      <c r="G57" s="99">
        <f>+'PE-PARTIDA'!AA57</f>
        <v>16000</v>
      </c>
      <c r="H57" s="99">
        <v>0</v>
      </c>
      <c r="I57" s="99">
        <v>0</v>
      </c>
      <c r="J57" s="99">
        <v>60000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f t="shared" si="4"/>
        <v>76000</v>
      </c>
      <c r="AF57" s="99">
        <v>76000</v>
      </c>
      <c r="AG57" s="133">
        <f t="shared" si="6"/>
        <v>1</v>
      </c>
      <c r="AH57" s="99">
        <f t="shared" si="5"/>
        <v>0</v>
      </c>
    </row>
    <row r="58" spans="1:34" ht="12.75">
      <c r="A58" s="80">
        <v>2591</v>
      </c>
      <c r="B58" s="81" t="s">
        <v>75</v>
      </c>
      <c r="C58" s="99">
        <f>+'PE-PARTIDA'!C58</f>
        <v>0</v>
      </c>
      <c r="D58" s="99"/>
      <c r="E58" s="99"/>
      <c r="F58" s="99">
        <f>+'PE-PARTIDA'!Q58</f>
        <v>0</v>
      </c>
      <c r="G58" s="99">
        <f>+'PE-PARTIDA'!AA58</f>
        <v>2000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f t="shared" si="4"/>
        <v>2000</v>
      </c>
      <c r="AF58" s="99">
        <v>0</v>
      </c>
      <c r="AG58" s="133">
        <f t="shared" si="6"/>
        <v>0</v>
      </c>
      <c r="AH58" s="99">
        <f t="shared" si="5"/>
        <v>2000</v>
      </c>
    </row>
    <row r="59" spans="1:34" ht="25.5">
      <c r="A59" s="80">
        <v>2611</v>
      </c>
      <c r="B59" s="81" t="s">
        <v>185</v>
      </c>
      <c r="C59" s="99">
        <f>+'PE-PARTIDA'!C59</f>
        <v>60512</v>
      </c>
      <c r="D59" s="99"/>
      <c r="E59" s="99"/>
      <c r="F59" s="99">
        <f>+'PE-PARTIDA'!Q59</f>
        <v>0</v>
      </c>
      <c r="G59" s="99">
        <f>+'PE-PARTIDA'!AA59</f>
        <v>40000</v>
      </c>
      <c r="H59" s="99">
        <v>0</v>
      </c>
      <c r="I59" s="99">
        <v>1488</v>
      </c>
      <c r="J59" s="99">
        <v>69000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68504.18</v>
      </c>
      <c r="Z59" s="99">
        <v>0</v>
      </c>
      <c r="AA59" s="99">
        <v>39000</v>
      </c>
      <c r="AB59" s="99">
        <v>0</v>
      </c>
      <c r="AC59" s="99">
        <v>0</v>
      </c>
      <c r="AD59" s="99">
        <v>0</v>
      </c>
      <c r="AE59" s="99">
        <f t="shared" si="4"/>
        <v>278504.18</v>
      </c>
      <c r="AF59" s="99">
        <v>277141.62</v>
      </c>
      <c r="AG59" s="133">
        <f t="shared" si="6"/>
        <v>0.9951075779185792</v>
      </c>
      <c r="AH59" s="99">
        <f t="shared" si="5"/>
        <v>1362.5599999999977</v>
      </c>
    </row>
    <row r="60" spans="1:34" ht="25.5" hidden="1">
      <c r="A60" s="80">
        <v>2614</v>
      </c>
      <c r="B60" s="86" t="s">
        <v>186</v>
      </c>
      <c r="C60" s="99">
        <f>+'PE-PARTIDA'!C60</f>
        <v>0</v>
      </c>
      <c r="D60" s="99"/>
      <c r="E60" s="99"/>
      <c r="F60" s="99">
        <f>+'PE-PARTIDA'!Q60</f>
        <v>0</v>
      </c>
      <c r="G60" s="99">
        <f>+'PE-PARTIDA'!AA60</f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0</v>
      </c>
      <c r="Y60" s="99"/>
      <c r="Z60" s="99"/>
      <c r="AA60" s="99"/>
      <c r="AB60" s="99"/>
      <c r="AC60" s="99"/>
      <c r="AD60" s="99"/>
      <c r="AE60" s="99">
        <f t="shared" si="4"/>
        <v>0</v>
      </c>
      <c r="AF60" s="99">
        <v>0</v>
      </c>
      <c r="AG60" s="133">
        <v>0</v>
      </c>
      <c r="AH60" s="99">
        <f t="shared" si="5"/>
        <v>0</v>
      </c>
    </row>
    <row r="61" spans="1:34" ht="12.75">
      <c r="A61" s="80">
        <v>2711</v>
      </c>
      <c r="B61" s="81" t="s">
        <v>187</v>
      </c>
      <c r="C61" s="99">
        <f>+'PE-PARTIDA'!C61</f>
        <v>0</v>
      </c>
      <c r="D61" s="99"/>
      <c r="E61" s="99"/>
      <c r="F61" s="99">
        <f>+'PE-PARTIDA'!Q61</f>
        <v>0</v>
      </c>
      <c r="G61" s="99">
        <f>+'PE-PARTIDA'!AA61</f>
        <v>0</v>
      </c>
      <c r="H61" s="99">
        <v>0</v>
      </c>
      <c r="I61" s="99">
        <v>5000</v>
      </c>
      <c r="J61" s="99">
        <v>95000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f t="shared" si="4"/>
        <v>100000</v>
      </c>
      <c r="AF61" s="99">
        <v>99693.81</v>
      </c>
      <c r="AG61" s="133">
        <f t="shared" si="6"/>
        <v>0.9969380999999999</v>
      </c>
      <c r="AH61" s="99">
        <f t="shared" si="5"/>
        <v>306.1900000000023</v>
      </c>
    </row>
    <row r="62" spans="1:34" ht="12.75">
      <c r="A62" s="80">
        <v>2721</v>
      </c>
      <c r="B62" s="81" t="s">
        <v>46</v>
      </c>
      <c r="C62" s="99">
        <f>+'PE-PARTIDA'!C62</f>
        <v>0</v>
      </c>
      <c r="D62" s="99"/>
      <c r="E62" s="99"/>
      <c r="F62" s="99">
        <f>+'PE-PARTIDA'!Q62</f>
        <v>0</v>
      </c>
      <c r="G62" s="99">
        <f>+'PE-PARTIDA'!AA62</f>
        <v>5000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f t="shared" si="4"/>
        <v>5000</v>
      </c>
      <c r="AF62" s="99">
        <v>219.01</v>
      </c>
      <c r="AG62" s="133">
        <f t="shared" si="6"/>
        <v>0.043802</v>
      </c>
      <c r="AH62" s="99">
        <f t="shared" si="5"/>
        <v>4780.99</v>
      </c>
    </row>
    <row r="63" spans="1:34" ht="12.75">
      <c r="A63" s="80">
        <v>2731</v>
      </c>
      <c r="B63" s="81" t="s">
        <v>20</v>
      </c>
      <c r="C63" s="99">
        <f>+'PE-PARTIDA'!C63</f>
        <v>0</v>
      </c>
      <c r="D63" s="99"/>
      <c r="E63" s="99"/>
      <c r="F63" s="99">
        <f>+'PE-PARTIDA'!Q63</f>
        <v>0</v>
      </c>
      <c r="G63" s="99">
        <f>+'PE-PARTIDA'!AA63</f>
        <v>5000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f t="shared" si="4"/>
        <v>5000</v>
      </c>
      <c r="AF63" s="99">
        <v>0</v>
      </c>
      <c r="AG63" s="133">
        <f t="shared" si="6"/>
        <v>0</v>
      </c>
      <c r="AH63" s="99">
        <f t="shared" si="5"/>
        <v>5000</v>
      </c>
    </row>
    <row r="64" spans="1:34" ht="12.75">
      <c r="A64" s="80">
        <v>2741</v>
      </c>
      <c r="B64" s="81" t="s">
        <v>76</v>
      </c>
      <c r="C64" s="99">
        <f>+'PE-PARTIDA'!C64</f>
        <v>0</v>
      </c>
      <c r="D64" s="99"/>
      <c r="E64" s="99"/>
      <c r="F64" s="99">
        <f>+'PE-PARTIDA'!Q64</f>
        <v>0</v>
      </c>
      <c r="G64" s="99">
        <f>+'PE-PARTIDA'!AA64</f>
        <v>3000</v>
      </c>
      <c r="H64" s="99">
        <v>0</v>
      </c>
      <c r="I64" s="99">
        <v>8000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f t="shared" si="4"/>
        <v>11000</v>
      </c>
      <c r="AF64" s="99">
        <v>4464.7</v>
      </c>
      <c r="AG64" s="133">
        <f t="shared" si="6"/>
        <v>0.4058818181818182</v>
      </c>
      <c r="AH64" s="99">
        <f t="shared" si="5"/>
        <v>6535.3</v>
      </c>
    </row>
    <row r="65" spans="1:34" ht="12.75">
      <c r="A65" s="80">
        <v>2911</v>
      </c>
      <c r="B65" s="81" t="s">
        <v>21</v>
      </c>
      <c r="C65" s="99">
        <f>+'PE-PARTIDA'!C65</f>
        <v>0</v>
      </c>
      <c r="D65" s="99"/>
      <c r="E65" s="99"/>
      <c r="F65" s="99">
        <f>+'PE-PARTIDA'!Q65</f>
        <v>0</v>
      </c>
      <c r="G65" s="99">
        <f>+'PE-PARTIDA'!AA65</f>
        <v>5000</v>
      </c>
      <c r="H65" s="99">
        <v>0</v>
      </c>
      <c r="I65" s="99">
        <v>5000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f t="shared" si="4"/>
        <v>10000</v>
      </c>
      <c r="AF65" s="99">
        <v>8085.46</v>
      </c>
      <c r="AG65" s="133">
        <f t="shared" si="6"/>
        <v>0.808546</v>
      </c>
      <c r="AH65" s="99">
        <f t="shared" si="5"/>
        <v>1914.54</v>
      </c>
    </row>
    <row r="66" spans="1:34" ht="12.75">
      <c r="A66" s="80">
        <v>2921</v>
      </c>
      <c r="B66" s="81" t="s">
        <v>22</v>
      </c>
      <c r="C66" s="99">
        <f>+'PE-PARTIDA'!C66</f>
        <v>0</v>
      </c>
      <c r="D66" s="99"/>
      <c r="E66" s="99"/>
      <c r="F66" s="99">
        <f>+'PE-PARTIDA'!Q66</f>
        <v>0</v>
      </c>
      <c r="G66" s="99">
        <f>+'PE-PARTIDA'!AA66</f>
        <v>4000</v>
      </c>
      <c r="H66" s="99">
        <v>0</v>
      </c>
      <c r="I66" s="99">
        <v>0</v>
      </c>
      <c r="J66" s="99">
        <v>11000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1000</v>
      </c>
      <c r="AB66" s="99">
        <v>0</v>
      </c>
      <c r="AC66" s="99">
        <v>0</v>
      </c>
      <c r="AD66" s="99">
        <v>0</v>
      </c>
      <c r="AE66" s="99">
        <f t="shared" si="4"/>
        <v>16000</v>
      </c>
      <c r="AF66" s="99">
        <v>11336.3</v>
      </c>
      <c r="AG66" s="133">
        <f t="shared" si="6"/>
        <v>0.70851875</v>
      </c>
      <c r="AH66" s="99">
        <f t="shared" si="5"/>
        <v>4663.700000000001</v>
      </c>
    </row>
    <row r="67" spans="1:34" ht="25.5">
      <c r="A67" s="80">
        <v>2931</v>
      </c>
      <c r="B67" s="81" t="s">
        <v>77</v>
      </c>
      <c r="C67" s="99">
        <f>+'PE-PARTIDA'!C67</f>
        <v>0</v>
      </c>
      <c r="D67" s="99"/>
      <c r="E67" s="99"/>
      <c r="F67" s="99">
        <f>+'PE-PARTIDA'!Q67</f>
        <v>0</v>
      </c>
      <c r="G67" s="99">
        <f>+'PE-PARTIDA'!AA67</f>
        <v>4000</v>
      </c>
      <c r="H67" s="99">
        <v>0</v>
      </c>
      <c r="I67" s="99">
        <v>11000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f t="shared" si="4"/>
        <v>15000</v>
      </c>
      <c r="AF67" s="99">
        <v>1432.22</v>
      </c>
      <c r="AG67" s="133">
        <f t="shared" si="6"/>
        <v>0.09548133333333333</v>
      </c>
      <c r="AH67" s="99">
        <f t="shared" si="5"/>
        <v>13567.78</v>
      </c>
    </row>
    <row r="68" spans="1:34" ht="25.5">
      <c r="A68" s="80">
        <v>2941</v>
      </c>
      <c r="B68" s="81" t="s">
        <v>188</v>
      </c>
      <c r="C68" s="99">
        <f>+'PE-PARTIDA'!C68</f>
        <v>0</v>
      </c>
      <c r="D68" s="99"/>
      <c r="E68" s="99"/>
      <c r="F68" s="99">
        <f>+'PE-PARTIDA'!Q68</f>
        <v>0</v>
      </c>
      <c r="G68" s="99">
        <f>+'PE-PARTIDA'!AA68</f>
        <v>15000</v>
      </c>
      <c r="H68" s="99">
        <v>0</v>
      </c>
      <c r="I68" s="99">
        <v>0</v>
      </c>
      <c r="J68" s="99">
        <v>50000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3000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f t="shared" si="4"/>
        <v>68000</v>
      </c>
      <c r="AF68" s="99">
        <v>67137.08</v>
      </c>
      <c r="AG68" s="133">
        <f t="shared" si="6"/>
        <v>0.98731</v>
      </c>
      <c r="AH68" s="99">
        <f t="shared" si="5"/>
        <v>862.9199999999983</v>
      </c>
    </row>
    <row r="69" spans="1:34" ht="25.5">
      <c r="A69" s="80">
        <v>2951</v>
      </c>
      <c r="B69" s="81" t="s">
        <v>78</v>
      </c>
      <c r="C69" s="99">
        <f>+'PE-PARTIDA'!C69</f>
        <v>2000</v>
      </c>
      <c r="D69" s="99"/>
      <c r="E69" s="99"/>
      <c r="F69" s="99">
        <f>+'PE-PARTIDA'!Q69</f>
        <v>0</v>
      </c>
      <c r="G69" s="99">
        <f>+'PE-PARTIDA'!AA69</f>
        <v>15000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f t="shared" si="4"/>
        <v>17000</v>
      </c>
      <c r="AF69" s="99">
        <v>0</v>
      </c>
      <c r="AG69" s="133">
        <f t="shared" si="6"/>
        <v>0</v>
      </c>
      <c r="AH69" s="99">
        <f t="shared" si="5"/>
        <v>17000</v>
      </c>
    </row>
    <row r="70" spans="1:34" ht="25.5">
      <c r="A70" s="80">
        <v>2961</v>
      </c>
      <c r="B70" s="81" t="s">
        <v>23</v>
      </c>
      <c r="C70" s="99">
        <f>+'PE-PARTIDA'!C70</f>
        <v>20000</v>
      </c>
      <c r="D70" s="99"/>
      <c r="E70" s="99"/>
      <c r="F70" s="99">
        <f>+'PE-PARTIDA'!Q70</f>
        <v>0</v>
      </c>
      <c r="G70" s="99">
        <f>+'PE-PARTIDA'!AA70</f>
        <v>0</v>
      </c>
      <c r="H70" s="99">
        <v>0</v>
      </c>
      <c r="I70" s="99">
        <v>0</v>
      </c>
      <c r="J70" s="99">
        <v>30000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99">
        <v>0</v>
      </c>
      <c r="AD70" s="99">
        <v>0</v>
      </c>
      <c r="AE70" s="99">
        <f t="shared" si="4"/>
        <v>50000</v>
      </c>
      <c r="AF70" s="99">
        <v>35220</v>
      </c>
      <c r="AG70" s="133">
        <f t="shared" si="6"/>
        <v>0.7044</v>
      </c>
      <c r="AH70" s="99">
        <f t="shared" si="5"/>
        <v>14780</v>
      </c>
    </row>
    <row r="71" spans="1:34" ht="31.5" hidden="1">
      <c r="A71" s="87">
        <v>2981</v>
      </c>
      <c r="B71" s="88" t="s">
        <v>24</v>
      </c>
      <c r="C71" s="99">
        <f>+'PE-PARTIDA'!C71</f>
        <v>0</v>
      </c>
      <c r="D71" s="99"/>
      <c r="E71" s="99"/>
      <c r="F71" s="99">
        <f>+'PE-PARTIDA'!Q71</f>
        <v>0</v>
      </c>
      <c r="G71" s="99">
        <f>+'PE-PARTIDA'!AA71</f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f>+'PE-PARTIDA'!G71+'PE-PARTIDA'!J71+'PE-PARTIDA'!N71+'PE-PARTIDA'!X71+'PE-PARTIDA'!AJ71+'PE-PARTIDA'!AS71+'PE-PARTIDA'!AV71+'PE-PARTIDA'!AB71+'PE-PARTIDA'!AP71</f>
        <v>0</v>
      </c>
      <c r="N71" s="99">
        <f>+'PE-PARTIDA'!H71+'PE-PARTIDA'!K71+'PE-PARTIDA'!O71+'PE-PARTIDA'!Y71+'PE-PARTIDA'!AC71+'PE-PARTIDA'!AK71+'PE-PARTIDA'!AT71+'PE-PARTIDA'!AW71+'PE-PARTIDA'!AQ70</f>
        <v>0</v>
      </c>
      <c r="O71" s="99">
        <f>+'PE-PARTIDA'!R71</f>
        <v>0</v>
      </c>
      <c r="P71" s="99">
        <f>+'PE-PARTIDA'!S71+'PE-PARTIDA'!V71+'PE-PARTIDA'!AD71</f>
        <v>0</v>
      </c>
      <c r="Q71" s="99">
        <f>+'PE-PARTIDA'!E71+'PE-PARTIDA'!M71</f>
        <v>0</v>
      </c>
      <c r="R71" s="99">
        <f>+'PE-PARTIDA'!AH71+'PE-PARTIDA'!AM71</f>
        <v>0</v>
      </c>
      <c r="S71" s="99">
        <v>0</v>
      </c>
      <c r="T71" s="99">
        <v>0</v>
      </c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>
        <f>+C71+F71+G71+N71+P71-O71-M71+Q71+R71+S71+T71+H71+I71+J71+K71+L71</f>
        <v>0</v>
      </c>
      <c r="AF71" s="99"/>
      <c r="AG71" s="133"/>
      <c r="AH71" s="99"/>
    </row>
    <row r="72" spans="1:34" ht="13.5" thickBot="1">
      <c r="A72" s="82"/>
      <c r="B72" s="83" t="s">
        <v>47</v>
      </c>
      <c r="C72" s="98">
        <f>SUM(C32:C71)</f>
        <v>86512</v>
      </c>
      <c r="D72" s="98">
        <f aca="true" t="shared" si="7" ref="D72:AH72">SUM(D32:D71)</f>
        <v>0</v>
      </c>
      <c r="E72" s="98">
        <f t="shared" si="7"/>
        <v>0</v>
      </c>
      <c r="F72" s="98">
        <f t="shared" si="7"/>
        <v>0</v>
      </c>
      <c r="G72" s="98">
        <f t="shared" si="7"/>
        <v>524000</v>
      </c>
      <c r="H72" s="98">
        <f t="shared" si="7"/>
        <v>0</v>
      </c>
      <c r="I72" s="98">
        <f t="shared" si="7"/>
        <v>60838</v>
      </c>
      <c r="J72" s="98">
        <f t="shared" si="7"/>
        <v>1211000</v>
      </c>
      <c r="K72" s="98">
        <f t="shared" si="7"/>
        <v>0</v>
      </c>
      <c r="L72" s="98">
        <f t="shared" si="7"/>
        <v>0</v>
      </c>
      <c r="M72" s="98">
        <f t="shared" si="7"/>
        <v>0</v>
      </c>
      <c r="N72" s="98">
        <f t="shared" si="7"/>
        <v>0</v>
      </c>
      <c r="O72" s="98">
        <f t="shared" si="7"/>
        <v>0</v>
      </c>
      <c r="P72" s="98">
        <f t="shared" si="7"/>
        <v>0</v>
      </c>
      <c r="Q72" s="98">
        <f t="shared" si="7"/>
        <v>0</v>
      </c>
      <c r="R72" s="98">
        <f t="shared" si="7"/>
        <v>0</v>
      </c>
      <c r="S72" s="98">
        <f t="shared" si="7"/>
        <v>0</v>
      </c>
      <c r="T72" s="98">
        <f t="shared" si="7"/>
        <v>0</v>
      </c>
      <c r="U72" s="98">
        <f t="shared" si="7"/>
        <v>0</v>
      </c>
      <c r="V72" s="98">
        <f t="shared" si="7"/>
        <v>0</v>
      </c>
      <c r="W72" s="98">
        <f t="shared" si="7"/>
        <v>16000</v>
      </c>
      <c r="X72" s="98">
        <f t="shared" si="7"/>
        <v>0</v>
      </c>
      <c r="Y72" s="98">
        <f t="shared" si="7"/>
        <v>68504.18</v>
      </c>
      <c r="Z72" s="98">
        <f t="shared" si="7"/>
        <v>45500</v>
      </c>
      <c r="AA72" s="98">
        <f t="shared" si="7"/>
        <v>45500</v>
      </c>
      <c r="AB72" s="98">
        <f t="shared" si="7"/>
        <v>0</v>
      </c>
      <c r="AC72" s="98">
        <f t="shared" si="7"/>
        <v>0</v>
      </c>
      <c r="AD72" s="98">
        <f t="shared" si="7"/>
        <v>0</v>
      </c>
      <c r="AE72" s="98">
        <f t="shared" si="7"/>
        <v>1966854.18</v>
      </c>
      <c r="AF72" s="98">
        <f t="shared" si="7"/>
        <v>1792463.6999999997</v>
      </c>
      <c r="AG72" s="134">
        <f>AF72/AE72</f>
        <v>0.9113353283770126</v>
      </c>
      <c r="AH72" s="98">
        <f t="shared" si="7"/>
        <v>174390.47999999998</v>
      </c>
    </row>
    <row r="73" spans="1:34" ht="15.75">
      <c r="A73" s="178" t="s">
        <v>60</v>
      </c>
      <c r="B73" s="178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35"/>
      <c r="AH73" s="100"/>
    </row>
    <row r="74" spans="1:34" ht="12.75">
      <c r="A74" s="89">
        <v>3111</v>
      </c>
      <c r="B74" s="81" t="s">
        <v>79</v>
      </c>
      <c r="C74" s="99">
        <f>+'PE-PARTIDA'!C74</f>
        <v>90000</v>
      </c>
      <c r="D74" s="99"/>
      <c r="E74" s="99"/>
      <c r="F74" s="99">
        <f>+'PE-PARTIDA'!Q74</f>
        <v>94500</v>
      </c>
      <c r="G74" s="99">
        <f>+'PE-PARTIDA'!AA74</f>
        <v>0</v>
      </c>
      <c r="H74" s="99">
        <v>0</v>
      </c>
      <c r="I74" s="101">
        <v>20000</v>
      </c>
      <c r="J74" s="99">
        <v>0</v>
      </c>
      <c r="K74" s="101">
        <v>0</v>
      </c>
      <c r="L74" s="101">
        <v>0</v>
      </c>
      <c r="M74" s="99">
        <v>0</v>
      </c>
      <c r="N74" s="99">
        <v>0</v>
      </c>
      <c r="O74" s="99">
        <v>-20000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f aca="true" t="shared" si="8" ref="AE74:AE120">+C74+F74+G74+H74+I74+J74+K74+L74-M74+N74+O74+P74+Q74+R74+S74+T74-U74+V74+W74+X74+Y74-Z74+AA74+AB74+AC74+AD74</f>
        <v>184500</v>
      </c>
      <c r="AF74" s="101">
        <v>158473</v>
      </c>
      <c r="AG74" s="136">
        <f>AF74/AE74</f>
        <v>0.8589322493224932</v>
      </c>
      <c r="AH74" s="99">
        <f aca="true" t="shared" si="9" ref="AH74:AH123">+AE74-AF74</f>
        <v>26027</v>
      </c>
    </row>
    <row r="75" spans="1:34" ht="12.75">
      <c r="A75" s="89">
        <v>3131</v>
      </c>
      <c r="B75" s="81" t="s">
        <v>189</v>
      </c>
      <c r="C75" s="99">
        <f>+'PE-PARTIDA'!C75</f>
        <v>2500</v>
      </c>
      <c r="D75" s="99"/>
      <c r="E75" s="99"/>
      <c r="F75" s="99">
        <f>+'PE-PARTIDA'!Q75</f>
        <v>2625</v>
      </c>
      <c r="G75" s="99">
        <f>+'PE-PARTIDA'!AA75</f>
        <v>0</v>
      </c>
      <c r="H75" s="99">
        <v>0</v>
      </c>
      <c r="I75" s="101">
        <v>0</v>
      </c>
      <c r="J75" s="99">
        <v>0</v>
      </c>
      <c r="K75" s="101">
        <v>0</v>
      </c>
      <c r="L75" s="101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f t="shared" si="8"/>
        <v>5125</v>
      </c>
      <c r="AF75" s="101">
        <v>0</v>
      </c>
      <c r="AG75" s="136">
        <f aca="true" t="shared" si="10" ref="AG75:AG120">AF75/AE75</f>
        <v>0</v>
      </c>
      <c r="AH75" s="99">
        <f t="shared" si="9"/>
        <v>5125</v>
      </c>
    </row>
    <row r="76" spans="1:34" ht="12.75">
      <c r="A76" s="89">
        <v>3141</v>
      </c>
      <c r="B76" s="81" t="s">
        <v>80</v>
      </c>
      <c r="C76" s="99">
        <f>+'PE-PARTIDA'!C76</f>
        <v>40000</v>
      </c>
      <c r="D76" s="99"/>
      <c r="E76" s="99"/>
      <c r="F76" s="99">
        <f>+'PE-PARTIDA'!Q76</f>
        <v>189000</v>
      </c>
      <c r="G76" s="99">
        <f>+'PE-PARTIDA'!AA76</f>
        <v>0</v>
      </c>
      <c r="H76" s="99">
        <v>0</v>
      </c>
      <c r="I76" s="101">
        <v>11000</v>
      </c>
      <c r="J76" s="99">
        <v>10000</v>
      </c>
      <c r="K76" s="101">
        <v>0</v>
      </c>
      <c r="L76" s="101">
        <v>0</v>
      </c>
      <c r="M76" s="99">
        <v>0</v>
      </c>
      <c r="N76" s="99">
        <v>0</v>
      </c>
      <c r="O76" s="99">
        <v>-20000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32000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f t="shared" si="8"/>
        <v>262000</v>
      </c>
      <c r="AF76" s="101">
        <v>261684.81000000003</v>
      </c>
      <c r="AG76" s="136">
        <f t="shared" si="10"/>
        <v>0.9987969847328245</v>
      </c>
      <c r="AH76" s="99">
        <f t="shared" si="9"/>
        <v>315.1899999999732</v>
      </c>
    </row>
    <row r="77" spans="1:34" ht="12.75" hidden="1">
      <c r="A77" s="89">
        <v>3151</v>
      </c>
      <c r="B77" s="81" t="s">
        <v>190</v>
      </c>
      <c r="C77" s="99">
        <f>+'PE-PARTIDA'!C77</f>
        <v>0</v>
      </c>
      <c r="D77" s="99"/>
      <c r="E77" s="99"/>
      <c r="F77" s="99">
        <f>+'PE-PARTIDA'!Q77</f>
        <v>0</v>
      </c>
      <c r="G77" s="99">
        <f>+'PE-PARTIDA'!AA77</f>
        <v>0</v>
      </c>
      <c r="H77" s="99">
        <v>0</v>
      </c>
      <c r="I77" s="101">
        <v>0</v>
      </c>
      <c r="J77" s="99">
        <v>0</v>
      </c>
      <c r="K77" s="101">
        <v>0</v>
      </c>
      <c r="L77" s="101">
        <v>0</v>
      </c>
      <c r="M77" s="99">
        <v>0</v>
      </c>
      <c r="N77" s="99">
        <v>0</v>
      </c>
      <c r="O77" s="99">
        <f>+'PE-PARTIDA'!R77</f>
        <v>0</v>
      </c>
      <c r="P77" s="99">
        <f>+'PE-PARTIDA'!S77+'PE-PARTIDA'!V77+'PE-PARTIDA'!AD77</f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/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0</v>
      </c>
      <c r="AE77" s="99">
        <f t="shared" si="8"/>
        <v>0</v>
      </c>
      <c r="AF77" s="101">
        <v>0</v>
      </c>
      <c r="AG77" s="136">
        <v>0</v>
      </c>
      <c r="AH77" s="99">
        <f t="shared" si="9"/>
        <v>0</v>
      </c>
    </row>
    <row r="78" spans="1:34" ht="25.5">
      <c r="A78" s="89">
        <v>3171</v>
      </c>
      <c r="B78" s="81" t="s">
        <v>191</v>
      </c>
      <c r="C78" s="99">
        <f>+'PE-PARTIDA'!C78</f>
        <v>19200</v>
      </c>
      <c r="D78" s="99"/>
      <c r="E78" s="99"/>
      <c r="F78" s="99">
        <f>+'PE-PARTIDA'!Q78</f>
        <v>20160</v>
      </c>
      <c r="G78" s="99">
        <f>+'PE-PARTIDA'!AA78</f>
        <v>0</v>
      </c>
      <c r="H78" s="99">
        <v>0</v>
      </c>
      <c r="I78" s="101">
        <v>0</v>
      </c>
      <c r="J78" s="99">
        <v>0</v>
      </c>
      <c r="K78" s="101">
        <v>0</v>
      </c>
      <c r="L78" s="101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  <c r="X78" s="99">
        <v>0</v>
      </c>
      <c r="Y78" s="99">
        <v>0</v>
      </c>
      <c r="Z78" s="99">
        <v>0</v>
      </c>
      <c r="AA78" s="99">
        <v>0</v>
      </c>
      <c r="AB78" s="99">
        <v>0</v>
      </c>
      <c r="AC78" s="99">
        <v>0</v>
      </c>
      <c r="AD78" s="99">
        <v>0</v>
      </c>
      <c r="AE78" s="99">
        <f t="shared" si="8"/>
        <v>39360</v>
      </c>
      <c r="AF78" s="101">
        <v>33032.99</v>
      </c>
      <c r="AG78" s="136">
        <f t="shared" si="10"/>
        <v>0.8392527947154471</v>
      </c>
      <c r="AH78" s="99">
        <f t="shared" si="9"/>
        <v>6327.010000000002</v>
      </c>
    </row>
    <row r="79" spans="1:34" ht="12.75">
      <c r="A79" s="89">
        <v>3181</v>
      </c>
      <c r="B79" s="81" t="s">
        <v>25</v>
      </c>
      <c r="C79" s="99">
        <f>+'PE-PARTIDA'!C79</f>
        <v>1750</v>
      </c>
      <c r="D79" s="99"/>
      <c r="E79" s="99"/>
      <c r="F79" s="99">
        <f>+'PE-PARTIDA'!Q79</f>
        <v>1838</v>
      </c>
      <c r="G79" s="99">
        <f>+'PE-PARTIDA'!AA79</f>
        <v>0</v>
      </c>
      <c r="H79" s="99">
        <v>0</v>
      </c>
      <c r="I79" s="101">
        <v>0</v>
      </c>
      <c r="J79" s="99">
        <v>0</v>
      </c>
      <c r="K79" s="101">
        <v>0</v>
      </c>
      <c r="L79" s="101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99">
        <v>1000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99">
        <v>0</v>
      </c>
      <c r="AD79" s="99">
        <v>0</v>
      </c>
      <c r="AE79" s="99">
        <f t="shared" si="8"/>
        <v>4588</v>
      </c>
      <c r="AF79" s="101">
        <v>3768.44</v>
      </c>
      <c r="AG79" s="136">
        <f t="shared" si="10"/>
        <v>0.8213687881429818</v>
      </c>
      <c r="AH79" s="99">
        <f t="shared" si="9"/>
        <v>819.56</v>
      </c>
    </row>
    <row r="80" spans="1:34" ht="12.75">
      <c r="A80" s="89">
        <v>3231</v>
      </c>
      <c r="B80" s="81" t="s">
        <v>81</v>
      </c>
      <c r="C80" s="99">
        <f>+'PE-PARTIDA'!C80</f>
        <v>0</v>
      </c>
      <c r="D80" s="99"/>
      <c r="E80" s="99"/>
      <c r="F80" s="99">
        <f>+'PE-PARTIDA'!Q80</f>
        <v>0</v>
      </c>
      <c r="G80" s="99">
        <f>+'PE-PARTIDA'!AA80</f>
        <v>0</v>
      </c>
      <c r="H80" s="99">
        <v>0</v>
      </c>
      <c r="I80" s="101">
        <v>0</v>
      </c>
      <c r="J80" s="99">
        <v>0</v>
      </c>
      <c r="K80" s="101">
        <v>0</v>
      </c>
      <c r="L80" s="101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f t="shared" si="8"/>
        <v>0</v>
      </c>
      <c r="AF80" s="101">
        <v>0</v>
      </c>
      <c r="AG80" s="136">
        <v>0</v>
      </c>
      <c r="AH80" s="99">
        <f t="shared" si="9"/>
        <v>0</v>
      </c>
    </row>
    <row r="81" spans="1:34" ht="12.75">
      <c r="A81" s="89">
        <v>3251</v>
      </c>
      <c r="B81" s="81" t="s">
        <v>192</v>
      </c>
      <c r="C81" s="99">
        <f>+'PE-PARTIDA'!C81</f>
        <v>0</v>
      </c>
      <c r="D81" s="99"/>
      <c r="E81" s="99"/>
      <c r="F81" s="99">
        <f>+'PE-PARTIDA'!Q81</f>
        <v>42000</v>
      </c>
      <c r="G81" s="99">
        <f>+'PE-PARTIDA'!AA81</f>
        <v>0</v>
      </c>
      <c r="H81" s="99">
        <v>0</v>
      </c>
      <c r="I81" s="101">
        <v>4267.06</v>
      </c>
      <c r="J81" s="99">
        <v>23732.94</v>
      </c>
      <c r="K81" s="101">
        <v>0</v>
      </c>
      <c r="L81" s="101">
        <v>0</v>
      </c>
      <c r="M81" s="99">
        <v>0</v>
      </c>
      <c r="N81" s="99">
        <v>0</v>
      </c>
      <c r="O81" s="99">
        <v>-5000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  <c r="AE81" s="99">
        <f t="shared" si="8"/>
        <v>65000</v>
      </c>
      <c r="AF81" s="101">
        <v>63952.21</v>
      </c>
      <c r="AG81" s="136">
        <f t="shared" si="10"/>
        <v>0.9838801538461538</v>
      </c>
      <c r="AH81" s="99">
        <f t="shared" si="9"/>
        <v>1047.7900000000009</v>
      </c>
    </row>
    <row r="82" spans="1:34" ht="25.5">
      <c r="A82" s="89">
        <v>3261</v>
      </c>
      <c r="B82" s="81" t="s">
        <v>82</v>
      </c>
      <c r="C82" s="99">
        <f>+'PE-PARTIDA'!C82</f>
        <v>0</v>
      </c>
      <c r="D82" s="99"/>
      <c r="E82" s="99"/>
      <c r="F82" s="99">
        <f>+'PE-PARTIDA'!Q82</f>
        <v>34000</v>
      </c>
      <c r="G82" s="99">
        <f>+'PE-PARTIDA'!AA82</f>
        <v>0</v>
      </c>
      <c r="H82" s="99">
        <v>0</v>
      </c>
      <c r="I82" s="101">
        <v>6000</v>
      </c>
      <c r="J82" s="99">
        <v>30000</v>
      </c>
      <c r="K82" s="101">
        <v>0</v>
      </c>
      <c r="L82" s="101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99">
        <v>0</v>
      </c>
      <c r="W82" s="99">
        <v>0</v>
      </c>
      <c r="X82" s="99">
        <v>0</v>
      </c>
      <c r="Y82" s="99">
        <v>0</v>
      </c>
      <c r="Z82" s="99">
        <v>0</v>
      </c>
      <c r="AA82" s="99">
        <v>0</v>
      </c>
      <c r="AB82" s="99">
        <v>0</v>
      </c>
      <c r="AC82" s="99">
        <v>0</v>
      </c>
      <c r="AD82" s="99">
        <v>0</v>
      </c>
      <c r="AE82" s="99">
        <f t="shared" si="8"/>
        <v>70000</v>
      </c>
      <c r="AF82" s="101">
        <v>69716</v>
      </c>
      <c r="AG82" s="136">
        <f t="shared" si="10"/>
        <v>0.9959428571428571</v>
      </c>
      <c r="AH82" s="99">
        <f t="shared" si="9"/>
        <v>284</v>
      </c>
    </row>
    <row r="83" spans="1:34" ht="12.75">
      <c r="A83" s="89">
        <v>3291</v>
      </c>
      <c r="B83" s="81" t="s">
        <v>83</v>
      </c>
      <c r="C83" s="99">
        <f>+'PE-PARTIDA'!C83</f>
        <v>5000</v>
      </c>
      <c r="D83" s="99"/>
      <c r="E83" s="99"/>
      <c r="F83" s="99">
        <f>+'PE-PARTIDA'!Q83</f>
        <v>0</v>
      </c>
      <c r="G83" s="99">
        <f>+'PE-PARTIDA'!AA83</f>
        <v>0</v>
      </c>
      <c r="H83" s="99">
        <v>0</v>
      </c>
      <c r="I83" s="101">
        <v>2000</v>
      </c>
      <c r="J83" s="99">
        <v>0</v>
      </c>
      <c r="K83" s="101">
        <v>0</v>
      </c>
      <c r="L83" s="101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f t="shared" si="8"/>
        <v>7000</v>
      </c>
      <c r="AF83" s="101">
        <v>3480</v>
      </c>
      <c r="AG83" s="136">
        <f t="shared" si="10"/>
        <v>0.49714285714285716</v>
      </c>
      <c r="AH83" s="99">
        <f t="shared" si="9"/>
        <v>3520</v>
      </c>
    </row>
    <row r="84" spans="1:34" ht="25.5">
      <c r="A84" s="89">
        <v>3311</v>
      </c>
      <c r="B84" s="81" t="s">
        <v>84</v>
      </c>
      <c r="C84" s="99">
        <f>+'PE-PARTIDA'!C84</f>
        <v>100000</v>
      </c>
      <c r="D84" s="99"/>
      <c r="E84" s="99"/>
      <c r="F84" s="99">
        <f>+'PE-PARTIDA'!Q84</f>
        <v>120000</v>
      </c>
      <c r="G84" s="99">
        <f>+'PE-PARTIDA'!AA84</f>
        <v>50000</v>
      </c>
      <c r="H84" s="99">
        <v>0</v>
      </c>
      <c r="I84" s="101">
        <v>0</v>
      </c>
      <c r="J84" s="99">
        <v>130000</v>
      </c>
      <c r="K84" s="101">
        <v>0</v>
      </c>
      <c r="L84" s="101">
        <v>0</v>
      </c>
      <c r="M84" s="99">
        <v>0</v>
      </c>
      <c r="N84" s="99">
        <v>0</v>
      </c>
      <c r="O84" s="99">
        <v>-80000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>
        <f>20000+2000</f>
        <v>22000</v>
      </c>
      <c r="AB84" s="99">
        <v>0</v>
      </c>
      <c r="AC84" s="99">
        <v>0</v>
      </c>
      <c r="AD84" s="99">
        <v>0</v>
      </c>
      <c r="AE84" s="99">
        <f t="shared" si="8"/>
        <v>342000</v>
      </c>
      <c r="AF84" s="101">
        <v>341428.14</v>
      </c>
      <c r="AG84" s="136">
        <f t="shared" si="10"/>
        <v>0.9983278947368421</v>
      </c>
      <c r="AH84" s="99">
        <f t="shared" si="9"/>
        <v>571.859999999986</v>
      </c>
    </row>
    <row r="85" spans="1:34" ht="12.75">
      <c r="A85" s="89">
        <v>3331</v>
      </c>
      <c r="B85" s="81" t="s">
        <v>193</v>
      </c>
      <c r="C85" s="99">
        <f>+'PE-PARTIDA'!C85</f>
        <v>0</v>
      </c>
      <c r="D85" s="99"/>
      <c r="E85" s="99"/>
      <c r="F85" s="99">
        <f>+'PE-PARTIDA'!Q85</f>
        <v>0</v>
      </c>
      <c r="G85" s="99">
        <f>+'PE-PARTIDA'!AA85</f>
        <v>0</v>
      </c>
      <c r="H85" s="99">
        <v>0</v>
      </c>
      <c r="I85" s="101">
        <v>0</v>
      </c>
      <c r="J85" s="99">
        <v>450000</v>
      </c>
      <c r="K85" s="101">
        <v>0</v>
      </c>
      <c r="L85" s="101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f t="shared" si="8"/>
        <v>450000</v>
      </c>
      <c r="AF85" s="101">
        <v>442247.49</v>
      </c>
      <c r="AG85" s="136">
        <f t="shared" si="10"/>
        <v>0.9827722</v>
      </c>
      <c r="AH85" s="99">
        <f t="shared" si="9"/>
        <v>7752.510000000009</v>
      </c>
    </row>
    <row r="86" spans="1:34" ht="12.75">
      <c r="A86" s="89">
        <v>3341</v>
      </c>
      <c r="B86" s="81" t="s">
        <v>26</v>
      </c>
      <c r="C86" s="99">
        <f>+'PE-PARTIDA'!C86</f>
        <v>35000</v>
      </c>
      <c r="D86" s="99"/>
      <c r="E86" s="99"/>
      <c r="F86" s="99">
        <f>+'PE-PARTIDA'!Q86</f>
        <v>50000</v>
      </c>
      <c r="G86" s="99">
        <f>+'PE-PARTIDA'!AA86</f>
        <v>0</v>
      </c>
      <c r="H86" s="99">
        <v>0</v>
      </c>
      <c r="I86" s="101">
        <v>0</v>
      </c>
      <c r="J86" s="99">
        <v>70000</v>
      </c>
      <c r="K86" s="101">
        <v>0</v>
      </c>
      <c r="L86" s="101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f t="shared" si="8"/>
        <v>155000</v>
      </c>
      <c r="AF86" s="101">
        <v>141414.05</v>
      </c>
      <c r="AG86" s="136">
        <f t="shared" si="10"/>
        <v>0.9123487096774193</v>
      </c>
      <c r="AH86" s="99">
        <f t="shared" si="9"/>
        <v>13585.950000000012</v>
      </c>
    </row>
    <row r="87" spans="1:34" ht="12.75">
      <c r="A87" s="89">
        <v>3342</v>
      </c>
      <c r="B87" s="81" t="s">
        <v>85</v>
      </c>
      <c r="C87" s="99">
        <f>+'PE-PARTIDA'!C87</f>
        <v>25000</v>
      </c>
      <c r="D87" s="99"/>
      <c r="E87" s="99"/>
      <c r="F87" s="99">
        <f>+'PE-PARTIDA'!Q87</f>
        <v>100000</v>
      </c>
      <c r="G87" s="99">
        <f>+'PE-PARTIDA'!AA87</f>
        <v>0</v>
      </c>
      <c r="H87" s="99">
        <v>0</v>
      </c>
      <c r="I87" s="101">
        <v>0</v>
      </c>
      <c r="J87" s="99">
        <v>230000</v>
      </c>
      <c r="K87" s="101">
        <v>0</v>
      </c>
      <c r="L87" s="101">
        <v>0</v>
      </c>
      <c r="M87" s="99">
        <v>0</v>
      </c>
      <c r="N87" s="99">
        <v>0</v>
      </c>
      <c r="O87" s="99">
        <v>-80000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f t="shared" si="8"/>
        <v>275000</v>
      </c>
      <c r="AF87" s="101">
        <v>235474.89</v>
      </c>
      <c r="AG87" s="136">
        <f t="shared" si="10"/>
        <v>0.8562723272727273</v>
      </c>
      <c r="AH87" s="99">
        <f t="shared" si="9"/>
        <v>39525.109999999986</v>
      </c>
    </row>
    <row r="88" spans="1:34" ht="12.75" hidden="1">
      <c r="A88" s="89">
        <v>3361</v>
      </c>
      <c r="B88" s="81" t="s">
        <v>194</v>
      </c>
      <c r="C88" s="99">
        <f>+'PE-PARTIDA'!C88</f>
        <v>0</v>
      </c>
      <c r="D88" s="99"/>
      <c r="E88" s="99"/>
      <c r="F88" s="99">
        <f>+'PE-PARTIDA'!Q88</f>
        <v>0</v>
      </c>
      <c r="G88" s="99">
        <f>+'PE-PARTIDA'!AA88</f>
        <v>0</v>
      </c>
      <c r="H88" s="99">
        <v>0</v>
      </c>
      <c r="I88" s="101">
        <v>0</v>
      </c>
      <c r="J88" s="99">
        <v>0</v>
      </c>
      <c r="K88" s="101">
        <v>0</v>
      </c>
      <c r="L88" s="101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  <c r="X88" s="99">
        <v>0</v>
      </c>
      <c r="Y88" s="99">
        <v>0</v>
      </c>
      <c r="Z88" s="99">
        <v>0</v>
      </c>
      <c r="AA88" s="99">
        <v>0</v>
      </c>
      <c r="AB88" s="99">
        <v>0</v>
      </c>
      <c r="AC88" s="99">
        <v>0</v>
      </c>
      <c r="AD88" s="99">
        <v>0</v>
      </c>
      <c r="AE88" s="99">
        <f t="shared" si="8"/>
        <v>0</v>
      </c>
      <c r="AF88" s="101">
        <v>0</v>
      </c>
      <c r="AG88" s="136">
        <v>0</v>
      </c>
      <c r="AH88" s="99">
        <f t="shared" si="9"/>
        <v>0</v>
      </c>
    </row>
    <row r="89" spans="1:34" ht="12.75" hidden="1">
      <c r="A89" s="89">
        <v>3362</v>
      </c>
      <c r="B89" s="81" t="s">
        <v>86</v>
      </c>
      <c r="C89" s="99">
        <f>+'PE-PARTIDA'!C89</f>
        <v>0</v>
      </c>
      <c r="D89" s="99"/>
      <c r="E89" s="99"/>
      <c r="F89" s="99">
        <f>+'PE-PARTIDA'!Q89</f>
        <v>0</v>
      </c>
      <c r="G89" s="99">
        <f>+'PE-PARTIDA'!AA89</f>
        <v>0</v>
      </c>
      <c r="H89" s="99">
        <v>0</v>
      </c>
      <c r="I89" s="101">
        <v>0</v>
      </c>
      <c r="J89" s="99">
        <v>0</v>
      </c>
      <c r="K89" s="101">
        <v>0</v>
      </c>
      <c r="L89" s="101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99">
        <v>0</v>
      </c>
      <c r="AD89" s="99">
        <v>0</v>
      </c>
      <c r="AE89" s="99">
        <f t="shared" si="8"/>
        <v>0</v>
      </c>
      <c r="AF89" s="101">
        <v>0</v>
      </c>
      <c r="AG89" s="136">
        <v>0</v>
      </c>
      <c r="AH89" s="99">
        <f t="shared" si="9"/>
        <v>0</v>
      </c>
    </row>
    <row r="90" spans="1:34" ht="25.5" hidden="1">
      <c r="A90" s="89">
        <v>3363</v>
      </c>
      <c r="B90" s="81" t="s">
        <v>195</v>
      </c>
      <c r="C90" s="99">
        <f>+'PE-PARTIDA'!C90</f>
        <v>0</v>
      </c>
      <c r="D90" s="99"/>
      <c r="E90" s="99"/>
      <c r="F90" s="99">
        <f>+'PE-PARTIDA'!Q90</f>
        <v>0</v>
      </c>
      <c r="G90" s="99">
        <f>+'PE-PARTIDA'!AA90</f>
        <v>0</v>
      </c>
      <c r="H90" s="99">
        <v>0</v>
      </c>
      <c r="I90" s="101">
        <v>0</v>
      </c>
      <c r="J90" s="99">
        <v>0</v>
      </c>
      <c r="K90" s="101">
        <v>0</v>
      </c>
      <c r="L90" s="101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  <c r="X90" s="99">
        <v>0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99">
        <f t="shared" si="8"/>
        <v>0</v>
      </c>
      <c r="AF90" s="101">
        <v>0</v>
      </c>
      <c r="AG90" s="136">
        <v>0</v>
      </c>
      <c r="AH90" s="99">
        <f t="shared" si="9"/>
        <v>0</v>
      </c>
    </row>
    <row r="91" spans="1:34" ht="38.25" hidden="1">
      <c r="A91" s="89">
        <v>3365</v>
      </c>
      <c r="B91" s="81" t="s">
        <v>196</v>
      </c>
      <c r="C91" s="99">
        <f>+'PE-PARTIDA'!C91</f>
        <v>0</v>
      </c>
      <c r="D91" s="99"/>
      <c r="E91" s="99"/>
      <c r="F91" s="99">
        <f>+'PE-PARTIDA'!Q91</f>
        <v>0</v>
      </c>
      <c r="G91" s="99">
        <f>+'PE-PARTIDA'!AA91</f>
        <v>0</v>
      </c>
      <c r="H91" s="99">
        <v>0</v>
      </c>
      <c r="I91" s="101">
        <v>0</v>
      </c>
      <c r="J91" s="99">
        <v>0</v>
      </c>
      <c r="K91" s="101">
        <v>0</v>
      </c>
      <c r="L91" s="101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9">
        <v>0</v>
      </c>
      <c r="Y91" s="99">
        <v>0</v>
      </c>
      <c r="Z91" s="99">
        <v>0</v>
      </c>
      <c r="AA91" s="99">
        <v>0</v>
      </c>
      <c r="AB91" s="99">
        <v>0</v>
      </c>
      <c r="AC91" s="99">
        <v>0</v>
      </c>
      <c r="AD91" s="99">
        <v>0</v>
      </c>
      <c r="AE91" s="99">
        <f t="shared" si="8"/>
        <v>0</v>
      </c>
      <c r="AF91" s="101">
        <v>0</v>
      </c>
      <c r="AG91" s="136">
        <v>0</v>
      </c>
      <c r="AH91" s="99">
        <f t="shared" si="9"/>
        <v>0</v>
      </c>
    </row>
    <row r="92" spans="1:34" ht="12.75" hidden="1">
      <c r="A92" s="89">
        <v>3381</v>
      </c>
      <c r="B92" s="81" t="s">
        <v>27</v>
      </c>
      <c r="C92" s="99">
        <f>+'PE-PARTIDA'!C92</f>
        <v>0</v>
      </c>
      <c r="D92" s="99"/>
      <c r="E92" s="99"/>
      <c r="F92" s="99">
        <f>+'PE-PARTIDA'!Q92</f>
        <v>0</v>
      </c>
      <c r="G92" s="99">
        <f>+'PE-PARTIDA'!AA92</f>
        <v>0</v>
      </c>
      <c r="H92" s="99">
        <v>0</v>
      </c>
      <c r="I92" s="101">
        <v>0</v>
      </c>
      <c r="J92" s="99">
        <v>0</v>
      </c>
      <c r="K92" s="101">
        <v>0</v>
      </c>
      <c r="L92" s="101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99">
        <v>0</v>
      </c>
      <c r="W92" s="99">
        <v>0</v>
      </c>
      <c r="X92" s="99">
        <v>0</v>
      </c>
      <c r="Y92" s="99">
        <v>0</v>
      </c>
      <c r="Z92" s="99">
        <v>0</v>
      </c>
      <c r="AA92" s="99">
        <v>0</v>
      </c>
      <c r="AB92" s="99">
        <v>0</v>
      </c>
      <c r="AC92" s="99">
        <v>0</v>
      </c>
      <c r="AD92" s="99">
        <v>0</v>
      </c>
      <c r="AE92" s="99">
        <f t="shared" si="8"/>
        <v>0</v>
      </c>
      <c r="AF92" s="101">
        <v>0</v>
      </c>
      <c r="AG92" s="136">
        <v>0</v>
      </c>
      <c r="AH92" s="99">
        <f t="shared" si="9"/>
        <v>0</v>
      </c>
    </row>
    <row r="93" spans="1:34" ht="25.5">
      <c r="A93" s="89">
        <v>3391</v>
      </c>
      <c r="B93" s="81" t="s">
        <v>87</v>
      </c>
      <c r="C93" s="99">
        <f>+'PE-PARTIDA'!C93</f>
        <v>6040</v>
      </c>
      <c r="D93" s="99"/>
      <c r="E93" s="99"/>
      <c r="F93" s="99">
        <f>+'PE-PARTIDA'!Q93</f>
        <v>8960</v>
      </c>
      <c r="G93" s="99">
        <f>+'PE-PARTIDA'!AA93</f>
        <v>0</v>
      </c>
      <c r="H93" s="99">
        <v>0</v>
      </c>
      <c r="I93" s="101">
        <v>0</v>
      </c>
      <c r="J93" s="99">
        <v>15000</v>
      </c>
      <c r="K93" s="101">
        <v>0</v>
      </c>
      <c r="L93" s="101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B93" s="99">
        <v>0</v>
      </c>
      <c r="AC93" s="99">
        <v>0</v>
      </c>
      <c r="AD93" s="99">
        <v>0</v>
      </c>
      <c r="AE93" s="99">
        <f t="shared" si="8"/>
        <v>30000</v>
      </c>
      <c r="AF93" s="101">
        <v>0</v>
      </c>
      <c r="AG93" s="136">
        <v>0</v>
      </c>
      <c r="AH93" s="99">
        <f t="shared" si="9"/>
        <v>30000</v>
      </c>
    </row>
    <row r="94" spans="1:34" ht="12.75">
      <c r="A94" s="89">
        <v>3411</v>
      </c>
      <c r="B94" s="81" t="s">
        <v>28</v>
      </c>
      <c r="C94" s="99">
        <f>+'PE-PARTIDA'!C94</f>
        <v>10000</v>
      </c>
      <c r="D94" s="99"/>
      <c r="E94" s="99"/>
      <c r="F94" s="99">
        <f>+'PE-PARTIDA'!Q94</f>
        <v>15000</v>
      </c>
      <c r="G94" s="99">
        <f>+'PE-PARTIDA'!AA94</f>
        <v>0</v>
      </c>
      <c r="H94" s="99">
        <v>0</v>
      </c>
      <c r="I94" s="101">
        <v>0</v>
      </c>
      <c r="J94" s="99">
        <v>0</v>
      </c>
      <c r="K94" s="101">
        <v>0</v>
      </c>
      <c r="L94" s="101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>
        <v>0</v>
      </c>
      <c r="Y94" s="99">
        <v>0</v>
      </c>
      <c r="Z94" s="99">
        <v>0</v>
      </c>
      <c r="AA94" s="99">
        <v>0</v>
      </c>
      <c r="AB94" s="99">
        <v>0</v>
      </c>
      <c r="AC94" s="99">
        <v>0</v>
      </c>
      <c r="AD94" s="99">
        <v>0</v>
      </c>
      <c r="AE94" s="99">
        <f t="shared" si="8"/>
        <v>25000</v>
      </c>
      <c r="AF94" s="101">
        <v>19289.920000000002</v>
      </c>
      <c r="AG94" s="136">
        <f t="shared" si="10"/>
        <v>0.7715968000000001</v>
      </c>
      <c r="AH94" s="99">
        <f t="shared" si="9"/>
        <v>5710.079999999998</v>
      </c>
    </row>
    <row r="95" spans="1:34" ht="12.75">
      <c r="A95" s="89">
        <v>3451</v>
      </c>
      <c r="B95" s="81" t="s">
        <v>197</v>
      </c>
      <c r="C95" s="99">
        <f>+'PE-PARTIDA'!C95</f>
        <v>45000</v>
      </c>
      <c r="D95" s="99"/>
      <c r="E95" s="99"/>
      <c r="F95" s="99">
        <f>+'PE-PARTIDA'!Q95</f>
        <v>175000</v>
      </c>
      <c r="G95" s="99">
        <f>+'PE-PARTIDA'!AA95</f>
        <v>0</v>
      </c>
      <c r="H95" s="99">
        <v>0</v>
      </c>
      <c r="I95" s="101">
        <v>0</v>
      </c>
      <c r="J95" s="99">
        <v>0</v>
      </c>
      <c r="K95" s="101">
        <v>0</v>
      </c>
      <c r="L95" s="101">
        <v>0</v>
      </c>
      <c r="M95" s="99">
        <v>0</v>
      </c>
      <c r="N95" s="99">
        <v>0</v>
      </c>
      <c r="O95" s="99">
        <v>-50000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>
        <v>0</v>
      </c>
      <c r="Y95" s="99">
        <v>0</v>
      </c>
      <c r="Z95" s="99">
        <v>0</v>
      </c>
      <c r="AA95" s="99">
        <v>0</v>
      </c>
      <c r="AB95" s="99">
        <v>0</v>
      </c>
      <c r="AC95" s="99">
        <v>0</v>
      </c>
      <c r="AD95" s="99">
        <v>0</v>
      </c>
      <c r="AE95" s="99">
        <f t="shared" si="8"/>
        <v>170000</v>
      </c>
      <c r="AF95" s="101">
        <v>101414.64</v>
      </c>
      <c r="AG95" s="136">
        <f t="shared" si="10"/>
        <v>0.596556705882353</v>
      </c>
      <c r="AH95" s="99">
        <f t="shared" si="9"/>
        <v>68585.36</v>
      </c>
    </row>
    <row r="96" spans="1:34" ht="12.75" hidden="1">
      <c r="A96" s="89">
        <v>3471</v>
      </c>
      <c r="B96" s="81" t="s">
        <v>29</v>
      </c>
      <c r="C96" s="99">
        <f>+'PE-PARTIDA'!C96</f>
        <v>0</v>
      </c>
      <c r="D96" s="99"/>
      <c r="E96" s="99"/>
      <c r="F96" s="99">
        <f>+'PE-PARTIDA'!Q96</f>
        <v>0</v>
      </c>
      <c r="G96" s="99">
        <f>+'PE-PARTIDA'!AA96</f>
        <v>0</v>
      </c>
      <c r="H96" s="99">
        <v>0</v>
      </c>
      <c r="I96" s="101">
        <v>0</v>
      </c>
      <c r="J96" s="99">
        <v>0</v>
      </c>
      <c r="K96" s="101">
        <v>0</v>
      </c>
      <c r="L96" s="101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99"/>
      <c r="X96" s="99">
        <v>0</v>
      </c>
      <c r="Y96" s="99"/>
      <c r="Z96" s="99">
        <v>0</v>
      </c>
      <c r="AA96" s="99">
        <v>0</v>
      </c>
      <c r="AB96" s="99">
        <v>0</v>
      </c>
      <c r="AC96" s="99">
        <v>0</v>
      </c>
      <c r="AD96" s="99">
        <v>0</v>
      </c>
      <c r="AE96" s="99">
        <f t="shared" si="8"/>
        <v>0</v>
      </c>
      <c r="AF96" s="101">
        <v>0</v>
      </c>
      <c r="AG96" s="136">
        <v>0</v>
      </c>
      <c r="AH96" s="99">
        <f t="shared" si="9"/>
        <v>0</v>
      </c>
    </row>
    <row r="97" spans="1:34" ht="12.75">
      <c r="A97" s="89">
        <v>3511</v>
      </c>
      <c r="B97" s="81" t="s">
        <v>198</v>
      </c>
      <c r="C97" s="99">
        <f>+'PE-PARTIDA'!C97</f>
        <v>25000</v>
      </c>
      <c r="D97" s="99"/>
      <c r="E97" s="99"/>
      <c r="F97" s="99">
        <f>+'PE-PARTIDA'!Q97</f>
        <v>25000</v>
      </c>
      <c r="G97" s="99">
        <f>+'PE-PARTIDA'!AA97</f>
        <v>0</v>
      </c>
      <c r="H97" s="99">
        <v>0</v>
      </c>
      <c r="I97" s="101">
        <v>0</v>
      </c>
      <c r="J97" s="99">
        <v>150000</v>
      </c>
      <c r="K97" s="101">
        <v>0</v>
      </c>
      <c r="L97" s="101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500000</v>
      </c>
      <c r="T97" s="99">
        <v>0</v>
      </c>
      <c r="U97" s="99">
        <v>0</v>
      </c>
      <c r="V97" s="99">
        <v>0</v>
      </c>
      <c r="W97" s="99">
        <v>10000</v>
      </c>
      <c r="X97" s="99">
        <v>0</v>
      </c>
      <c r="Y97" s="99">
        <v>10000</v>
      </c>
      <c r="Z97" s="99">
        <v>0</v>
      </c>
      <c r="AA97" s="99">
        <v>0</v>
      </c>
      <c r="AB97" s="99">
        <v>0</v>
      </c>
      <c r="AC97" s="99">
        <v>0</v>
      </c>
      <c r="AD97" s="99">
        <v>0</v>
      </c>
      <c r="AE97" s="99">
        <f t="shared" si="8"/>
        <v>720000</v>
      </c>
      <c r="AF97" s="101">
        <v>709902.4600000001</v>
      </c>
      <c r="AG97" s="136">
        <f t="shared" si="10"/>
        <v>0.985975638888889</v>
      </c>
      <c r="AH97" s="99">
        <f t="shared" si="9"/>
        <v>10097.53999999992</v>
      </c>
    </row>
    <row r="98" spans="1:34" ht="25.5">
      <c r="A98" s="89">
        <v>3521</v>
      </c>
      <c r="B98" s="81" t="s">
        <v>199</v>
      </c>
      <c r="C98" s="99">
        <f>+'PE-PARTIDA'!C98</f>
        <v>5000</v>
      </c>
      <c r="D98" s="99"/>
      <c r="E98" s="99"/>
      <c r="F98" s="99">
        <f>+'PE-PARTIDA'!Q98</f>
        <v>5000</v>
      </c>
      <c r="G98" s="99">
        <f>+'PE-PARTIDA'!AA98</f>
        <v>0</v>
      </c>
      <c r="H98" s="99">
        <v>0</v>
      </c>
      <c r="I98" s="101">
        <v>0</v>
      </c>
      <c r="J98" s="99">
        <v>20000</v>
      </c>
      <c r="K98" s="101">
        <v>0</v>
      </c>
      <c r="L98" s="101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>
        <v>0</v>
      </c>
      <c r="Y98" s="99">
        <v>0</v>
      </c>
      <c r="Z98" s="99">
        <v>3000</v>
      </c>
      <c r="AA98" s="99">
        <v>0</v>
      </c>
      <c r="AB98" s="99">
        <v>0</v>
      </c>
      <c r="AC98" s="99">
        <v>0</v>
      </c>
      <c r="AD98" s="99">
        <v>0</v>
      </c>
      <c r="AE98" s="99">
        <f t="shared" si="8"/>
        <v>27000</v>
      </c>
      <c r="AF98" s="101">
        <v>16214.419999999998</v>
      </c>
      <c r="AG98" s="136">
        <f t="shared" si="10"/>
        <v>0.600534074074074</v>
      </c>
      <c r="AH98" s="99">
        <f t="shared" si="9"/>
        <v>10785.580000000002</v>
      </c>
    </row>
    <row r="99" spans="1:34" ht="25.5">
      <c r="A99" s="89">
        <v>3531</v>
      </c>
      <c r="B99" s="81" t="s">
        <v>88</v>
      </c>
      <c r="C99" s="99">
        <f>+'PE-PARTIDA'!C99</f>
        <v>17000</v>
      </c>
      <c r="D99" s="99"/>
      <c r="E99" s="99"/>
      <c r="F99" s="99">
        <f>+'PE-PARTIDA'!Q99</f>
        <v>55000</v>
      </c>
      <c r="G99" s="99">
        <f>+'PE-PARTIDA'!AA99</f>
        <v>0</v>
      </c>
      <c r="H99" s="99">
        <v>0</v>
      </c>
      <c r="I99" s="101">
        <v>0</v>
      </c>
      <c r="J99" s="99">
        <v>0</v>
      </c>
      <c r="K99" s="101">
        <v>0</v>
      </c>
      <c r="L99" s="101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0</v>
      </c>
      <c r="Y99" s="99">
        <v>0</v>
      </c>
      <c r="Z99" s="99">
        <v>0</v>
      </c>
      <c r="AA99" s="99">
        <v>0</v>
      </c>
      <c r="AB99" s="99">
        <v>0</v>
      </c>
      <c r="AC99" s="99">
        <v>0</v>
      </c>
      <c r="AD99" s="99">
        <v>0</v>
      </c>
      <c r="AE99" s="99">
        <f t="shared" si="8"/>
        <v>72000</v>
      </c>
      <c r="AF99" s="101">
        <v>69200.90000000001</v>
      </c>
      <c r="AG99" s="136">
        <f t="shared" si="10"/>
        <v>0.9611236111111112</v>
      </c>
      <c r="AH99" s="99">
        <f t="shared" si="9"/>
        <v>2799.0999999999913</v>
      </c>
    </row>
    <row r="100" spans="1:34" ht="12.75">
      <c r="A100" s="89">
        <v>3551</v>
      </c>
      <c r="B100" s="81" t="s">
        <v>48</v>
      </c>
      <c r="C100" s="99">
        <f>+'PE-PARTIDA'!C100</f>
        <v>20000</v>
      </c>
      <c r="D100" s="99"/>
      <c r="E100" s="99"/>
      <c r="F100" s="99">
        <f>+'PE-PARTIDA'!Q100</f>
        <v>40000</v>
      </c>
      <c r="G100" s="99">
        <f>+'PE-PARTIDA'!AA100</f>
        <v>0</v>
      </c>
      <c r="H100" s="99">
        <v>0</v>
      </c>
      <c r="I100" s="101">
        <v>0</v>
      </c>
      <c r="J100" s="99">
        <v>30000</v>
      </c>
      <c r="K100" s="101">
        <v>0</v>
      </c>
      <c r="L100" s="101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  <c r="X100" s="99">
        <v>0</v>
      </c>
      <c r="Y100" s="99">
        <v>20000</v>
      </c>
      <c r="Z100" s="99">
        <v>0</v>
      </c>
      <c r="AA100" s="99">
        <v>0</v>
      </c>
      <c r="AB100" s="99">
        <v>0</v>
      </c>
      <c r="AC100" s="99">
        <v>0</v>
      </c>
      <c r="AD100" s="99">
        <v>0</v>
      </c>
      <c r="AE100" s="99">
        <f t="shared" si="8"/>
        <v>110000</v>
      </c>
      <c r="AF100" s="101">
        <v>107265.46</v>
      </c>
      <c r="AG100" s="136">
        <f t="shared" si="10"/>
        <v>0.9751405454545455</v>
      </c>
      <c r="AH100" s="99">
        <f t="shared" si="9"/>
        <v>2734.5399999999936</v>
      </c>
    </row>
    <row r="101" spans="1:34" ht="25.5">
      <c r="A101" s="89">
        <v>3571</v>
      </c>
      <c r="B101" s="81" t="s">
        <v>200</v>
      </c>
      <c r="C101" s="99">
        <f>+'PE-PARTIDA'!C101</f>
        <v>0</v>
      </c>
      <c r="D101" s="99"/>
      <c r="E101" s="99"/>
      <c r="F101" s="99">
        <f>+'PE-PARTIDA'!Q101</f>
        <v>5000</v>
      </c>
      <c r="G101" s="99">
        <f>+'PE-PARTIDA'!AA101</f>
        <v>0</v>
      </c>
      <c r="H101" s="99">
        <v>0</v>
      </c>
      <c r="I101" s="101">
        <v>5000</v>
      </c>
      <c r="J101" s="99">
        <v>0</v>
      </c>
      <c r="K101" s="101">
        <v>0</v>
      </c>
      <c r="L101" s="101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99">
        <v>0</v>
      </c>
      <c r="V101" s="99">
        <v>0</v>
      </c>
      <c r="W101" s="99">
        <v>0</v>
      </c>
      <c r="X101" s="99">
        <v>0</v>
      </c>
      <c r="Y101" s="99">
        <v>0</v>
      </c>
      <c r="Z101" s="99">
        <v>0</v>
      </c>
      <c r="AA101" s="99">
        <v>0</v>
      </c>
      <c r="AB101" s="99">
        <v>0</v>
      </c>
      <c r="AC101" s="99">
        <v>0</v>
      </c>
      <c r="AD101" s="99">
        <v>0</v>
      </c>
      <c r="AE101" s="99">
        <f t="shared" si="8"/>
        <v>10000</v>
      </c>
      <c r="AF101" s="101">
        <v>9976.490000000002</v>
      </c>
      <c r="AG101" s="136">
        <f t="shared" si="10"/>
        <v>0.9976490000000001</v>
      </c>
      <c r="AH101" s="99">
        <f t="shared" si="9"/>
        <v>23.5099999999984</v>
      </c>
    </row>
    <row r="102" spans="1:34" ht="25.5">
      <c r="A102" s="89">
        <v>3572</v>
      </c>
      <c r="B102" s="81" t="s">
        <v>201</v>
      </c>
      <c r="C102" s="99">
        <f>+'PE-PARTIDA'!C102</f>
        <v>0</v>
      </c>
      <c r="D102" s="99"/>
      <c r="E102" s="99"/>
      <c r="F102" s="99">
        <f>+'PE-PARTIDA'!Q102</f>
        <v>5000</v>
      </c>
      <c r="G102" s="99">
        <f>+'PE-PARTIDA'!AA102</f>
        <v>0</v>
      </c>
      <c r="H102" s="99">
        <v>0</v>
      </c>
      <c r="I102" s="101">
        <v>0</v>
      </c>
      <c r="J102" s="99">
        <v>15000</v>
      </c>
      <c r="K102" s="101">
        <v>0</v>
      </c>
      <c r="L102" s="101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  <c r="X102" s="99">
        <v>0</v>
      </c>
      <c r="Y102" s="99">
        <v>0</v>
      </c>
      <c r="Z102" s="99">
        <v>0</v>
      </c>
      <c r="AA102" s="99">
        <v>0</v>
      </c>
      <c r="AB102" s="99">
        <v>0</v>
      </c>
      <c r="AC102" s="99">
        <v>0</v>
      </c>
      <c r="AD102" s="99">
        <v>0</v>
      </c>
      <c r="AE102" s="99">
        <f t="shared" si="8"/>
        <v>20000</v>
      </c>
      <c r="AF102" s="101">
        <v>19700</v>
      </c>
      <c r="AG102" s="136">
        <f t="shared" si="10"/>
        <v>0.985</v>
      </c>
      <c r="AH102" s="99">
        <f t="shared" si="9"/>
        <v>300</v>
      </c>
    </row>
    <row r="103" spans="1:34" ht="12.75" hidden="1">
      <c r="A103" s="89">
        <v>3581</v>
      </c>
      <c r="B103" s="81" t="s">
        <v>39</v>
      </c>
      <c r="C103" s="99">
        <f>+'PE-PARTIDA'!C103</f>
        <v>0</v>
      </c>
      <c r="D103" s="99"/>
      <c r="E103" s="99"/>
      <c r="F103" s="99">
        <f>+'PE-PARTIDA'!Q103</f>
        <v>0</v>
      </c>
      <c r="G103" s="99">
        <f>+'PE-PARTIDA'!AA103</f>
        <v>0</v>
      </c>
      <c r="H103" s="99">
        <v>0</v>
      </c>
      <c r="I103" s="101">
        <v>0</v>
      </c>
      <c r="J103" s="99">
        <v>0</v>
      </c>
      <c r="K103" s="101">
        <v>0</v>
      </c>
      <c r="L103" s="101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  <c r="X103" s="99">
        <v>0</v>
      </c>
      <c r="Y103" s="99">
        <v>0</v>
      </c>
      <c r="Z103" s="99"/>
      <c r="AA103" s="99"/>
      <c r="AB103" s="99"/>
      <c r="AC103" s="99"/>
      <c r="AD103" s="99"/>
      <c r="AE103" s="99">
        <f t="shared" si="8"/>
        <v>0</v>
      </c>
      <c r="AF103" s="101">
        <v>0</v>
      </c>
      <c r="AG103" s="136">
        <v>0</v>
      </c>
      <c r="AH103" s="99">
        <f t="shared" si="9"/>
        <v>0</v>
      </c>
    </row>
    <row r="104" spans="1:34" ht="12.75" hidden="1">
      <c r="A104" s="89">
        <v>3591</v>
      </c>
      <c r="B104" s="81" t="s">
        <v>49</v>
      </c>
      <c r="C104" s="99">
        <f>+'PE-PARTIDA'!C104</f>
        <v>0</v>
      </c>
      <c r="D104" s="99"/>
      <c r="E104" s="99"/>
      <c r="F104" s="99">
        <f>+'PE-PARTIDA'!Q104</f>
        <v>0</v>
      </c>
      <c r="G104" s="99">
        <f>+'PE-PARTIDA'!AA104</f>
        <v>0</v>
      </c>
      <c r="H104" s="99">
        <v>0</v>
      </c>
      <c r="I104" s="101">
        <v>0</v>
      </c>
      <c r="J104" s="99">
        <v>0</v>
      </c>
      <c r="K104" s="101">
        <v>0</v>
      </c>
      <c r="L104" s="101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9"/>
      <c r="AA104" s="99"/>
      <c r="AB104" s="99"/>
      <c r="AC104" s="99"/>
      <c r="AD104" s="99"/>
      <c r="AE104" s="99">
        <f t="shared" si="8"/>
        <v>0</v>
      </c>
      <c r="AF104" s="101">
        <v>0</v>
      </c>
      <c r="AG104" s="136">
        <v>0</v>
      </c>
      <c r="AH104" s="99">
        <f t="shared" si="9"/>
        <v>0</v>
      </c>
    </row>
    <row r="105" spans="1:34" ht="38.25">
      <c r="A105" s="89">
        <v>3611</v>
      </c>
      <c r="B105" s="81" t="s">
        <v>202</v>
      </c>
      <c r="C105" s="99">
        <f>+'PE-PARTIDA'!C105</f>
        <v>100000</v>
      </c>
      <c r="D105" s="99"/>
      <c r="E105" s="99"/>
      <c r="F105" s="99">
        <f>+'PE-PARTIDA'!Q105</f>
        <v>20000</v>
      </c>
      <c r="G105" s="99">
        <f>+'PE-PARTIDA'!AA105</f>
        <v>0</v>
      </c>
      <c r="H105" s="99">
        <v>0</v>
      </c>
      <c r="I105" s="101">
        <v>0</v>
      </c>
      <c r="J105" s="99">
        <v>100000</v>
      </c>
      <c r="K105" s="101">
        <v>0</v>
      </c>
      <c r="L105" s="101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17000</v>
      </c>
      <c r="AA105" s="99">
        <v>0</v>
      </c>
      <c r="AB105" s="99">
        <v>0</v>
      </c>
      <c r="AC105" s="99">
        <v>0</v>
      </c>
      <c r="AD105" s="99">
        <v>0</v>
      </c>
      <c r="AE105" s="99">
        <f t="shared" si="8"/>
        <v>203000</v>
      </c>
      <c r="AF105" s="101">
        <v>202409.12</v>
      </c>
      <c r="AG105" s="136">
        <f t="shared" si="10"/>
        <v>0.9970892610837438</v>
      </c>
      <c r="AH105" s="99">
        <f t="shared" si="9"/>
        <v>590.8800000000047</v>
      </c>
    </row>
    <row r="106" spans="1:34" ht="38.25" hidden="1">
      <c r="A106" s="89">
        <v>3621</v>
      </c>
      <c r="B106" s="81" t="s">
        <v>89</v>
      </c>
      <c r="C106" s="99">
        <f>+'PE-PARTIDA'!C106</f>
        <v>0</v>
      </c>
      <c r="D106" s="99"/>
      <c r="E106" s="99"/>
      <c r="F106" s="99">
        <f>+'PE-PARTIDA'!Q106</f>
        <v>0</v>
      </c>
      <c r="G106" s="99">
        <f>+'PE-PARTIDA'!AA106</f>
        <v>0</v>
      </c>
      <c r="H106" s="99">
        <v>0</v>
      </c>
      <c r="I106" s="101">
        <v>0</v>
      </c>
      <c r="J106" s="99">
        <v>0</v>
      </c>
      <c r="K106" s="101">
        <v>0</v>
      </c>
      <c r="L106" s="101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99"/>
      <c r="AA106" s="99">
        <v>0</v>
      </c>
      <c r="AB106" s="99">
        <v>0</v>
      </c>
      <c r="AC106" s="99">
        <v>0</v>
      </c>
      <c r="AD106" s="99">
        <v>0</v>
      </c>
      <c r="AE106" s="99">
        <f t="shared" si="8"/>
        <v>0</v>
      </c>
      <c r="AF106" s="101">
        <v>0</v>
      </c>
      <c r="AG106" s="136">
        <v>0</v>
      </c>
      <c r="AH106" s="99">
        <f t="shared" si="9"/>
        <v>0</v>
      </c>
    </row>
    <row r="107" spans="1:34" ht="25.5">
      <c r="A107" s="89">
        <v>3631</v>
      </c>
      <c r="B107" s="81" t="s">
        <v>203</v>
      </c>
      <c r="C107" s="99">
        <f>+'PE-PARTIDA'!C107</f>
        <v>30950</v>
      </c>
      <c r="D107" s="99"/>
      <c r="E107" s="99"/>
      <c r="F107" s="99">
        <f>+'PE-PARTIDA'!Q107</f>
        <v>20000</v>
      </c>
      <c r="G107" s="99">
        <f>+'PE-PARTIDA'!AA107</f>
        <v>0</v>
      </c>
      <c r="H107" s="99">
        <v>0</v>
      </c>
      <c r="I107" s="101">
        <v>4050</v>
      </c>
      <c r="J107" s="99">
        <v>0</v>
      </c>
      <c r="K107" s="101">
        <v>0</v>
      </c>
      <c r="L107" s="101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>
        <v>0</v>
      </c>
      <c r="Y107" s="99">
        <v>0</v>
      </c>
      <c r="Z107" s="99">
        <v>5500</v>
      </c>
      <c r="AA107" s="99">
        <v>0</v>
      </c>
      <c r="AB107" s="99">
        <v>0</v>
      </c>
      <c r="AC107" s="99">
        <v>0</v>
      </c>
      <c r="AD107" s="99">
        <v>0</v>
      </c>
      <c r="AE107" s="99">
        <f t="shared" si="8"/>
        <v>49500</v>
      </c>
      <c r="AF107" s="101">
        <v>0</v>
      </c>
      <c r="AG107" s="136">
        <f t="shared" si="10"/>
        <v>0</v>
      </c>
      <c r="AH107" s="99">
        <f t="shared" si="9"/>
        <v>49500</v>
      </c>
    </row>
    <row r="108" spans="1:34" ht="12.75">
      <c r="A108" s="89">
        <v>3651</v>
      </c>
      <c r="B108" s="81" t="s">
        <v>204</v>
      </c>
      <c r="C108" s="99">
        <f>+'PE-PARTIDA'!C108</f>
        <v>5000</v>
      </c>
      <c r="D108" s="99"/>
      <c r="E108" s="99"/>
      <c r="F108" s="99">
        <f>+'PE-PARTIDA'!Q108</f>
        <v>0</v>
      </c>
      <c r="G108" s="99">
        <f>+'PE-PARTIDA'!AA108</f>
        <v>0</v>
      </c>
      <c r="H108" s="99">
        <v>0</v>
      </c>
      <c r="I108" s="101">
        <v>10000</v>
      </c>
      <c r="J108" s="99">
        <v>0</v>
      </c>
      <c r="K108" s="101">
        <v>0</v>
      </c>
      <c r="L108" s="101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6500</v>
      </c>
      <c r="X108" s="99">
        <v>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0</v>
      </c>
      <c r="AE108" s="99">
        <f t="shared" si="8"/>
        <v>21500</v>
      </c>
      <c r="AF108" s="101">
        <v>6148</v>
      </c>
      <c r="AG108" s="136">
        <f t="shared" si="10"/>
        <v>0.285953488372093</v>
      </c>
      <c r="AH108" s="99">
        <f t="shared" si="9"/>
        <v>15352</v>
      </c>
    </row>
    <row r="109" spans="1:34" ht="25.5" hidden="1">
      <c r="A109" s="89">
        <v>3661</v>
      </c>
      <c r="B109" s="81" t="s">
        <v>205</v>
      </c>
      <c r="C109" s="99">
        <f>+'PE-PARTIDA'!C109</f>
        <v>0</v>
      </c>
      <c r="D109" s="99"/>
      <c r="E109" s="99"/>
      <c r="F109" s="99">
        <f>+'PE-PARTIDA'!Q109</f>
        <v>0</v>
      </c>
      <c r="G109" s="99">
        <f>+'PE-PARTIDA'!AA109</f>
        <v>0</v>
      </c>
      <c r="H109" s="99">
        <v>0</v>
      </c>
      <c r="I109" s="101">
        <v>0</v>
      </c>
      <c r="J109" s="99">
        <v>0</v>
      </c>
      <c r="K109" s="101">
        <v>0</v>
      </c>
      <c r="L109" s="101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/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99">
        <f t="shared" si="8"/>
        <v>0</v>
      </c>
      <c r="AF109" s="101">
        <v>0</v>
      </c>
      <c r="AG109" s="136">
        <v>0</v>
      </c>
      <c r="AH109" s="99">
        <f t="shared" si="9"/>
        <v>0</v>
      </c>
    </row>
    <row r="110" spans="1:34" ht="12.75">
      <c r="A110" s="89">
        <v>3711</v>
      </c>
      <c r="B110" s="81" t="s">
        <v>206</v>
      </c>
      <c r="C110" s="99">
        <f>+'PE-PARTIDA'!C110</f>
        <v>20000</v>
      </c>
      <c r="D110" s="99"/>
      <c r="E110" s="99"/>
      <c r="F110" s="99">
        <f>+'PE-PARTIDA'!Q110</f>
        <v>60000</v>
      </c>
      <c r="G110" s="99">
        <f>+'PE-PARTIDA'!AA110</f>
        <v>0</v>
      </c>
      <c r="H110" s="99">
        <v>0</v>
      </c>
      <c r="I110" s="101">
        <v>25000</v>
      </c>
      <c r="J110" s="99">
        <v>15000</v>
      </c>
      <c r="K110" s="101">
        <v>0</v>
      </c>
      <c r="L110" s="101">
        <v>0</v>
      </c>
      <c r="M110" s="99">
        <v>0</v>
      </c>
      <c r="N110" s="99">
        <v>0</v>
      </c>
      <c r="O110" s="99">
        <v>-20000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>
        <v>0</v>
      </c>
      <c r="AB110" s="99">
        <v>0</v>
      </c>
      <c r="AC110" s="99">
        <v>0</v>
      </c>
      <c r="AD110" s="99">
        <v>0</v>
      </c>
      <c r="AE110" s="99">
        <f t="shared" si="8"/>
        <v>100000</v>
      </c>
      <c r="AF110" s="101">
        <v>83877.63</v>
      </c>
      <c r="AG110" s="136">
        <f t="shared" si="10"/>
        <v>0.8387763</v>
      </c>
      <c r="AH110" s="99">
        <f t="shared" si="9"/>
        <v>16122.369999999995</v>
      </c>
    </row>
    <row r="111" spans="1:34" ht="12.75">
      <c r="A111" s="89">
        <v>3721</v>
      </c>
      <c r="B111" s="81" t="s">
        <v>207</v>
      </c>
      <c r="C111" s="99">
        <f>+'PE-PARTIDA'!C111</f>
        <v>0</v>
      </c>
      <c r="D111" s="99"/>
      <c r="E111" s="99"/>
      <c r="F111" s="99">
        <f>+'PE-PARTIDA'!Q111</f>
        <v>30000</v>
      </c>
      <c r="G111" s="99">
        <f>+'PE-PARTIDA'!AA111</f>
        <v>0</v>
      </c>
      <c r="H111" s="99">
        <v>0</v>
      </c>
      <c r="I111" s="101">
        <v>5000</v>
      </c>
      <c r="J111" s="99">
        <v>15000</v>
      </c>
      <c r="K111" s="101">
        <v>0</v>
      </c>
      <c r="L111" s="101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99">
        <v>5000</v>
      </c>
      <c r="AA111" s="99">
        <v>0</v>
      </c>
      <c r="AB111" s="99">
        <v>0</v>
      </c>
      <c r="AC111" s="99">
        <v>0</v>
      </c>
      <c r="AD111" s="99">
        <v>0</v>
      </c>
      <c r="AE111" s="99">
        <f t="shared" si="8"/>
        <v>45000</v>
      </c>
      <c r="AF111" s="101">
        <v>25285</v>
      </c>
      <c r="AG111" s="136">
        <f t="shared" si="10"/>
        <v>0.5618888888888889</v>
      </c>
      <c r="AH111" s="99">
        <f t="shared" si="9"/>
        <v>19715</v>
      </c>
    </row>
    <row r="112" spans="1:34" ht="12.75">
      <c r="A112" s="89">
        <v>3751</v>
      </c>
      <c r="B112" s="81" t="s">
        <v>50</v>
      </c>
      <c r="C112" s="99">
        <f>+'PE-PARTIDA'!C112</f>
        <v>41000</v>
      </c>
      <c r="D112" s="99"/>
      <c r="E112" s="99"/>
      <c r="F112" s="99">
        <f>+'PE-PARTIDA'!Q112</f>
        <v>191234</v>
      </c>
      <c r="G112" s="99">
        <f>+'PE-PARTIDA'!AA112</f>
        <v>0</v>
      </c>
      <c r="H112" s="99">
        <v>0</v>
      </c>
      <c r="I112" s="101">
        <v>50000</v>
      </c>
      <c r="J112" s="99">
        <v>90000</v>
      </c>
      <c r="K112" s="101">
        <v>0</v>
      </c>
      <c r="L112" s="101">
        <v>0</v>
      </c>
      <c r="M112" s="99">
        <v>0</v>
      </c>
      <c r="N112" s="99">
        <v>0</v>
      </c>
      <c r="O112" s="99">
        <v>-52756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2800</v>
      </c>
      <c r="AB112" s="99">
        <v>0</v>
      </c>
      <c r="AC112" s="99">
        <v>0</v>
      </c>
      <c r="AD112" s="99">
        <v>5040.97</v>
      </c>
      <c r="AE112" s="99">
        <f t="shared" si="8"/>
        <v>327318.97</v>
      </c>
      <c r="AF112" s="101">
        <v>324563.78</v>
      </c>
      <c r="AG112" s="136">
        <f t="shared" si="10"/>
        <v>0.991582553250733</v>
      </c>
      <c r="AH112" s="99">
        <f t="shared" si="9"/>
        <v>2755.189999999944</v>
      </c>
    </row>
    <row r="113" spans="1:34" ht="12.75" hidden="1">
      <c r="A113" s="89">
        <v>3761</v>
      </c>
      <c r="B113" s="81" t="s">
        <v>208</v>
      </c>
      <c r="C113" s="99">
        <f>+'PE-PARTIDA'!C113</f>
        <v>0</v>
      </c>
      <c r="D113" s="99"/>
      <c r="E113" s="99"/>
      <c r="F113" s="99">
        <f>+'PE-PARTIDA'!Q113</f>
        <v>0</v>
      </c>
      <c r="G113" s="99">
        <f>+'PE-PARTIDA'!AA113</f>
        <v>0</v>
      </c>
      <c r="H113" s="99">
        <v>0</v>
      </c>
      <c r="I113" s="101">
        <v>0</v>
      </c>
      <c r="J113" s="99">
        <v>0</v>
      </c>
      <c r="K113" s="101">
        <v>0</v>
      </c>
      <c r="L113" s="101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/>
      <c r="X113" s="99">
        <v>0</v>
      </c>
      <c r="Y113" s="99">
        <v>0</v>
      </c>
      <c r="Z113" s="99"/>
      <c r="AA113" s="99"/>
      <c r="AB113" s="99"/>
      <c r="AC113" s="99"/>
      <c r="AD113" s="99"/>
      <c r="AE113" s="99">
        <f t="shared" si="8"/>
        <v>0</v>
      </c>
      <c r="AF113" s="101">
        <v>0</v>
      </c>
      <c r="AG113" s="136">
        <v>0</v>
      </c>
      <c r="AH113" s="99">
        <f t="shared" si="9"/>
        <v>0</v>
      </c>
    </row>
    <row r="114" spans="1:34" ht="12.75">
      <c r="A114" s="89">
        <v>3791</v>
      </c>
      <c r="B114" s="81" t="s">
        <v>90</v>
      </c>
      <c r="C114" s="99">
        <f>+'PE-PARTIDA'!C114</f>
        <v>0</v>
      </c>
      <c r="D114" s="99"/>
      <c r="E114" s="99"/>
      <c r="F114" s="99">
        <f>+'PE-PARTIDA'!Q114</f>
        <v>10000</v>
      </c>
      <c r="G114" s="99">
        <f>+'PE-PARTIDA'!AA114</f>
        <v>0</v>
      </c>
      <c r="H114" s="99">
        <v>0</v>
      </c>
      <c r="I114" s="101">
        <v>5000</v>
      </c>
      <c r="J114" s="99">
        <v>0</v>
      </c>
      <c r="K114" s="101">
        <v>0</v>
      </c>
      <c r="L114" s="101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99">
        <v>0</v>
      </c>
      <c r="X114" s="99">
        <v>0</v>
      </c>
      <c r="Y114" s="99">
        <v>0</v>
      </c>
      <c r="Z114" s="99">
        <v>0</v>
      </c>
      <c r="AA114" s="99">
        <v>0</v>
      </c>
      <c r="AB114" s="99">
        <v>0</v>
      </c>
      <c r="AC114" s="99">
        <v>0</v>
      </c>
      <c r="AD114" s="99">
        <v>0</v>
      </c>
      <c r="AE114" s="99">
        <f t="shared" si="8"/>
        <v>15000</v>
      </c>
      <c r="AF114" s="101">
        <v>5556.77</v>
      </c>
      <c r="AG114" s="136">
        <f t="shared" si="10"/>
        <v>0.37045133333333335</v>
      </c>
      <c r="AH114" s="99">
        <f t="shared" si="9"/>
        <v>9443.23</v>
      </c>
    </row>
    <row r="115" spans="1:34" ht="12.75" hidden="1">
      <c r="A115" s="89">
        <v>3811</v>
      </c>
      <c r="B115" s="81" t="s">
        <v>209</v>
      </c>
      <c r="C115" s="99">
        <f>+'PE-PARTIDA'!C115</f>
        <v>0</v>
      </c>
      <c r="D115" s="99"/>
      <c r="E115" s="99"/>
      <c r="F115" s="99">
        <f>+'PE-PARTIDA'!Q115</f>
        <v>0</v>
      </c>
      <c r="G115" s="99">
        <f>+'PE-PARTIDA'!AA115</f>
        <v>0</v>
      </c>
      <c r="H115" s="99">
        <v>0</v>
      </c>
      <c r="I115" s="101">
        <v>0</v>
      </c>
      <c r="J115" s="99">
        <v>0</v>
      </c>
      <c r="K115" s="101">
        <v>0</v>
      </c>
      <c r="L115" s="101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99">
        <v>0</v>
      </c>
      <c r="W115" s="99"/>
      <c r="X115" s="99">
        <v>0</v>
      </c>
      <c r="Y115" s="99">
        <v>0</v>
      </c>
      <c r="Z115" s="99"/>
      <c r="AA115" s="99"/>
      <c r="AB115" s="99"/>
      <c r="AC115" s="99"/>
      <c r="AD115" s="99"/>
      <c r="AE115" s="99">
        <f t="shared" si="8"/>
        <v>0</v>
      </c>
      <c r="AF115" s="101">
        <v>0</v>
      </c>
      <c r="AG115" s="136">
        <v>0</v>
      </c>
      <c r="AH115" s="99">
        <f t="shared" si="9"/>
        <v>0</v>
      </c>
    </row>
    <row r="116" spans="1:34" ht="12.75">
      <c r="A116" s="89">
        <v>3821</v>
      </c>
      <c r="B116" s="81" t="s">
        <v>210</v>
      </c>
      <c r="C116" s="99">
        <f>+'PE-PARTIDA'!C116</f>
        <v>30000</v>
      </c>
      <c r="D116" s="99"/>
      <c r="E116" s="99"/>
      <c r="F116" s="99">
        <f>+'PE-PARTIDA'!Q116</f>
        <v>81490</v>
      </c>
      <c r="G116" s="99">
        <f>+'PE-PARTIDA'!AA116</f>
        <v>0</v>
      </c>
      <c r="H116" s="99">
        <v>0</v>
      </c>
      <c r="I116" s="101">
        <v>0</v>
      </c>
      <c r="J116" s="99">
        <v>8510</v>
      </c>
      <c r="K116" s="101">
        <v>0</v>
      </c>
      <c r="L116" s="101">
        <v>0</v>
      </c>
      <c r="M116" s="99">
        <v>0</v>
      </c>
      <c r="N116" s="99">
        <v>0</v>
      </c>
      <c r="O116" s="99">
        <v>-30000</v>
      </c>
      <c r="P116" s="99">
        <v>0</v>
      </c>
      <c r="Q116" s="99">
        <v>0</v>
      </c>
      <c r="R116" s="99">
        <v>0</v>
      </c>
      <c r="S116" s="99">
        <v>0</v>
      </c>
      <c r="T116" s="99">
        <v>0</v>
      </c>
      <c r="U116" s="99">
        <v>0</v>
      </c>
      <c r="V116" s="99">
        <v>0</v>
      </c>
      <c r="W116" s="99">
        <v>20000</v>
      </c>
      <c r="X116" s="99">
        <v>0</v>
      </c>
      <c r="Y116" s="99">
        <v>0</v>
      </c>
      <c r="Z116" s="99">
        <v>0</v>
      </c>
      <c r="AA116" s="99">
        <f>200+3500</f>
        <v>3700</v>
      </c>
      <c r="AB116" s="99">
        <v>0</v>
      </c>
      <c r="AC116" s="99">
        <v>0</v>
      </c>
      <c r="AD116" s="99">
        <v>0</v>
      </c>
      <c r="AE116" s="99">
        <f t="shared" si="8"/>
        <v>113700</v>
      </c>
      <c r="AF116" s="101">
        <v>113503.23</v>
      </c>
      <c r="AG116" s="136">
        <f t="shared" si="10"/>
        <v>0.9982693931398416</v>
      </c>
      <c r="AH116" s="99">
        <f t="shared" si="9"/>
        <v>196.77000000000407</v>
      </c>
    </row>
    <row r="117" spans="1:34" ht="12.75">
      <c r="A117" s="89">
        <v>3822</v>
      </c>
      <c r="B117" s="81" t="s">
        <v>91</v>
      </c>
      <c r="C117" s="99">
        <f>+'PE-PARTIDA'!C117</f>
        <v>10000</v>
      </c>
      <c r="D117" s="99"/>
      <c r="E117" s="99"/>
      <c r="F117" s="99">
        <f>+'PE-PARTIDA'!Q117</f>
        <v>60000</v>
      </c>
      <c r="G117" s="99">
        <f>+'PE-PARTIDA'!AA117</f>
        <v>0</v>
      </c>
      <c r="H117" s="99">
        <v>0</v>
      </c>
      <c r="I117" s="101">
        <v>0</v>
      </c>
      <c r="J117" s="99">
        <v>30000</v>
      </c>
      <c r="K117" s="101">
        <v>0</v>
      </c>
      <c r="L117" s="101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60000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99">
        <v>0</v>
      </c>
      <c r="AD117" s="99">
        <v>0</v>
      </c>
      <c r="AE117" s="99">
        <f t="shared" si="8"/>
        <v>160000</v>
      </c>
      <c r="AF117" s="101">
        <v>159807.25999999998</v>
      </c>
      <c r="AG117" s="136">
        <f t="shared" si="10"/>
        <v>0.9987953749999999</v>
      </c>
      <c r="AH117" s="99">
        <f t="shared" si="9"/>
        <v>192.7400000000198</v>
      </c>
    </row>
    <row r="118" spans="1:34" ht="12.75">
      <c r="A118" s="89">
        <v>3831</v>
      </c>
      <c r="B118" s="81" t="s">
        <v>211</v>
      </c>
      <c r="C118" s="99">
        <f>+'PE-PARTIDA'!C118</f>
        <v>0</v>
      </c>
      <c r="D118" s="99"/>
      <c r="E118" s="99"/>
      <c r="F118" s="99">
        <f>+'PE-PARTIDA'!Q118</f>
        <v>70000</v>
      </c>
      <c r="G118" s="99">
        <f>+'PE-PARTIDA'!AA118</f>
        <v>0</v>
      </c>
      <c r="H118" s="99">
        <v>0</v>
      </c>
      <c r="I118" s="101">
        <v>0</v>
      </c>
      <c r="J118" s="99">
        <v>70000</v>
      </c>
      <c r="K118" s="101">
        <v>0</v>
      </c>
      <c r="L118" s="101">
        <v>0</v>
      </c>
      <c r="M118" s="99">
        <v>0</v>
      </c>
      <c r="N118" s="99">
        <v>0</v>
      </c>
      <c r="O118" s="99">
        <v>-20000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25000</v>
      </c>
      <c r="X118" s="99">
        <v>0</v>
      </c>
      <c r="Y118" s="99">
        <v>0</v>
      </c>
      <c r="Z118" s="99">
        <v>0</v>
      </c>
      <c r="AA118" s="99">
        <v>2000</v>
      </c>
      <c r="AB118" s="99">
        <v>0</v>
      </c>
      <c r="AC118" s="99">
        <v>0</v>
      </c>
      <c r="AD118" s="99">
        <v>25600</v>
      </c>
      <c r="AE118" s="99">
        <f t="shared" si="8"/>
        <v>172600</v>
      </c>
      <c r="AF118" s="101">
        <v>124235.31</v>
      </c>
      <c r="AG118" s="136">
        <f t="shared" si="10"/>
        <v>0.7197874275782156</v>
      </c>
      <c r="AH118" s="99">
        <f t="shared" si="9"/>
        <v>48364.69</v>
      </c>
    </row>
    <row r="119" spans="1:34" ht="12.75">
      <c r="A119" s="89">
        <v>3841</v>
      </c>
      <c r="B119" s="81" t="s">
        <v>212</v>
      </c>
      <c r="C119" s="99">
        <f>+'PE-PARTIDA'!C119</f>
        <v>0</v>
      </c>
      <c r="D119" s="99"/>
      <c r="E119" s="99"/>
      <c r="F119" s="99">
        <f>+'PE-PARTIDA'!Q119</f>
        <v>60000</v>
      </c>
      <c r="G119" s="99">
        <f>+'PE-PARTIDA'!AA119</f>
        <v>0</v>
      </c>
      <c r="H119" s="99">
        <v>0</v>
      </c>
      <c r="I119" s="101">
        <v>0</v>
      </c>
      <c r="J119" s="99">
        <v>20000</v>
      </c>
      <c r="K119" s="101">
        <v>0</v>
      </c>
      <c r="L119" s="101">
        <v>0</v>
      </c>
      <c r="M119" s="99">
        <v>0</v>
      </c>
      <c r="N119" s="99">
        <v>0</v>
      </c>
      <c r="O119" s="99">
        <v>-10000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25529.03</v>
      </c>
      <c r="X119" s="99">
        <v>0</v>
      </c>
      <c r="Y119" s="99">
        <v>0</v>
      </c>
      <c r="Z119" s="99">
        <v>0</v>
      </c>
      <c r="AA119" s="99">
        <v>0</v>
      </c>
      <c r="AB119" s="99">
        <v>0</v>
      </c>
      <c r="AC119" s="99">
        <v>0</v>
      </c>
      <c r="AD119" s="99">
        <v>22500</v>
      </c>
      <c r="AE119" s="99">
        <f t="shared" si="8"/>
        <v>118029.03</v>
      </c>
      <c r="AF119" s="101">
        <v>85895.90000000001</v>
      </c>
      <c r="AG119" s="136">
        <f t="shared" si="10"/>
        <v>0.7277523165275527</v>
      </c>
      <c r="AH119" s="99">
        <f t="shared" si="9"/>
        <v>32133.12999999999</v>
      </c>
    </row>
    <row r="120" spans="1:34" ht="12.75">
      <c r="A120" s="89">
        <v>3921</v>
      </c>
      <c r="B120" s="81" t="s">
        <v>92</v>
      </c>
      <c r="C120" s="99">
        <f>+'PE-PARTIDA'!C120</f>
        <v>0</v>
      </c>
      <c r="D120" s="99"/>
      <c r="E120" s="99"/>
      <c r="F120" s="99">
        <f>+'PE-PARTIDA'!Q120</f>
        <v>20000</v>
      </c>
      <c r="G120" s="99">
        <f>+'PE-PARTIDA'!AA120</f>
        <v>0</v>
      </c>
      <c r="H120" s="99">
        <v>0</v>
      </c>
      <c r="I120" s="101">
        <v>0</v>
      </c>
      <c r="J120" s="99">
        <v>0</v>
      </c>
      <c r="K120" s="101">
        <v>0</v>
      </c>
      <c r="L120" s="101">
        <v>0</v>
      </c>
      <c r="M120" s="99">
        <v>0</v>
      </c>
      <c r="N120" s="99">
        <v>0</v>
      </c>
      <c r="O120" s="99">
        <v>-10000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99">
        <v>0</v>
      </c>
      <c r="W120" s="99">
        <v>35000</v>
      </c>
      <c r="X120" s="99">
        <v>0</v>
      </c>
      <c r="Y120" s="99">
        <v>0</v>
      </c>
      <c r="Z120" s="99">
        <v>0</v>
      </c>
      <c r="AA120" s="99">
        <v>0</v>
      </c>
      <c r="AB120" s="99">
        <v>0</v>
      </c>
      <c r="AC120" s="99">
        <v>0</v>
      </c>
      <c r="AD120" s="99">
        <v>0</v>
      </c>
      <c r="AE120" s="99">
        <f t="shared" si="8"/>
        <v>45000</v>
      </c>
      <c r="AF120" s="101">
        <v>42287</v>
      </c>
      <c r="AG120" s="136">
        <f t="shared" si="10"/>
        <v>0.9397111111111112</v>
      </c>
      <c r="AH120" s="99">
        <f t="shared" si="9"/>
        <v>2713</v>
      </c>
    </row>
    <row r="121" spans="1:34" ht="12.75" hidden="1">
      <c r="A121" s="90"/>
      <c r="B121" s="91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99">
        <f>+C121+F121+G121+N121+P121-O121-M121+Q121+R121+S121+T121</f>
        <v>0</v>
      </c>
      <c r="AF121" s="100"/>
      <c r="AG121" s="135"/>
      <c r="AH121" s="99">
        <f t="shared" si="9"/>
        <v>0</v>
      </c>
    </row>
    <row r="122" spans="1:34" ht="12.75" hidden="1">
      <c r="A122" s="90"/>
      <c r="B122" s="91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99">
        <f>+C122+F122+G122+N122+P122-O122-M122+Q122+R122+S122+T122</f>
        <v>0</v>
      </c>
      <c r="AF122" s="100"/>
      <c r="AG122" s="135"/>
      <c r="AH122" s="99">
        <f t="shared" si="9"/>
        <v>0</v>
      </c>
    </row>
    <row r="123" spans="1:34" ht="12.75" hidden="1">
      <c r="A123" s="90"/>
      <c r="B123" s="91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99">
        <f>+C123+F123+G123+N123+P123-O123-M123+Q123+R123+S123+T123</f>
        <v>0</v>
      </c>
      <c r="AF123" s="100"/>
      <c r="AG123" s="135"/>
      <c r="AH123" s="99">
        <f t="shared" si="9"/>
        <v>0</v>
      </c>
    </row>
    <row r="124" spans="1:34" ht="13.5" thickBot="1">
      <c r="A124" s="82"/>
      <c r="B124" s="83" t="s">
        <v>51</v>
      </c>
      <c r="C124" s="98">
        <f>SUM(C74:C123)</f>
        <v>683440</v>
      </c>
      <c r="D124" s="98">
        <f aca="true" t="shared" si="11" ref="D124:AH124">SUM(D74:D123)</f>
        <v>0</v>
      </c>
      <c r="E124" s="98">
        <f t="shared" si="11"/>
        <v>0</v>
      </c>
      <c r="F124" s="98">
        <f t="shared" si="11"/>
        <v>1610807</v>
      </c>
      <c r="G124" s="98">
        <f t="shared" si="11"/>
        <v>50000</v>
      </c>
      <c r="H124" s="98">
        <f t="shared" si="11"/>
        <v>0</v>
      </c>
      <c r="I124" s="98">
        <f t="shared" si="11"/>
        <v>147317.06</v>
      </c>
      <c r="J124" s="98">
        <f t="shared" si="11"/>
        <v>1522242.94</v>
      </c>
      <c r="K124" s="98">
        <f t="shared" si="11"/>
        <v>0</v>
      </c>
      <c r="L124" s="98">
        <f t="shared" si="11"/>
        <v>0</v>
      </c>
      <c r="M124" s="98">
        <f t="shared" si="11"/>
        <v>0</v>
      </c>
      <c r="N124" s="98">
        <f t="shared" si="11"/>
        <v>0</v>
      </c>
      <c r="O124" s="98">
        <f t="shared" si="11"/>
        <v>-397756</v>
      </c>
      <c r="P124" s="98">
        <f t="shared" si="11"/>
        <v>0</v>
      </c>
      <c r="Q124" s="98">
        <f t="shared" si="11"/>
        <v>0</v>
      </c>
      <c r="R124" s="98">
        <f t="shared" si="11"/>
        <v>0</v>
      </c>
      <c r="S124" s="98">
        <f t="shared" si="11"/>
        <v>500000</v>
      </c>
      <c r="T124" s="98">
        <f t="shared" si="11"/>
        <v>0</v>
      </c>
      <c r="U124" s="98">
        <f t="shared" si="11"/>
        <v>0</v>
      </c>
      <c r="V124" s="98">
        <f t="shared" si="11"/>
        <v>0</v>
      </c>
      <c r="W124" s="98">
        <f t="shared" si="11"/>
        <v>215029.03</v>
      </c>
      <c r="X124" s="98">
        <f t="shared" si="11"/>
        <v>0</v>
      </c>
      <c r="Y124" s="98">
        <f t="shared" si="11"/>
        <v>30000</v>
      </c>
      <c r="Z124" s="98">
        <f t="shared" si="11"/>
        <v>30500</v>
      </c>
      <c r="AA124" s="98">
        <f t="shared" si="11"/>
        <v>30500</v>
      </c>
      <c r="AB124" s="98">
        <f t="shared" si="11"/>
        <v>0</v>
      </c>
      <c r="AC124" s="98">
        <f t="shared" si="11"/>
        <v>0</v>
      </c>
      <c r="AD124" s="98">
        <f t="shared" si="11"/>
        <v>53140.97</v>
      </c>
      <c r="AE124" s="98">
        <f t="shared" si="11"/>
        <v>4414221</v>
      </c>
      <c r="AF124" s="98">
        <f t="shared" si="11"/>
        <v>3981205.3099999996</v>
      </c>
      <c r="AG124" s="134">
        <f>AF124/AE124</f>
        <v>0.9019043926436849</v>
      </c>
      <c r="AH124" s="98">
        <f t="shared" si="11"/>
        <v>433015.6899999999</v>
      </c>
    </row>
    <row r="125" spans="1:34" ht="16.5" customHeight="1">
      <c r="A125" s="181" t="s">
        <v>213</v>
      </c>
      <c r="B125" s="181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35"/>
      <c r="AH125" s="100"/>
    </row>
    <row r="126" spans="1:34" ht="12.75">
      <c r="A126" s="80">
        <v>4246</v>
      </c>
      <c r="B126" s="81" t="s">
        <v>214</v>
      </c>
      <c r="C126" s="99">
        <f>+'PE-PARTIDA'!C126</f>
        <v>0</v>
      </c>
      <c r="D126" s="99"/>
      <c r="E126" s="99"/>
      <c r="F126" s="99">
        <f>+'PE-PARTIDA'!Q126</f>
        <v>0</v>
      </c>
      <c r="G126" s="99">
        <f>+'PE-PARTIDA'!AA126</f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10000</v>
      </c>
      <c r="O126" s="99">
        <f>+'PE-PARTIDA'!R126</f>
        <v>0</v>
      </c>
      <c r="P126" s="99">
        <f>+'PE-PARTIDA'!S126+'PE-PARTIDA'!V126+'PE-PARTIDA'!AD126</f>
        <v>0</v>
      </c>
      <c r="Q126" s="99">
        <f>+'PE-PARTIDA'!E126+'PE-PARTIDA'!M126</f>
        <v>241027.93</v>
      </c>
      <c r="R126" s="99">
        <f>+'PE-PARTIDA'!AH126+'PE-PARTIDA'!AM126</f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>
        <v>0</v>
      </c>
      <c r="AC126" s="99">
        <v>0</v>
      </c>
      <c r="AD126" s="99">
        <v>0</v>
      </c>
      <c r="AE126" s="99">
        <f>+C126+F126+G126+H126+I126+J126+K126+L126-M126+N126+O126+P126+Q126+R126+S126+T126-U126+V126+W126+X126+Y126-Z126+AA126+AB126+AC126+AD126</f>
        <v>251027.93</v>
      </c>
      <c r="AF126" s="99">
        <v>251027.79</v>
      </c>
      <c r="AG126" s="133">
        <f>AF126/AE126</f>
        <v>0.9999994422931345</v>
      </c>
      <c r="AH126" s="99">
        <f>+AE126-AF126</f>
        <v>0.139999999984866</v>
      </c>
    </row>
    <row r="127" spans="1:34" ht="12.75">
      <c r="A127" s="80">
        <v>4419</v>
      </c>
      <c r="B127" s="81" t="s">
        <v>215</v>
      </c>
      <c r="C127" s="99">
        <f>+'PE-PARTIDA'!C127</f>
        <v>15000</v>
      </c>
      <c r="D127" s="99"/>
      <c r="E127" s="99"/>
      <c r="F127" s="99">
        <f>+'PE-PARTIDA'!Q127</f>
        <v>0</v>
      </c>
      <c r="G127" s="99">
        <f>+'PE-PARTIDA'!AA127</f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f>+'PE-PARTIDA'!R127</f>
        <v>0</v>
      </c>
      <c r="P127" s="99">
        <f>+'PE-PARTIDA'!S127+'PE-PARTIDA'!V127+'PE-PARTIDA'!AD127</f>
        <v>0</v>
      </c>
      <c r="Q127" s="99">
        <f>+'PE-PARTIDA'!E127+'PE-PARTIDA'!M127</f>
        <v>0</v>
      </c>
      <c r="R127" s="99">
        <f>+'PE-PARTIDA'!AH127+'PE-PARTIDA'!AM127</f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f>+C127+F127+G127+H127+I127+J127+K127+L127-M127+N127+O127+P127+Q127+R127+S127+T127-U127+V127+W127+X127+Y127-Z127+AA127+AB127+AC127+AD127</f>
        <v>15000</v>
      </c>
      <c r="AF127" s="99">
        <v>0</v>
      </c>
      <c r="AG127" s="133">
        <f>AF127/AE127</f>
        <v>0</v>
      </c>
      <c r="AH127" s="99">
        <f>+AE127-AF127</f>
        <v>15000</v>
      </c>
    </row>
    <row r="128" spans="1:34" ht="12.75">
      <c r="A128" s="80">
        <v>4422</v>
      </c>
      <c r="B128" s="81" t="s">
        <v>216</v>
      </c>
      <c r="C128" s="99">
        <f>+'PE-PARTIDA'!C128</f>
        <v>50000</v>
      </c>
      <c r="D128" s="99"/>
      <c r="E128" s="99"/>
      <c r="F128" s="99">
        <f>+'PE-PARTIDA'!Q128</f>
        <v>0</v>
      </c>
      <c r="G128" s="99">
        <f>+'PE-PARTIDA'!AA128</f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f>+'PE-PARTIDA'!R128</f>
        <v>0</v>
      </c>
      <c r="P128" s="99">
        <f>+'PE-PARTIDA'!S128+'PE-PARTIDA'!V128+'PE-PARTIDA'!AD128</f>
        <v>0</v>
      </c>
      <c r="Q128" s="99">
        <f>+'PE-PARTIDA'!E128+'PE-PARTIDA'!M128</f>
        <v>0</v>
      </c>
      <c r="R128" s="99">
        <f>+'PE-PARTIDA'!AH128+'PE-PARTIDA'!AM128</f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>
        <v>0</v>
      </c>
      <c r="AC128" s="99">
        <v>0</v>
      </c>
      <c r="AD128" s="99">
        <v>0</v>
      </c>
      <c r="AE128" s="99">
        <f>+C128+F128+G128+H128+I128+J128+K128+L128-M128+N128+O128+P128+Q128+R128+S128+T128-U128+V128+W128+X128+Y128-Z128+AA128+AB128+AC128+AD128</f>
        <v>50000</v>
      </c>
      <c r="AF128" s="99">
        <v>34185.75</v>
      </c>
      <c r="AG128" s="133">
        <f>AF128/AE128</f>
        <v>0.683715</v>
      </c>
      <c r="AH128" s="99">
        <f>+AE128-AF128</f>
        <v>15814.25</v>
      </c>
    </row>
    <row r="129" spans="1:34" ht="12.75">
      <c r="A129" s="80">
        <v>4451</v>
      </c>
      <c r="B129" s="81" t="s">
        <v>217</v>
      </c>
      <c r="C129" s="99">
        <f>+'PE-PARTIDA'!C129</f>
        <v>36000</v>
      </c>
      <c r="D129" s="99"/>
      <c r="E129" s="99"/>
      <c r="F129" s="99">
        <f>+'PE-PARTIDA'!Q129</f>
        <v>0</v>
      </c>
      <c r="G129" s="99">
        <f>+'PE-PARTIDA'!AA129</f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f>+'PE-PARTIDA'!R129</f>
        <v>0</v>
      </c>
      <c r="P129" s="99">
        <f>+'PE-PARTIDA'!S129+'PE-PARTIDA'!V129+'PE-PARTIDA'!AD129</f>
        <v>0</v>
      </c>
      <c r="Q129" s="99">
        <f>+'PE-PARTIDA'!E129+'PE-PARTIDA'!M129</f>
        <v>0</v>
      </c>
      <c r="R129" s="99">
        <f>+'PE-PARTIDA'!AH129+'PE-PARTIDA'!AM129</f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>
        <v>0</v>
      </c>
      <c r="AC129" s="99">
        <v>0</v>
      </c>
      <c r="AD129" s="99">
        <v>0</v>
      </c>
      <c r="AE129" s="99">
        <f>+C129+F129+G129+H129+I129+J129+K129+L129-M129+N129+O129+P129+Q129+R129+S129+T129-U129+V129+W129+X129+Y129-Z129+AA129+AB129+AC129+AD129</f>
        <v>36000</v>
      </c>
      <c r="AF129" s="99">
        <v>30000</v>
      </c>
      <c r="AG129" s="133">
        <f>AF129/AE129</f>
        <v>0.8333333333333334</v>
      </c>
      <c r="AH129" s="99">
        <f>+AE129-AF129</f>
        <v>6000</v>
      </c>
    </row>
    <row r="130" spans="1:34" ht="26.25" thickBot="1">
      <c r="A130" s="82"/>
      <c r="B130" s="92" t="s">
        <v>52</v>
      </c>
      <c r="C130" s="98">
        <f>SUM(C126:C129)</f>
        <v>101000</v>
      </c>
      <c r="D130" s="98">
        <f aca="true" t="shared" si="12" ref="D130:AH130">SUM(D126:D129)</f>
        <v>0</v>
      </c>
      <c r="E130" s="98">
        <f t="shared" si="12"/>
        <v>0</v>
      </c>
      <c r="F130" s="98">
        <f t="shared" si="12"/>
        <v>0</v>
      </c>
      <c r="G130" s="98">
        <f t="shared" si="12"/>
        <v>0</v>
      </c>
      <c r="H130" s="98">
        <f t="shared" si="12"/>
        <v>0</v>
      </c>
      <c r="I130" s="98">
        <f t="shared" si="12"/>
        <v>0</v>
      </c>
      <c r="J130" s="98">
        <f t="shared" si="12"/>
        <v>0</v>
      </c>
      <c r="K130" s="98">
        <f t="shared" si="12"/>
        <v>0</v>
      </c>
      <c r="L130" s="98">
        <f t="shared" si="12"/>
        <v>0</v>
      </c>
      <c r="M130" s="98">
        <f t="shared" si="12"/>
        <v>0</v>
      </c>
      <c r="N130" s="98">
        <f t="shared" si="12"/>
        <v>10000</v>
      </c>
      <c r="O130" s="98">
        <f t="shared" si="12"/>
        <v>0</v>
      </c>
      <c r="P130" s="98">
        <f t="shared" si="12"/>
        <v>0</v>
      </c>
      <c r="Q130" s="98">
        <f t="shared" si="12"/>
        <v>241027.93</v>
      </c>
      <c r="R130" s="98">
        <f t="shared" si="12"/>
        <v>0</v>
      </c>
      <c r="S130" s="98">
        <f t="shared" si="12"/>
        <v>0</v>
      </c>
      <c r="T130" s="98">
        <f t="shared" si="12"/>
        <v>0</v>
      </c>
      <c r="U130" s="98">
        <f t="shared" si="12"/>
        <v>0</v>
      </c>
      <c r="V130" s="98">
        <f t="shared" si="12"/>
        <v>0</v>
      </c>
      <c r="W130" s="98">
        <f t="shared" si="12"/>
        <v>0</v>
      </c>
      <c r="X130" s="98">
        <f t="shared" si="12"/>
        <v>0</v>
      </c>
      <c r="Y130" s="98">
        <f t="shared" si="12"/>
        <v>0</v>
      </c>
      <c r="Z130" s="98">
        <f t="shared" si="12"/>
        <v>0</v>
      </c>
      <c r="AA130" s="98">
        <f t="shared" si="12"/>
        <v>0</v>
      </c>
      <c r="AB130" s="98">
        <f t="shared" si="12"/>
        <v>0</v>
      </c>
      <c r="AC130" s="98">
        <f t="shared" si="12"/>
        <v>0</v>
      </c>
      <c r="AD130" s="98">
        <f t="shared" si="12"/>
        <v>0</v>
      </c>
      <c r="AE130" s="98">
        <f t="shared" si="12"/>
        <v>352027.93</v>
      </c>
      <c r="AF130" s="98">
        <f t="shared" si="12"/>
        <v>315213.54000000004</v>
      </c>
      <c r="AG130" s="134">
        <f t="shared" si="12"/>
        <v>2.5170477756264678</v>
      </c>
      <c r="AH130" s="98">
        <f t="shared" si="12"/>
        <v>36814.389999999985</v>
      </c>
    </row>
    <row r="131" spans="1:34" ht="15.75">
      <c r="A131" s="178" t="s">
        <v>61</v>
      </c>
      <c r="B131" s="178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35"/>
      <c r="AH131" s="100"/>
    </row>
    <row r="132" spans="1:34" ht="12.75">
      <c r="A132" s="80">
        <v>5111</v>
      </c>
      <c r="B132" s="81" t="s">
        <v>93</v>
      </c>
      <c r="C132" s="99">
        <f>+'PE-PARTIDA'!C132</f>
        <v>0</v>
      </c>
      <c r="D132" s="99"/>
      <c r="E132" s="99"/>
      <c r="F132" s="99">
        <f>+'PE-PARTIDA'!Q132</f>
        <v>0</v>
      </c>
      <c r="G132" s="99">
        <f>+'PE-PARTIDA'!AA132</f>
        <v>0</v>
      </c>
      <c r="H132" s="99">
        <v>0</v>
      </c>
      <c r="I132" s="99">
        <v>0</v>
      </c>
      <c r="J132" s="99">
        <v>100000</v>
      </c>
      <c r="K132" s="99">
        <v>0</v>
      </c>
      <c r="L132" s="99">
        <v>0</v>
      </c>
      <c r="M132" s="99">
        <v>0</v>
      </c>
      <c r="N132" s="99">
        <v>0</v>
      </c>
      <c r="O132" s="99">
        <f>+'PE-PARTIDA'!R132</f>
        <v>0</v>
      </c>
      <c r="P132" s="99">
        <f>+'PE-PARTIDA'!S132+'PE-PARTIDA'!V132+'PE-PARTIDA'!AD132</f>
        <v>0</v>
      </c>
      <c r="Q132" s="99">
        <f>+'PE-PARTIDA'!E132+'PE-PARTIDA'!M132</f>
        <v>0</v>
      </c>
      <c r="R132" s="99">
        <f>+'PE-PARTIDA'!AH132+'PE-PARTIDA'!AM132</f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>
        <v>0</v>
      </c>
      <c r="AC132" s="99">
        <v>0</v>
      </c>
      <c r="AD132" s="99">
        <v>0</v>
      </c>
      <c r="AE132" s="99">
        <f aca="true" t="shared" si="13" ref="AE132:AE145">+C132+F132+G132+H132+I132+J132+K132+L132-M132+N132+O132+P132+Q132+R132+S132+T132-U132+V132+W132+X132+Y132-Z132+AA132+AB132+AC132+AD132</f>
        <v>100000</v>
      </c>
      <c r="AF132" s="99">
        <v>95295.93</v>
      </c>
      <c r="AG132" s="133">
        <f>AF132/AE132</f>
        <v>0.9529593</v>
      </c>
      <c r="AH132" s="99">
        <f aca="true" t="shared" si="14" ref="AH132:AH146">+AE132-AF132</f>
        <v>4704.070000000007</v>
      </c>
    </row>
    <row r="133" spans="1:34" ht="12.75">
      <c r="A133" s="80">
        <v>5151</v>
      </c>
      <c r="B133" s="81" t="s">
        <v>94</v>
      </c>
      <c r="C133" s="99">
        <f>+'PE-PARTIDA'!C133</f>
        <v>0</v>
      </c>
      <c r="D133" s="99"/>
      <c r="E133" s="99"/>
      <c r="F133" s="99">
        <f>+'PE-PARTIDA'!Q133</f>
        <v>0</v>
      </c>
      <c r="G133" s="99">
        <f>+'PE-PARTIDA'!AA133</f>
        <v>0</v>
      </c>
      <c r="H133" s="99">
        <v>0</v>
      </c>
      <c r="I133" s="99">
        <v>0</v>
      </c>
      <c r="J133" s="99">
        <v>350000</v>
      </c>
      <c r="K133" s="99">
        <v>0</v>
      </c>
      <c r="L133" s="99">
        <v>0</v>
      </c>
      <c r="M133" s="99">
        <v>0</v>
      </c>
      <c r="N133" s="99">
        <v>0</v>
      </c>
      <c r="O133" s="99">
        <f>+'PE-PARTIDA'!R133</f>
        <v>0</v>
      </c>
      <c r="P133" s="99">
        <f>+'PE-PARTIDA'!S133+'PE-PARTIDA'!V133+'PE-PARTIDA'!AD133</f>
        <v>0</v>
      </c>
      <c r="Q133" s="99">
        <f>+'PE-PARTIDA'!E133+'PE-PARTIDA'!M133</f>
        <v>0</v>
      </c>
      <c r="R133" s="99">
        <f>+'PE-PARTIDA'!AH133+'PE-PARTIDA'!AM133</f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>
        <v>0</v>
      </c>
      <c r="AC133" s="99">
        <v>0</v>
      </c>
      <c r="AD133" s="99">
        <v>0</v>
      </c>
      <c r="AE133" s="99">
        <f t="shared" si="13"/>
        <v>350000</v>
      </c>
      <c r="AF133" s="99">
        <v>349755.30000000005</v>
      </c>
      <c r="AG133" s="133">
        <f aca="true" t="shared" si="15" ref="AG133:AG145">AF133/AE133</f>
        <v>0.9993008571428573</v>
      </c>
      <c r="AH133" s="99">
        <f t="shared" si="14"/>
        <v>244.69999999995343</v>
      </c>
    </row>
    <row r="134" spans="1:34" ht="12.75">
      <c r="A134" s="80">
        <v>5191</v>
      </c>
      <c r="B134" s="81" t="s">
        <v>95</v>
      </c>
      <c r="C134" s="99">
        <f>+'PE-PARTIDA'!C134</f>
        <v>0</v>
      </c>
      <c r="D134" s="99"/>
      <c r="E134" s="99"/>
      <c r="F134" s="99">
        <f>+'PE-PARTIDA'!Q134</f>
        <v>0</v>
      </c>
      <c r="G134" s="99">
        <f>+'PE-PARTIDA'!AA134</f>
        <v>0</v>
      </c>
      <c r="H134" s="99">
        <v>0</v>
      </c>
      <c r="I134" s="99">
        <v>0</v>
      </c>
      <c r="J134" s="99">
        <v>100000</v>
      </c>
      <c r="K134" s="99">
        <v>0</v>
      </c>
      <c r="L134" s="99">
        <v>0</v>
      </c>
      <c r="M134" s="99">
        <v>0</v>
      </c>
      <c r="N134" s="99">
        <v>0</v>
      </c>
      <c r="O134" s="99">
        <f>+'PE-PARTIDA'!R134</f>
        <v>0</v>
      </c>
      <c r="P134" s="99">
        <f>+'PE-PARTIDA'!S134+'PE-PARTIDA'!V134+'PE-PARTIDA'!AD134</f>
        <v>0</v>
      </c>
      <c r="Q134" s="99">
        <f>+'PE-PARTIDA'!E134+'PE-PARTIDA'!M134</f>
        <v>0</v>
      </c>
      <c r="R134" s="99">
        <f>+'PE-PARTIDA'!AH134+'PE-PARTIDA'!AM134</f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  <c r="X134" s="99">
        <v>0</v>
      </c>
      <c r="Y134" s="99">
        <v>0</v>
      </c>
      <c r="Z134" s="99">
        <v>0</v>
      </c>
      <c r="AA134" s="99">
        <v>0</v>
      </c>
      <c r="AB134" s="99">
        <v>0</v>
      </c>
      <c r="AC134" s="99">
        <v>0</v>
      </c>
      <c r="AD134" s="99">
        <v>0</v>
      </c>
      <c r="AE134" s="99">
        <f t="shared" si="13"/>
        <v>100000</v>
      </c>
      <c r="AF134" s="99">
        <v>99214.8</v>
      </c>
      <c r="AG134" s="133">
        <f t="shared" si="15"/>
        <v>0.992148</v>
      </c>
      <c r="AH134" s="99">
        <f t="shared" si="14"/>
        <v>785.1999999999971</v>
      </c>
    </row>
    <row r="135" spans="1:34" ht="12.75">
      <c r="A135" s="80">
        <v>5211</v>
      </c>
      <c r="B135" s="81" t="s">
        <v>53</v>
      </c>
      <c r="C135" s="99">
        <f>+'PE-PARTIDA'!C135</f>
        <v>0</v>
      </c>
      <c r="D135" s="99"/>
      <c r="E135" s="99"/>
      <c r="F135" s="99">
        <f>+'PE-PARTIDA'!Q135</f>
        <v>0</v>
      </c>
      <c r="G135" s="99">
        <f>+'PE-PARTIDA'!AA135</f>
        <v>0</v>
      </c>
      <c r="H135" s="99">
        <v>0</v>
      </c>
      <c r="I135" s="99">
        <v>0</v>
      </c>
      <c r="J135" s="99">
        <v>200000</v>
      </c>
      <c r="K135" s="99">
        <v>0</v>
      </c>
      <c r="L135" s="99">
        <v>0</v>
      </c>
      <c r="M135" s="99">
        <v>0</v>
      </c>
      <c r="N135" s="99">
        <v>0</v>
      </c>
      <c r="O135" s="99">
        <f>+'PE-PARTIDA'!R135</f>
        <v>0</v>
      </c>
      <c r="P135" s="99">
        <f>+'PE-PARTIDA'!S135+'PE-PARTIDA'!V135+'PE-PARTIDA'!AD135</f>
        <v>0</v>
      </c>
      <c r="Q135" s="99">
        <f>+'PE-PARTIDA'!E135+'PE-PARTIDA'!M135</f>
        <v>0</v>
      </c>
      <c r="R135" s="99">
        <f>+'PE-PARTIDA'!AH135+'PE-PARTIDA'!AM135</f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>
        <v>0</v>
      </c>
      <c r="AC135" s="99">
        <v>0</v>
      </c>
      <c r="AD135" s="99">
        <v>0</v>
      </c>
      <c r="AE135" s="99">
        <f t="shared" si="13"/>
        <v>200000</v>
      </c>
      <c r="AF135" s="99">
        <v>200000</v>
      </c>
      <c r="AG135" s="133">
        <f t="shared" si="15"/>
        <v>1</v>
      </c>
      <c r="AH135" s="99">
        <f t="shared" si="14"/>
        <v>0</v>
      </c>
    </row>
    <row r="136" spans="1:34" ht="12.75">
      <c r="A136" s="80">
        <v>5231</v>
      </c>
      <c r="B136" s="81" t="s">
        <v>96</v>
      </c>
      <c r="C136" s="99">
        <f>+'PE-PARTIDA'!C136</f>
        <v>0</v>
      </c>
      <c r="D136" s="99"/>
      <c r="E136" s="99"/>
      <c r="F136" s="99">
        <f>+'PE-PARTIDA'!Q136</f>
        <v>0</v>
      </c>
      <c r="G136" s="99">
        <f>+'PE-PARTIDA'!AA136</f>
        <v>0</v>
      </c>
      <c r="H136" s="99">
        <v>0</v>
      </c>
      <c r="I136" s="99">
        <v>0</v>
      </c>
      <c r="J136" s="99">
        <v>50000</v>
      </c>
      <c r="K136" s="99">
        <v>0</v>
      </c>
      <c r="L136" s="99">
        <v>0</v>
      </c>
      <c r="M136" s="99">
        <v>0</v>
      </c>
      <c r="N136" s="99">
        <v>0</v>
      </c>
      <c r="O136" s="99">
        <f>+'PE-PARTIDA'!R136</f>
        <v>0</v>
      </c>
      <c r="P136" s="99">
        <f>+'PE-PARTIDA'!S136+'PE-PARTIDA'!V136+'PE-PARTIDA'!AD136</f>
        <v>0</v>
      </c>
      <c r="Q136" s="99">
        <f>+'PE-PARTIDA'!E136+'PE-PARTIDA'!M136</f>
        <v>0</v>
      </c>
      <c r="R136" s="99">
        <f>+'PE-PARTIDA'!AH136+'PE-PARTIDA'!AM136</f>
        <v>0</v>
      </c>
      <c r="S136" s="99">
        <v>0</v>
      </c>
      <c r="T136" s="99">
        <v>0</v>
      </c>
      <c r="U136" s="99">
        <v>0</v>
      </c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>
        <v>0</v>
      </c>
      <c r="AC136" s="99">
        <v>0</v>
      </c>
      <c r="AD136" s="99">
        <v>0</v>
      </c>
      <c r="AE136" s="99">
        <f t="shared" si="13"/>
        <v>50000</v>
      </c>
      <c r="AF136" s="99">
        <v>49806.9</v>
      </c>
      <c r="AG136" s="133">
        <f t="shared" si="15"/>
        <v>0.9961380000000001</v>
      </c>
      <c r="AH136" s="99">
        <f t="shared" si="14"/>
        <v>193.09999999999854</v>
      </c>
    </row>
    <row r="137" spans="1:34" ht="12.75">
      <c r="A137" s="80">
        <v>5291</v>
      </c>
      <c r="B137" s="81" t="s">
        <v>54</v>
      </c>
      <c r="C137" s="99">
        <f>+'PE-PARTIDA'!C137</f>
        <v>0</v>
      </c>
      <c r="D137" s="99"/>
      <c r="E137" s="99"/>
      <c r="F137" s="99">
        <f>+'PE-PARTIDA'!Q137</f>
        <v>0</v>
      </c>
      <c r="G137" s="99">
        <f>+'PE-PARTIDA'!AA137</f>
        <v>0</v>
      </c>
      <c r="H137" s="99">
        <v>0</v>
      </c>
      <c r="I137" s="99">
        <v>0</v>
      </c>
      <c r="J137" s="99">
        <v>100000</v>
      </c>
      <c r="K137" s="99">
        <v>0</v>
      </c>
      <c r="L137" s="99">
        <v>0</v>
      </c>
      <c r="M137" s="99">
        <v>0</v>
      </c>
      <c r="N137" s="99">
        <v>0</v>
      </c>
      <c r="O137" s="99">
        <f>+'PE-PARTIDA'!R137</f>
        <v>0</v>
      </c>
      <c r="P137" s="99">
        <f>+'PE-PARTIDA'!S137+'PE-PARTIDA'!V137+'PE-PARTIDA'!AD137</f>
        <v>0</v>
      </c>
      <c r="Q137" s="99">
        <f>+'PE-PARTIDA'!E137+'PE-PARTIDA'!M137</f>
        <v>0</v>
      </c>
      <c r="R137" s="99">
        <f>+'PE-PARTIDA'!AH137+'PE-PARTIDA'!AM137</f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>
        <v>0</v>
      </c>
      <c r="AC137" s="99">
        <v>0</v>
      </c>
      <c r="AD137" s="99">
        <v>0</v>
      </c>
      <c r="AE137" s="99">
        <f t="shared" si="13"/>
        <v>100000</v>
      </c>
      <c r="AF137" s="99">
        <v>91666.65</v>
      </c>
      <c r="AG137" s="133">
        <f t="shared" si="15"/>
        <v>0.9166664999999999</v>
      </c>
      <c r="AH137" s="99">
        <f t="shared" si="14"/>
        <v>8333.350000000006</v>
      </c>
    </row>
    <row r="138" spans="1:34" ht="12.75">
      <c r="A138" s="80">
        <v>5411</v>
      </c>
      <c r="B138" s="81" t="s">
        <v>218</v>
      </c>
      <c r="C138" s="99">
        <f>+'PE-PARTIDA'!C138</f>
        <v>0</v>
      </c>
      <c r="D138" s="99"/>
      <c r="E138" s="99"/>
      <c r="F138" s="99">
        <f>+'PE-PARTIDA'!Q138</f>
        <v>0</v>
      </c>
      <c r="G138" s="99">
        <f>+'PE-PARTIDA'!AA138</f>
        <v>0</v>
      </c>
      <c r="H138" s="99">
        <v>0</v>
      </c>
      <c r="I138" s="99">
        <v>431062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f>+'PE-PARTIDA'!R138</f>
        <v>0</v>
      </c>
      <c r="P138" s="99">
        <f>+'PE-PARTIDA'!S138+'PE-PARTIDA'!V138+'PE-PARTIDA'!AD138</f>
        <v>0</v>
      </c>
      <c r="Q138" s="99">
        <f>+'PE-PARTIDA'!E138+'PE-PARTIDA'!M138</f>
        <v>0</v>
      </c>
      <c r="R138" s="99">
        <f>+'PE-PARTIDA'!AH138+'PE-PARTIDA'!AM138</f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99">
        <v>0</v>
      </c>
      <c r="AD138" s="99">
        <v>0</v>
      </c>
      <c r="AE138" s="99">
        <f t="shared" si="13"/>
        <v>431062</v>
      </c>
      <c r="AF138" s="99">
        <v>303796</v>
      </c>
      <c r="AG138" s="133">
        <f t="shared" si="15"/>
        <v>0.7047617280112838</v>
      </c>
      <c r="AH138" s="99">
        <f t="shared" si="14"/>
        <v>127266</v>
      </c>
    </row>
    <row r="139" spans="1:34" ht="12.75" hidden="1">
      <c r="A139" s="80">
        <v>5491</v>
      </c>
      <c r="B139" s="81" t="s">
        <v>219</v>
      </c>
      <c r="C139" s="99">
        <f>+'PE-PARTIDA'!C139</f>
        <v>0</v>
      </c>
      <c r="D139" s="99"/>
      <c r="E139" s="99"/>
      <c r="F139" s="99">
        <f>+'PE-PARTIDA'!Q139</f>
        <v>0</v>
      </c>
      <c r="G139" s="99">
        <f>+'PE-PARTIDA'!AA139</f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f>+'PE-PARTIDA'!R139</f>
        <v>0</v>
      </c>
      <c r="P139" s="99">
        <f>+'PE-PARTIDA'!S139+'PE-PARTIDA'!V139+'PE-PARTIDA'!AD139</f>
        <v>0</v>
      </c>
      <c r="Q139" s="99">
        <f>+'PE-PARTIDA'!E139+'PE-PARTIDA'!M139</f>
        <v>0</v>
      </c>
      <c r="R139" s="99">
        <f>+'PE-PARTIDA'!AH139+'PE-PARTIDA'!AM139</f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99">
        <v>0</v>
      </c>
      <c r="AD139" s="99">
        <v>0</v>
      </c>
      <c r="AE139" s="99">
        <f t="shared" si="13"/>
        <v>0</v>
      </c>
      <c r="AF139" s="99">
        <v>0</v>
      </c>
      <c r="AG139" s="133">
        <v>0</v>
      </c>
      <c r="AH139" s="99">
        <f t="shared" si="14"/>
        <v>0</v>
      </c>
    </row>
    <row r="140" spans="1:34" ht="12.75">
      <c r="A140" s="80">
        <v>5611</v>
      </c>
      <c r="B140" s="81" t="s">
        <v>220</v>
      </c>
      <c r="C140" s="99">
        <f>+'PE-PARTIDA'!C140</f>
        <v>0</v>
      </c>
      <c r="D140" s="99"/>
      <c r="E140" s="99"/>
      <c r="F140" s="99">
        <f>+'PE-PARTIDA'!Q140</f>
        <v>0</v>
      </c>
      <c r="G140" s="99">
        <f>+'PE-PARTIDA'!AA140</f>
        <v>0</v>
      </c>
      <c r="H140" s="99">
        <v>0</v>
      </c>
      <c r="I140" s="99">
        <v>0</v>
      </c>
      <c r="J140" s="99">
        <v>350000</v>
      </c>
      <c r="K140" s="99">
        <v>0</v>
      </c>
      <c r="L140" s="99">
        <v>0</v>
      </c>
      <c r="M140" s="99">
        <v>0</v>
      </c>
      <c r="N140" s="99">
        <v>0</v>
      </c>
      <c r="O140" s="99">
        <f>+'PE-PARTIDA'!R140</f>
        <v>0</v>
      </c>
      <c r="P140" s="99">
        <f>+'PE-PARTIDA'!S140+'PE-PARTIDA'!V140+'PE-PARTIDA'!AD140</f>
        <v>0</v>
      </c>
      <c r="Q140" s="99">
        <f>+'PE-PARTIDA'!E140+'PE-PARTIDA'!M140</f>
        <v>0</v>
      </c>
      <c r="R140" s="99">
        <f>+'PE-PARTIDA'!AH140+'PE-PARTIDA'!AM140</f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>
        <v>0</v>
      </c>
      <c r="AC140" s="99">
        <v>0</v>
      </c>
      <c r="AD140" s="99">
        <v>0</v>
      </c>
      <c r="AE140" s="99">
        <f t="shared" si="13"/>
        <v>350000</v>
      </c>
      <c r="AF140" s="99">
        <v>318000</v>
      </c>
      <c r="AG140" s="133">
        <f t="shared" si="15"/>
        <v>0.9085714285714286</v>
      </c>
      <c r="AH140" s="99">
        <f t="shared" si="14"/>
        <v>32000</v>
      </c>
    </row>
    <row r="141" spans="1:34" ht="12.75" hidden="1">
      <c r="A141" s="80">
        <v>5621</v>
      </c>
      <c r="B141" s="81" t="s">
        <v>221</v>
      </c>
      <c r="C141" s="99">
        <f>+'PE-PARTIDA'!C141</f>
        <v>0</v>
      </c>
      <c r="D141" s="99"/>
      <c r="E141" s="99"/>
      <c r="F141" s="99">
        <f>+'PE-PARTIDA'!Q141</f>
        <v>0</v>
      </c>
      <c r="G141" s="99">
        <f>+'PE-PARTIDA'!AA141</f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f>+'PE-PARTIDA'!R141</f>
        <v>0</v>
      </c>
      <c r="P141" s="99">
        <f>+'PE-PARTIDA'!S141+'PE-PARTIDA'!V141+'PE-PARTIDA'!AD141</f>
        <v>0</v>
      </c>
      <c r="Q141" s="99">
        <f>+'PE-PARTIDA'!E141+'PE-PARTIDA'!M141</f>
        <v>0</v>
      </c>
      <c r="R141" s="99">
        <f>+'PE-PARTIDA'!AH141+'PE-PARTIDA'!AM141</f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>
        <v>0</v>
      </c>
      <c r="AC141" s="99">
        <v>0</v>
      </c>
      <c r="AD141" s="99">
        <v>0</v>
      </c>
      <c r="AE141" s="99">
        <f t="shared" si="13"/>
        <v>0</v>
      </c>
      <c r="AF141" s="99">
        <v>0</v>
      </c>
      <c r="AG141" s="133">
        <v>0</v>
      </c>
      <c r="AH141" s="99">
        <f t="shared" si="14"/>
        <v>0</v>
      </c>
    </row>
    <row r="142" spans="1:34" ht="25.5">
      <c r="A142" s="80">
        <v>5641</v>
      </c>
      <c r="B142" s="81" t="s">
        <v>222</v>
      </c>
      <c r="C142" s="99">
        <f>+'PE-PARTIDA'!C142</f>
        <v>0</v>
      </c>
      <c r="D142" s="99"/>
      <c r="E142" s="99"/>
      <c r="F142" s="99">
        <f>+'PE-PARTIDA'!Q142</f>
        <v>0</v>
      </c>
      <c r="G142" s="99">
        <f>+'PE-PARTIDA'!AA142</f>
        <v>0</v>
      </c>
      <c r="H142" s="99">
        <v>0</v>
      </c>
      <c r="I142" s="99">
        <v>0</v>
      </c>
      <c r="J142" s="99">
        <v>50000</v>
      </c>
      <c r="K142" s="99">
        <v>0</v>
      </c>
      <c r="L142" s="99">
        <v>0</v>
      </c>
      <c r="M142" s="99">
        <v>0</v>
      </c>
      <c r="N142" s="99">
        <v>0</v>
      </c>
      <c r="O142" s="99">
        <f>+'PE-PARTIDA'!R142</f>
        <v>0</v>
      </c>
      <c r="P142" s="99">
        <f>+'PE-PARTIDA'!S142+'PE-PARTIDA'!V142+'PE-PARTIDA'!AD142</f>
        <v>0</v>
      </c>
      <c r="Q142" s="99">
        <f>+'PE-PARTIDA'!E142+'PE-PARTIDA'!M142</f>
        <v>0</v>
      </c>
      <c r="R142" s="99">
        <f>+'PE-PARTIDA'!AH142+'PE-PARTIDA'!AM142</f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>
        <v>0</v>
      </c>
      <c r="AC142" s="99">
        <v>0</v>
      </c>
      <c r="AD142" s="99">
        <v>0</v>
      </c>
      <c r="AE142" s="99">
        <f t="shared" si="13"/>
        <v>50000</v>
      </c>
      <c r="AF142" s="99">
        <v>49671.2</v>
      </c>
      <c r="AG142" s="133">
        <f t="shared" si="15"/>
        <v>0.993424</v>
      </c>
      <c r="AH142" s="99">
        <f t="shared" si="14"/>
        <v>328.8000000000029</v>
      </c>
    </row>
    <row r="143" spans="1:34" ht="12.75">
      <c r="A143" s="80">
        <v>5651</v>
      </c>
      <c r="B143" s="81" t="s">
        <v>40</v>
      </c>
      <c r="C143" s="99">
        <f>+'PE-PARTIDA'!C143</f>
        <v>0</v>
      </c>
      <c r="D143" s="99"/>
      <c r="E143" s="99"/>
      <c r="F143" s="99">
        <f>+'PE-PARTIDA'!Q143</f>
        <v>0</v>
      </c>
      <c r="G143" s="99">
        <f>+'PE-PARTIDA'!AA143</f>
        <v>0</v>
      </c>
      <c r="H143" s="99">
        <v>0</v>
      </c>
      <c r="I143" s="99">
        <v>0</v>
      </c>
      <c r="J143" s="99">
        <v>25000</v>
      </c>
      <c r="K143" s="99">
        <v>0</v>
      </c>
      <c r="L143" s="99">
        <v>0</v>
      </c>
      <c r="M143" s="99">
        <v>0</v>
      </c>
      <c r="N143" s="99">
        <v>0</v>
      </c>
      <c r="O143" s="99">
        <f>+'PE-PARTIDA'!R143</f>
        <v>0</v>
      </c>
      <c r="P143" s="99">
        <f>+'PE-PARTIDA'!S143+'PE-PARTIDA'!V143+'PE-PARTIDA'!AD143</f>
        <v>0</v>
      </c>
      <c r="Q143" s="99">
        <f>+'PE-PARTIDA'!E143+'PE-PARTIDA'!M143</f>
        <v>0</v>
      </c>
      <c r="R143" s="99">
        <f>+'PE-PARTIDA'!AH143+'PE-PARTIDA'!AM143</f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>
        <v>0</v>
      </c>
      <c r="AC143" s="99">
        <v>0</v>
      </c>
      <c r="AD143" s="99">
        <v>0</v>
      </c>
      <c r="AE143" s="99">
        <f t="shared" si="13"/>
        <v>25000</v>
      </c>
      <c r="AF143" s="99">
        <v>0</v>
      </c>
      <c r="AG143" s="133">
        <f t="shared" si="15"/>
        <v>0</v>
      </c>
      <c r="AH143" s="99">
        <f t="shared" si="14"/>
        <v>25000</v>
      </c>
    </row>
    <row r="144" spans="1:34" ht="12.75">
      <c r="A144" s="80">
        <v>5671</v>
      </c>
      <c r="B144" s="81" t="s">
        <v>223</v>
      </c>
      <c r="C144" s="99">
        <f>+'PE-PARTIDA'!C144</f>
        <v>0</v>
      </c>
      <c r="D144" s="99"/>
      <c r="E144" s="99"/>
      <c r="F144" s="99">
        <f>+'PE-PARTIDA'!Q144</f>
        <v>0</v>
      </c>
      <c r="G144" s="99">
        <f>+'PE-PARTIDA'!AA144</f>
        <v>0</v>
      </c>
      <c r="H144" s="99">
        <v>0</v>
      </c>
      <c r="I144" s="99">
        <v>0</v>
      </c>
      <c r="J144" s="99">
        <v>50000</v>
      </c>
      <c r="K144" s="99">
        <v>0</v>
      </c>
      <c r="L144" s="99">
        <v>0</v>
      </c>
      <c r="M144" s="99">
        <v>0</v>
      </c>
      <c r="N144" s="99">
        <v>0</v>
      </c>
      <c r="O144" s="99">
        <f>+'PE-PARTIDA'!R144</f>
        <v>0</v>
      </c>
      <c r="P144" s="99">
        <f>+'PE-PARTIDA'!S144+'PE-PARTIDA'!V144+'PE-PARTIDA'!AD144</f>
        <v>0</v>
      </c>
      <c r="Q144" s="99">
        <f>+'PE-PARTIDA'!E144+'PE-PARTIDA'!M144</f>
        <v>0</v>
      </c>
      <c r="R144" s="99">
        <f>+'PE-PARTIDA'!AH144+'PE-PARTIDA'!AM144</f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  <c r="X144" s="99">
        <v>0</v>
      </c>
      <c r="Y144" s="99">
        <v>0</v>
      </c>
      <c r="Z144" s="99">
        <v>0</v>
      </c>
      <c r="AA144" s="99">
        <v>0</v>
      </c>
      <c r="AB144" s="99">
        <v>0</v>
      </c>
      <c r="AC144" s="99">
        <v>0</v>
      </c>
      <c r="AD144" s="99">
        <v>0</v>
      </c>
      <c r="AE144" s="99">
        <f t="shared" si="13"/>
        <v>50000</v>
      </c>
      <c r="AF144" s="99">
        <v>49706</v>
      </c>
      <c r="AG144" s="133">
        <f t="shared" si="15"/>
        <v>0.99412</v>
      </c>
      <c r="AH144" s="99">
        <f t="shared" si="14"/>
        <v>294</v>
      </c>
    </row>
    <row r="145" spans="1:34" ht="12.75">
      <c r="A145" s="80">
        <v>5911</v>
      </c>
      <c r="B145" s="81" t="s">
        <v>55</v>
      </c>
      <c r="C145" s="99">
        <f>+'PE-PARTIDA'!C145</f>
        <v>0</v>
      </c>
      <c r="D145" s="99"/>
      <c r="E145" s="99"/>
      <c r="F145" s="99">
        <f>+'PE-PARTIDA'!Q145</f>
        <v>0</v>
      </c>
      <c r="G145" s="99">
        <f>+'PE-PARTIDA'!AA145</f>
        <v>0</v>
      </c>
      <c r="H145" s="99">
        <v>0</v>
      </c>
      <c r="I145" s="99">
        <v>0</v>
      </c>
      <c r="J145" s="99">
        <v>370000</v>
      </c>
      <c r="K145" s="99">
        <v>0</v>
      </c>
      <c r="L145" s="99">
        <v>0</v>
      </c>
      <c r="M145" s="99">
        <v>10000</v>
      </c>
      <c r="N145" s="99">
        <v>0</v>
      </c>
      <c r="O145" s="99">
        <f>+'PE-PARTIDA'!R145</f>
        <v>0</v>
      </c>
      <c r="P145" s="99">
        <f>+'PE-PARTIDA'!S145+'PE-PARTIDA'!V145+'PE-PARTIDA'!AD145</f>
        <v>0</v>
      </c>
      <c r="Q145" s="99">
        <f>+'PE-PARTIDA'!E145+'PE-PARTIDA'!M145</f>
        <v>0</v>
      </c>
      <c r="R145" s="99">
        <f>+'PE-PARTIDA'!AH145+'PE-PARTIDA'!AM145</f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>
        <v>0</v>
      </c>
      <c r="AC145" s="99">
        <v>0</v>
      </c>
      <c r="AD145" s="99">
        <v>0</v>
      </c>
      <c r="AE145" s="99">
        <f t="shared" si="13"/>
        <v>360000</v>
      </c>
      <c r="AF145" s="99">
        <v>258141.62</v>
      </c>
      <c r="AG145" s="133">
        <f t="shared" si="15"/>
        <v>0.7170600555555555</v>
      </c>
      <c r="AH145" s="99">
        <f t="shared" si="14"/>
        <v>101858.38</v>
      </c>
    </row>
    <row r="146" spans="1:34" ht="12.75">
      <c r="A146" s="93"/>
      <c r="B146" s="91"/>
      <c r="C146" s="99">
        <f>+'PE-PARTIDA'!C146</f>
        <v>0</v>
      </c>
      <c r="D146" s="99"/>
      <c r="E146" s="99"/>
      <c r="F146" s="99">
        <f>+'PE-PARTIDA'!Q146</f>
        <v>0</v>
      </c>
      <c r="G146" s="99">
        <f>+'PE-PARTIDA'!AA146</f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f>+'PE-PARTIDA'!R146</f>
        <v>0</v>
      </c>
      <c r="P146" s="99">
        <f>+'PE-PARTIDA'!S146+'PE-PARTIDA'!V146+'PE-PARTIDA'!AD146</f>
        <v>0</v>
      </c>
      <c r="Q146" s="99">
        <f>+'PE-PARTIDA'!E146+'PE-PARTIDA'!M146</f>
        <v>0</v>
      </c>
      <c r="R146" s="99">
        <f>+'PE-PARTIDA'!AH146+'PE-PARTIDA'!AM146</f>
        <v>0</v>
      </c>
      <c r="S146" s="99"/>
      <c r="T146" s="99"/>
      <c r="U146" s="99"/>
      <c r="V146" s="99"/>
      <c r="W146" s="99"/>
      <c r="X146" s="99"/>
      <c r="Y146" s="99"/>
      <c r="Z146" s="99">
        <v>0</v>
      </c>
      <c r="AA146" s="99">
        <v>0</v>
      </c>
      <c r="AB146" s="99">
        <v>0</v>
      </c>
      <c r="AC146" s="99">
        <v>0</v>
      </c>
      <c r="AD146" s="99">
        <v>0</v>
      </c>
      <c r="AE146" s="99"/>
      <c r="AF146" s="99"/>
      <c r="AG146" s="133"/>
      <c r="AH146" s="99">
        <f t="shared" si="14"/>
        <v>0</v>
      </c>
    </row>
    <row r="147" spans="1:34" ht="25.5">
      <c r="A147" s="82"/>
      <c r="B147" s="92" t="s">
        <v>56</v>
      </c>
      <c r="C147" s="98">
        <f>SUM(C132:C146)</f>
        <v>0</v>
      </c>
      <c r="D147" s="98"/>
      <c r="E147" s="98"/>
      <c r="F147" s="98">
        <f>SUM(F132:F146)</f>
        <v>0</v>
      </c>
      <c r="G147" s="98">
        <f>SUM(G132:G146)</f>
        <v>0</v>
      </c>
      <c r="H147" s="98">
        <f aca="true" t="shared" si="16" ref="H147:AH147">SUM(H132:H146)</f>
        <v>0</v>
      </c>
      <c r="I147" s="98">
        <f t="shared" si="16"/>
        <v>431062</v>
      </c>
      <c r="J147" s="98">
        <f t="shared" si="16"/>
        <v>1745000</v>
      </c>
      <c r="K147" s="98">
        <f t="shared" si="16"/>
        <v>0</v>
      </c>
      <c r="L147" s="98">
        <f t="shared" si="16"/>
        <v>0</v>
      </c>
      <c r="M147" s="98">
        <f t="shared" si="16"/>
        <v>10000</v>
      </c>
      <c r="N147" s="98">
        <f t="shared" si="16"/>
        <v>0</v>
      </c>
      <c r="O147" s="98">
        <f t="shared" si="16"/>
        <v>0</v>
      </c>
      <c r="P147" s="98">
        <f t="shared" si="16"/>
        <v>0</v>
      </c>
      <c r="Q147" s="98">
        <f t="shared" si="16"/>
        <v>0</v>
      </c>
      <c r="R147" s="98">
        <f t="shared" si="16"/>
        <v>0</v>
      </c>
      <c r="S147" s="98">
        <f t="shared" si="16"/>
        <v>0</v>
      </c>
      <c r="T147" s="98">
        <f t="shared" si="16"/>
        <v>0</v>
      </c>
      <c r="U147" s="98">
        <f t="shared" si="16"/>
        <v>0</v>
      </c>
      <c r="V147" s="98">
        <f t="shared" si="16"/>
        <v>0</v>
      </c>
      <c r="W147" s="98">
        <f t="shared" si="16"/>
        <v>0</v>
      </c>
      <c r="X147" s="98">
        <f t="shared" si="16"/>
        <v>0</v>
      </c>
      <c r="Y147" s="98">
        <f t="shared" si="16"/>
        <v>0</v>
      </c>
      <c r="Z147" s="98">
        <f t="shared" si="16"/>
        <v>0</v>
      </c>
      <c r="AA147" s="98">
        <f t="shared" si="16"/>
        <v>0</v>
      </c>
      <c r="AB147" s="98">
        <f t="shared" si="16"/>
        <v>0</v>
      </c>
      <c r="AC147" s="98">
        <f t="shared" si="16"/>
        <v>0</v>
      </c>
      <c r="AD147" s="98">
        <f t="shared" si="16"/>
        <v>0</v>
      </c>
      <c r="AE147" s="98">
        <f t="shared" si="16"/>
        <v>2166062</v>
      </c>
      <c r="AF147" s="98">
        <f t="shared" si="16"/>
        <v>1865054.4</v>
      </c>
      <c r="AG147" s="134">
        <f>AF147/AE147</f>
        <v>0.8610346333576785</v>
      </c>
      <c r="AH147" s="98">
        <f t="shared" si="16"/>
        <v>301007.6</v>
      </c>
    </row>
    <row r="148" spans="1:34" ht="15.75">
      <c r="A148" s="94"/>
      <c r="B148" s="95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37"/>
      <c r="AH148" s="100"/>
    </row>
    <row r="149" spans="1:34" ht="12.75">
      <c r="A149" s="96"/>
      <c r="B149" s="97" t="s">
        <v>57</v>
      </c>
      <c r="C149" s="102">
        <f>+C30+C72+C124+C130+C147</f>
        <v>6745094</v>
      </c>
      <c r="D149" s="102">
        <f aca="true" t="shared" si="17" ref="D149:AH149">+D30+D72+D124+D130+D147</f>
        <v>0</v>
      </c>
      <c r="E149" s="102">
        <f t="shared" si="17"/>
        <v>0</v>
      </c>
      <c r="F149" s="102">
        <f t="shared" si="17"/>
        <v>9125635</v>
      </c>
      <c r="G149" s="102">
        <f t="shared" si="17"/>
        <v>714000</v>
      </c>
      <c r="H149" s="102">
        <f t="shared" si="17"/>
        <v>0</v>
      </c>
      <c r="I149" s="102">
        <f t="shared" si="17"/>
        <v>639217.06</v>
      </c>
      <c r="J149" s="102">
        <f t="shared" si="17"/>
        <v>4478242.9399999995</v>
      </c>
      <c r="K149" s="102">
        <f t="shared" si="17"/>
        <v>0</v>
      </c>
      <c r="L149" s="102">
        <f t="shared" si="17"/>
        <v>0</v>
      </c>
      <c r="M149" s="102">
        <f t="shared" si="17"/>
        <v>100000</v>
      </c>
      <c r="N149" s="102">
        <f t="shared" si="17"/>
        <v>100000</v>
      </c>
      <c r="O149" s="102">
        <f t="shared" si="17"/>
        <v>174422</v>
      </c>
      <c r="P149" s="102">
        <f t="shared" si="17"/>
        <v>0</v>
      </c>
      <c r="Q149" s="102">
        <f t="shared" si="17"/>
        <v>241027.93</v>
      </c>
      <c r="R149" s="102">
        <f t="shared" si="17"/>
        <v>0</v>
      </c>
      <c r="S149" s="102">
        <f t="shared" si="17"/>
        <v>500000</v>
      </c>
      <c r="T149" s="102">
        <f t="shared" si="17"/>
        <v>0</v>
      </c>
      <c r="U149" s="102">
        <f t="shared" si="17"/>
        <v>427310</v>
      </c>
      <c r="V149" s="102">
        <f t="shared" si="17"/>
        <v>427310</v>
      </c>
      <c r="W149" s="102">
        <f t="shared" si="17"/>
        <v>828703.26</v>
      </c>
      <c r="X149" s="102">
        <f t="shared" si="17"/>
        <v>0</v>
      </c>
      <c r="Y149" s="102">
        <f t="shared" si="17"/>
        <v>98504.18</v>
      </c>
      <c r="Z149" s="102">
        <f t="shared" si="17"/>
        <v>76000</v>
      </c>
      <c r="AA149" s="102">
        <f t="shared" si="17"/>
        <v>76000</v>
      </c>
      <c r="AB149" s="102">
        <f t="shared" si="17"/>
        <v>18833.88</v>
      </c>
      <c r="AC149" s="102">
        <f t="shared" si="17"/>
        <v>2554963</v>
      </c>
      <c r="AD149" s="102">
        <f t="shared" si="17"/>
        <v>53140.97</v>
      </c>
      <c r="AE149" s="102">
        <f t="shared" si="17"/>
        <v>26171784.22</v>
      </c>
      <c r="AF149" s="102">
        <f t="shared" si="17"/>
        <v>22591773.871999998</v>
      </c>
      <c r="AG149" s="138">
        <f>AF149/AE149</f>
        <v>0.8632110704449327</v>
      </c>
      <c r="AH149" s="102">
        <f t="shared" si="17"/>
        <v>3580010.348</v>
      </c>
    </row>
  </sheetData>
  <sheetProtection/>
  <mergeCells count="35">
    <mergeCell ref="A2:AG2"/>
    <mergeCell ref="A3:AG3"/>
    <mergeCell ref="A4:AG4"/>
    <mergeCell ref="A6:A7"/>
    <mergeCell ref="B6:B7"/>
    <mergeCell ref="C6:C7"/>
    <mergeCell ref="D6:E6"/>
    <mergeCell ref="F6:F7"/>
    <mergeCell ref="G6:G7"/>
    <mergeCell ref="H6:H7"/>
    <mergeCell ref="AF6:AF7"/>
    <mergeCell ref="AG6:AG7"/>
    <mergeCell ref="AH6:AH7"/>
    <mergeCell ref="W6:W7"/>
    <mergeCell ref="X6:X7"/>
    <mergeCell ref="Y6:Y7"/>
    <mergeCell ref="Z6:AA6"/>
    <mergeCell ref="AB6:AB7"/>
    <mergeCell ref="AC6:AC7"/>
    <mergeCell ref="AD6:AD7"/>
    <mergeCell ref="A131:B131"/>
    <mergeCell ref="U6:V6"/>
    <mergeCell ref="S6:S7"/>
    <mergeCell ref="T6:T7"/>
    <mergeCell ref="AE6:AE7"/>
    <mergeCell ref="I6:L6"/>
    <mergeCell ref="M6:N6"/>
    <mergeCell ref="O6:O7"/>
    <mergeCell ref="P6:P7"/>
    <mergeCell ref="A8:B8"/>
    <mergeCell ref="A31:B31"/>
    <mergeCell ref="A73:B73"/>
    <mergeCell ref="Q6:Q7"/>
    <mergeCell ref="R6:R7"/>
    <mergeCell ref="A125:B125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51"/>
  <sheetViews>
    <sheetView zoomScalePageLayoutView="0" workbookViewId="0" topLeftCell="A6">
      <pane xSplit="2" ySplit="2" topLeftCell="C83" activePane="bottomRight" state="frozen"/>
      <selection pane="topLeft" activeCell="A6" sqref="A6"/>
      <selection pane="topRight" activeCell="C6" sqref="C6"/>
      <selection pane="bottomLeft" activeCell="A8" sqref="A8"/>
      <selection pane="bottomRight" activeCell="C93" sqref="C93"/>
    </sheetView>
  </sheetViews>
  <sheetFormatPr defaultColWidth="11.421875" defaultRowHeight="15"/>
  <cols>
    <col min="1" max="1" width="12.57421875" style="104" customWidth="1"/>
    <col min="2" max="2" width="55.7109375" style="105" customWidth="1"/>
    <col min="3" max="3" width="15.57421875" style="105" customWidth="1"/>
    <col min="4" max="4" width="12.28125" style="105" customWidth="1"/>
    <col min="5" max="5" width="13.57421875" style="105" customWidth="1"/>
    <col min="6" max="6" width="25.8515625" style="105" customWidth="1"/>
    <col min="7" max="7" width="18.140625" style="105" customWidth="1"/>
    <col min="8" max="9" width="19.140625" style="105" customWidth="1"/>
    <col min="10" max="11" width="10.140625" style="105" customWidth="1"/>
    <col min="12" max="15" width="17.8515625" style="105" customWidth="1"/>
    <col min="16" max="19" width="15.421875" style="105" customWidth="1"/>
    <col min="20" max="20" width="19.57421875" style="105" customWidth="1"/>
    <col min="21" max="21" width="12.28125" style="105" customWidth="1"/>
    <col min="22" max="26" width="16.28125" style="105" customWidth="1"/>
    <col min="27" max="31" width="15.8515625" style="105" customWidth="1"/>
    <col min="32" max="32" width="27.00390625" style="105" customWidth="1"/>
    <col min="33" max="33" width="12.28125" style="105" customWidth="1"/>
    <col min="34" max="34" width="13.57421875" style="105" customWidth="1"/>
    <col min="35" max="40" width="15.8515625" style="105" customWidth="1"/>
    <col min="41" max="41" width="15.421875" style="105" customWidth="1"/>
    <col min="42" max="42" width="9.140625" style="105" customWidth="1"/>
    <col min="43" max="43" width="9.57421875" style="105" customWidth="1"/>
    <col min="44" max="44" width="30.00390625" style="105" customWidth="1"/>
    <col min="45" max="45" width="8.57421875" style="105" customWidth="1"/>
    <col min="46" max="46" width="9.57421875" style="105" customWidth="1"/>
    <col min="47" max="50" width="15.7109375" style="105" customWidth="1"/>
    <col min="51" max="51" width="15.57421875" style="106" customWidth="1"/>
    <col min="52" max="52" width="15.7109375" style="106" customWidth="1"/>
    <col min="53" max="53" width="15.28125" style="106" customWidth="1"/>
    <col min="54" max="54" width="14.8515625" style="106" customWidth="1"/>
    <col min="55" max="55" width="12.57421875" style="106" customWidth="1"/>
    <col min="56" max="16384" width="11.421875" style="106" customWidth="1"/>
  </cols>
  <sheetData>
    <row r="1" spans="1:54" s="103" customFormat="1" ht="29.25" customHeight="1">
      <c r="A1" s="190" t="s">
        <v>224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</row>
    <row r="2" spans="1:51" s="103" customFormat="1" ht="15.7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6"/>
    </row>
    <row r="3" spans="1:54" ht="23.25" customHeight="1">
      <c r="A3" s="191" t="s">
        <v>225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</row>
    <row r="4" spans="1:51" ht="18" customHeight="1">
      <c r="A4" s="192" t="s">
        <v>226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0" ht="16.5" thickBot="1">
      <c r="A5" s="107"/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4" ht="38.25" customHeight="1" thickBot="1">
      <c r="A6" s="193" t="s">
        <v>227</v>
      </c>
      <c r="B6" s="193"/>
      <c r="C6" s="194" t="s">
        <v>228</v>
      </c>
      <c r="D6" s="194" t="s">
        <v>229</v>
      </c>
      <c r="E6" s="194"/>
      <c r="F6" s="194" t="s">
        <v>230</v>
      </c>
      <c r="G6" s="194" t="s">
        <v>231</v>
      </c>
      <c r="H6" s="194"/>
      <c r="I6" s="194" t="s">
        <v>232</v>
      </c>
      <c r="J6" s="194" t="s">
        <v>233</v>
      </c>
      <c r="K6" s="194"/>
      <c r="L6" s="194" t="s">
        <v>234</v>
      </c>
      <c r="M6" s="194" t="s">
        <v>235</v>
      </c>
      <c r="N6" s="194" t="s">
        <v>233</v>
      </c>
      <c r="O6" s="194"/>
      <c r="P6" s="194" t="s">
        <v>236</v>
      </c>
      <c r="Q6" s="194" t="s">
        <v>262</v>
      </c>
      <c r="R6" s="194" t="s">
        <v>263</v>
      </c>
      <c r="S6" s="194"/>
      <c r="T6" s="194" t="s">
        <v>237</v>
      </c>
      <c r="U6" s="194" t="s">
        <v>238</v>
      </c>
      <c r="V6" s="194"/>
      <c r="W6" s="194" t="s">
        <v>239</v>
      </c>
      <c r="X6" s="194" t="s">
        <v>67</v>
      </c>
      <c r="Y6" s="194"/>
      <c r="Z6" s="194" t="s">
        <v>239</v>
      </c>
      <c r="AA6" s="194" t="s">
        <v>240</v>
      </c>
      <c r="AB6" s="194" t="s">
        <v>231</v>
      </c>
      <c r="AC6" s="194"/>
      <c r="AD6" s="194" t="s">
        <v>241</v>
      </c>
      <c r="AE6" s="194" t="s">
        <v>242</v>
      </c>
      <c r="AF6" s="194" t="s">
        <v>243</v>
      </c>
      <c r="AG6" s="194" t="s">
        <v>238</v>
      </c>
      <c r="AH6" s="194"/>
      <c r="AI6" s="194" t="s">
        <v>244</v>
      </c>
      <c r="AJ6" s="194" t="s">
        <v>67</v>
      </c>
      <c r="AK6" s="194"/>
      <c r="AL6" s="194" t="s">
        <v>244</v>
      </c>
      <c r="AM6" s="194" t="s">
        <v>245</v>
      </c>
      <c r="AN6" s="194" t="s">
        <v>246</v>
      </c>
      <c r="AO6" s="194" t="s">
        <v>264</v>
      </c>
      <c r="AP6" s="194" t="s">
        <v>231</v>
      </c>
      <c r="AQ6" s="194"/>
      <c r="AR6" s="194" t="s">
        <v>247</v>
      </c>
      <c r="AS6" s="194" t="s">
        <v>231</v>
      </c>
      <c r="AT6" s="194"/>
      <c r="AU6" s="194" t="s">
        <v>248</v>
      </c>
      <c r="AV6" s="194" t="s">
        <v>249</v>
      </c>
      <c r="AW6" s="194"/>
      <c r="AX6" s="194" t="s">
        <v>250</v>
      </c>
      <c r="AY6" s="194" t="s">
        <v>251</v>
      </c>
      <c r="AZ6" s="195" t="s">
        <v>252</v>
      </c>
      <c r="BA6" s="195" t="s">
        <v>253</v>
      </c>
      <c r="BB6" s="195" t="s">
        <v>254</v>
      </c>
    </row>
    <row r="7" spans="1:54" ht="63.75" customHeight="1" thickBot="1">
      <c r="A7" s="109" t="s">
        <v>6</v>
      </c>
      <c r="B7" s="110" t="s">
        <v>255</v>
      </c>
      <c r="C7" s="194"/>
      <c r="D7" s="194"/>
      <c r="E7" s="194"/>
      <c r="F7" s="194"/>
      <c r="G7" s="111" t="s">
        <v>30</v>
      </c>
      <c r="H7" s="111" t="s">
        <v>256</v>
      </c>
      <c r="I7" s="194"/>
      <c r="J7" s="112" t="s">
        <v>30</v>
      </c>
      <c r="K7" s="112" t="s">
        <v>256</v>
      </c>
      <c r="L7" s="194"/>
      <c r="M7" s="194"/>
      <c r="N7" s="112" t="s">
        <v>30</v>
      </c>
      <c r="O7" s="112" t="s">
        <v>256</v>
      </c>
      <c r="P7" s="194"/>
      <c r="Q7" s="194"/>
      <c r="R7" s="112" t="s">
        <v>257</v>
      </c>
      <c r="S7" s="112" t="s">
        <v>229</v>
      </c>
      <c r="T7" s="194"/>
      <c r="U7" s="112" t="s">
        <v>257</v>
      </c>
      <c r="V7" s="112" t="s">
        <v>229</v>
      </c>
      <c r="W7" s="194"/>
      <c r="X7" s="112" t="s">
        <v>30</v>
      </c>
      <c r="Y7" s="112" t="s">
        <v>256</v>
      </c>
      <c r="Z7" s="194"/>
      <c r="AA7" s="194"/>
      <c r="AB7" s="112" t="s">
        <v>30</v>
      </c>
      <c r="AC7" s="112" t="s">
        <v>256</v>
      </c>
      <c r="AD7" s="194"/>
      <c r="AE7" s="194"/>
      <c r="AF7" s="194"/>
      <c r="AG7" s="112" t="s">
        <v>258</v>
      </c>
      <c r="AH7" s="112" t="s">
        <v>229</v>
      </c>
      <c r="AI7" s="194"/>
      <c r="AJ7" s="112" t="s">
        <v>30</v>
      </c>
      <c r="AK7" s="112" t="s">
        <v>256</v>
      </c>
      <c r="AL7" s="194"/>
      <c r="AM7" s="194"/>
      <c r="AN7" s="194"/>
      <c r="AO7" s="194"/>
      <c r="AP7" s="112" t="s">
        <v>30</v>
      </c>
      <c r="AQ7" s="112" t="s">
        <v>256</v>
      </c>
      <c r="AR7" s="194"/>
      <c r="AS7" s="112" t="s">
        <v>30</v>
      </c>
      <c r="AT7" s="112" t="s">
        <v>256</v>
      </c>
      <c r="AU7" s="194"/>
      <c r="AV7" s="112" t="s">
        <v>30</v>
      </c>
      <c r="AW7" s="112" t="s">
        <v>256</v>
      </c>
      <c r="AX7" s="194"/>
      <c r="AY7" s="194"/>
      <c r="AZ7" s="195"/>
      <c r="BA7" s="195"/>
      <c r="BB7" s="195"/>
    </row>
    <row r="8" spans="1:54" ht="15.75">
      <c r="A8" s="196" t="s">
        <v>58</v>
      </c>
      <c r="B8" s="196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4"/>
      <c r="AT8" s="114"/>
      <c r="AU8" s="114"/>
      <c r="AV8" s="114"/>
      <c r="AW8" s="114"/>
      <c r="AX8" s="114"/>
      <c r="AY8" s="115"/>
      <c r="AZ8" s="116"/>
      <c r="BA8" s="116"/>
      <c r="BB8" s="116"/>
    </row>
    <row r="9" spans="1:54" ht="15.75" customHeight="1">
      <c r="A9" s="80">
        <v>1131</v>
      </c>
      <c r="B9" s="81" t="s">
        <v>159</v>
      </c>
      <c r="C9" s="117">
        <v>2162631</v>
      </c>
      <c r="D9" s="117"/>
      <c r="E9" s="117"/>
      <c r="F9" s="117">
        <v>2162631</v>
      </c>
      <c r="G9" s="117">
        <v>31000</v>
      </c>
      <c r="H9" s="117"/>
      <c r="I9" s="117">
        <f>2131631+204655</f>
        <v>2336286</v>
      </c>
      <c r="J9" s="117"/>
      <c r="K9" s="117"/>
      <c r="L9" s="117">
        <f aca="true" t="shared" si="0" ref="L9:L29">+I9-J9+K9</f>
        <v>2336286</v>
      </c>
      <c r="M9" s="117">
        <f>600963+870000</f>
        <v>1470963</v>
      </c>
      <c r="N9" s="117"/>
      <c r="O9" s="117"/>
      <c r="P9" s="117">
        <f aca="true" t="shared" si="1" ref="P9:P29">+L9+M9-N9+O9</f>
        <v>3807249</v>
      </c>
      <c r="Q9" s="117">
        <v>4783463</v>
      </c>
      <c r="R9" s="117"/>
      <c r="S9" s="117">
        <v>52926</v>
      </c>
      <c r="T9" s="118">
        <v>5041044</v>
      </c>
      <c r="U9" s="117"/>
      <c r="V9" s="117">
        <f>268555+277874.23-7000</f>
        <v>539429.23</v>
      </c>
      <c r="W9" s="117">
        <f aca="true" t="shared" si="2" ref="W9:W29">+T9+V9-U9</f>
        <v>5580473.23</v>
      </c>
      <c r="X9" s="117"/>
      <c r="Y9" s="117"/>
      <c r="Z9" s="117">
        <f aca="true" t="shared" si="3" ref="Z9:Z29">+W9-X9+Y9</f>
        <v>5580473.23</v>
      </c>
      <c r="AA9" s="119">
        <v>84398</v>
      </c>
      <c r="AB9" s="117"/>
      <c r="AC9" s="117"/>
      <c r="AD9" s="117">
        <v>18833.88</v>
      </c>
      <c r="AE9" s="117">
        <f aca="true" t="shared" si="4" ref="AE9:AE29">+W9+AD9</f>
        <v>5599307.11</v>
      </c>
      <c r="AF9" s="117">
        <v>84398</v>
      </c>
      <c r="AG9" s="117"/>
      <c r="AH9" s="117"/>
      <c r="AI9" s="117">
        <f aca="true" t="shared" si="5" ref="AI9:AI29">+AF9-AG9+AH9</f>
        <v>84398</v>
      </c>
      <c r="AJ9" s="117"/>
      <c r="AK9" s="117"/>
      <c r="AL9" s="117">
        <f aca="true" t="shared" si="6" ref="AL9:AL29">+AI9-AJ9+AK9</f>
        <v>84398</v>
      </c>
      <c r="AM9" s="117"/>
      <c r="AN9" s="117">
        <f aca="true" t="shared" si="7" ref="AN9:AN29">+AL9+AM9</f>
        <v>84398</v>
      </c>
      <c r="AO9" s="117"/>
      <c r="AP9" s="117"/>
      <c r="AQ9" s="117"/>
      <c r="AR9" s="117">
        <v>0</v>
      </c>
      <c r="AS9" s="117"/>
      <c r="AT9" s="117"/>
      <c r="AU9" s="117">
        <f aca="true" t="shared" si="8" ref="AU9:AU29">+AR9-AS9+AT9</f>
        <v>0</v>
      </c>
      <c r="AV9" s="117"/>
      <c r="AW9" s="117"/>
      <c r="AX9" s="117">
        <f aca="true" t="shared" si="9" ref="AX9:AX29">+AU9-AV9+AW9</f>
        <v>0</v>
      </c>
      <c r="AY9" s="120">
        <f aca="true" t="shared" si="10" ref="AY9:AY29">+P9+AE9+AN9+AX9</f>
        <v>9490954.11</v>
      </c>
      <c r="AZ9" s="120">
        <v>8254589.3</v>
      </c>
      <c r="BA9" s="120">
        <f aca="true" t="shared" si="11" ref="BA9:BA29">+AY9-AZ9</f>
        <v>1236364.8099999996</v>
      </c>
      <c r="BB9" s="121">
        <f aca="true" t="shared" si="12" ref="BB9:BB23">AZ9/AY9</f>
        <v>0.8697322950179137</v>
      </c>
    </row>
    <row r="10" spans="1:54" ht="15.75">
      <c r="A10" s="80">
        <v>1211</v>
      </c>
      <c r="B10" s="81" t="s">
        <v>160</v>
      </c>
      <c r="C10" s="117">
        <v>220000</v>
      </c>
      <c r="D10" s="117"/>
      <c r="E10" s="117"/>
      <c r="F10" s="117">
        <v>220000</v>
      </c>
      <c r="G10" s="117"/>
      <c r="H10" s="117"/>
      <c r="I10" s="117">
        <v>220000</v>
      </c>
      <c r="J10" s="117"/>
      <c r="K10" s="117"/>
      <c r="L10" s="117">
        <f t="shared" si="0"/>
        <v>220000</v>
      </c>
      <c r="M10" s="117"/>
      <c r="N10" s="117"/>
      <c r="O10" s="117"/>
      <c r="P10" s="117">
        <f t="shared" si="1"/>
        <v>220000</v>
      </c>
      <c r="Q10" s="117">
        <v>0</v>
      </c>
      <c r="R10" s="117"/>
      <c r="S10" s="117"/>
      <c r="T10" s="118">
        <v>0</v>
      </c>
      <c r="U10" s="117"/>
      <c r="V10" s="117"/>
      <c r="W10" s="117">
        <f t="shared" si="2"/>
        <v>0</v>
      </c>
      <c r="X10" s="117"/>
      <c r="Y10" s="117"/>
      <c r="Z10" s="117">
        <f t="shared" si="3"/>
        <v>0</v>
      </c>
      <c r="AA10" s="119"/>
      <c r="AB10" s="117"/>
      <c r="AC10" s="117"/>
      <c r="AD10" s="117"/>
      <c r="AE10" s="117">
        <f t="shared" si="4"/>
        <v>0</v>
      </c>
      <c r="AF10" s="117">
        <v>0</v>
      </c>
      <c r="AG10" s="117"/>
      <c r="AH10" s="117"/>
      <c r="AI10" s="117">
        <f t="shared" si="5"/>
        <v>0</v>
      </c>
      <c r="AJ10" s="117"/>
      <c r="AK10" s="117"/>
      <c r="AL10" s="117">
        <f t="shared" si="6"/>
        <v>0</v>
      </c>
      <c r="AM10" s="117"/>
      <c r="AN10" s="117">
        <f t="shared" si="7"/>
        <v>0</v>
      </c>
      <c r="AO10" s="117"/>
      <c r="AP10" s="117"/>
      <c r="AQ10" s="117"/>
      <c r="AR10" s="117">
        <v>0</v>
      </c>
      <c r="AS10" s="117"/>
      <c r="AT10" s="117"/>
      <c r="AU10" s="117">
        <f t="shared" si="8"/>
        <v>0</v>
      </c>
      <c r="AV10" s="117"/>
      <c r="AW10" s="117"/>
      <c r="AX10" s="117">
        <f t="shared" si="9"/>
        <v>0</v>
      </c>
      <c r="AY10" s="120">
        <f t="shared" si="10"/>
        <v>220000</v>
      </c>
      <c r="AZ10" s="120">
        <v>56435.46999999999</v>
      </c>
      <c r="BA10" s="120">
        <f t="shared" si="11"/>
        <v>163564.53000000003</v>
      </c>
      <c r="BB10" s="121">
        <f t="shared" si="12"/>
        <v>0.25652486363636356</v>
      </c>
    </row>
    <row r="11" spans="1:54" ht="15.75">
      <c r="A11" s="80">
        <v>1311</v>
      </c>
      <c r="B11" s="81" t="s">
        <v>69</v>
      </c>
      <c r="C11" s="117"/>
      <c r="D11" s="117"/>
      <c r="E11" s="117"/>
      <c r="F11" s="117">
        <v>0</v>
      </c>
      <c r="G11" s="117"/>
      <c r="H11" s="117"/>
      <c r="I11" s="117">
        <v>0</v>
      </c>
      <c r="J11" s="117"/>
      <c r="K11" s="117"/>
      <c r="L11" s="117">
        <f t="shared" si="0"/>
        <v>0</v>
      </c>
      <c r="M11" s="117"/>
      <c r="N11" s="117"/>
      <c r="O11" s="117"/>
      <c r="P11" s="117">
        <f t="shared" si="1"/>
        <v>0</v>
      </c>
      <c r="Q11" s="117"/>
      <c r="R11" s="117"/>
      <c r="S11" s="117">
        <v>186198</v>
      </c>
      <c r="T11" s="118">
        <v>186198</v>
      </c>
      <c r="U11" s="117"/>
      <c r="V11" s="117"/>
      <c r="W11" s="117">
        <f t="shared" si="2"/>
        <v>186198</v>
      </c>
      <c r="X11" s="117"/>
      <c r="Y11" s="117"/>
      <c r="Z11" s="117">
        <f t="shared" si="3"/>
        <v>186198</v>
      </c>
      <c r="AA11" s="119"/>
      <c r="AB11" s="117"/>
      <c r="AC11" s="117"/>
      <c r="AD11" s="117"/>
      <c r="AE11" s="117">
        <f t="shared" si="4"/>
        <v>186198</v>
      </c>
      <c r="AF11" s="117">
        <v>0</v>
      </c>
      <c r="AG11" s="117"/>
      <c r="AH11" s="117"/>
      <c r="AI11" s="117">
        <f t="shared" si="5"/>
        <v>0</v>
      </c>
      <c r="AJ11" s="117"/>
      <c r="AK11" s="117"/>
      <c r="AL11" s="117">
        <f t="shared" si="6"/>
        <v>0</v>
      </c>
      <c r="AM11" s="117"/>
      <c r="AN11" s="117">
        <f t="shared" si="7"/>
        <v>0</v>
      </c>
      <c r="AO11" s="117"/>
      <c r="AP11" s="117"/>
      <c r="AQ11" s="117"/>
      <c r="AR11" s="117">
        <v>0</v>
      </c>
      <c r="AS11" s="117"/>
      <c r="AT11" s="117"/>
      <c r="AU11" s="117">
        <f t="shared" si="8"/>
        <v>0</v>
      </c>
      <c r="AV11" s="117"/>
      <c r="AW11" s="117"/>
      <c r="AX11" s="117">
        <f t="shared" si="9"/>
        <v>0</v>
      </c>
      <c r="AY11" s="120">
        <f t="shared" si="10"/>
        <v>186198</v>
      </c>
      <c r="AZ11" s="120">
        <v>69800.42</v>
      </c>
      <c r="BA11" s="120">
        <f t="shared" si="11"/>
        <v>116397.58</v>
      </c>
      <c r="BB11" s="121">
        <f t="shared" si="12"/>
        <v>0.3748720179593766</v>
      </c>
    </row>
    <row r="12" spans="1:54" ht="15.75">
      <c r="A12" s="80">
        <v>1321</v>
      </c>
      <c r="B12" s="81" t="s">
        <v>10</v>
      </c>
      <c r="C12" s="117">
        <v>245118</v>
      </c>
      <c r="D12" s="117"/>
      <c r="E12" s="117"/>
      <c r="F12" s="117">
        <v>245118</v>
      </c>
      <c r="G12" s="117"/>
      <c r="H12" s="117"/>
      <c r="I12" s="117">
        <v>245118</v>
      </c>
      <c r="J12" s="117"/>
      <c r="K12" s="117"/>
      <c r="L12" s="117">
        <f t="shared" si="0"/>
        <v>245118</v>
      </c>
      <c r="M12" s="117">
        <f>15000+40000</f>
        <v>55000</v>
      </c>
      <c r="N12" s="117"/>
      <c r="O12" s="117"/>
      <c r="P12" s="117">
        <f t="shared" si="1"/>
        <v>300118</v>
      </c>
      <c r="Q12" s="117">
        <v>245118</v>
      </c>
      <c r="R12" s="117"/>
      <c r="S12" s="117">
        <v>11000</v>
      </c>
      <c r="T12" s="118">
        <v>256118</v>
      </c>
      <c r="U12" s="117"/>
      <c r="V12" s="117"/>
      <c r="W12" s="117">
        <f t="shared" si="2"/>
        <v>256118</v>
      </c>
      <c r="X12" s="117"/>
      <c r="Y12" s="117"/>
      <c r="Z12" s="117">
        <f t="shared" si="3"/>
        <v>256118</v>
      </c>
      <c r="AA12" s="119">
        <v>6372</v>
      </c>
      <c r="AB12" s="117"/>
      <c r="AC12" s="117"/>
      <c r="AD12" s="117"/>
      <c r="AE12" s="117">
        <f t="shared" si="4"/>
        <v>256118</v>
      </c>
      <c r="AF12" s="117">
        <v>6372</v>
      </c>
      <c r="AG12" s="117"/>
      <c r="AH12" s="117"/>
      <c r="AI12" s="117">
        <f t="shared" si="5"/>
        <v>6372</v>
      </c>
      <c r="AJ12" s="117"/>
      <c r="AK12" s="117"/>
      <c r="AL12" s="117">
        <f t="shared" si="6"/>
        <v>6372</v>
      </c>
      <c r="AM12" s="117"/>
      <c r="AN12" s="117">
        <f t="shared" si="7"/>
        <v>6372</v>
      </c>
      <c r="AO12" s="117"/>
      <c r="AP12" s="117"/>
      <c r="AQ12" s="117"/>
      <c r="AR12" s="117">
        <v>0</v>
      </c>
      <c r="AS12" s="117"/>
      <c r="AT12" s="117"/>
      <c r="AU12" s="117">
        <f t="shared" si="8"/>
        <v>0</v>
      </c>
      <c r="AV12" s="117"/>
      <c r="AW12" s="117"/>
      <c r="AX12" s="117">
        <f t="shared" si="9"/>
        <v>0</v>
      </c>
      <c r="AY12" s="120">
        <f t="shared" si="10"/>
        <v>562608</v>
      </c>
      <c r="AZ12" s="120">
        <v>561710.6</v>
      </c>
      <c r="BA12" s="120">
        <f t="shared" si="11"/>
        <v>897.4000000000233</v>
      </c>
      <c r="BB12" s="121">
        <f t="shared" si="12"/>
        <v>0.9984049284759547</v>
      </c>
    </row>
    <row r="13" spans="1:54" ht="15.75">
      <c r="A13" s="80">
        <v>1322</v>
      </c>
      <c r="B13" s="81" t="s">
        <v>5</v>
      </c>
      <c r="C13" s="117">
        <v>597135</v>
      </c>
      <c r="D13" s="117"/>
      <c r="E13" s="117"/>
      <c r="F13" s="117">
        <v>597135</v>
      </c>
      <c r="G13" s="117"/>
      <c r="H13" s="117"/>
      <c r="I13" s="117">
        <v>597135</v>
      </c>
      <c r="J13" s="117"/>
      <c r="K13" s="117"/>
      <c r="L13" s="117">
        <f t="shared" si="0"/>
        <v>597135</v>
      </c>
      <c r="M13" s="117">
        <f>100000+100000</f>
        <v>200000</v>
      </c>
      <c r="N13" s="117"/>
      <c r="O13" s="117"/>
      <c r="P13" s="117">
        <f t="shared" si="1"/>
        <v>797135</v>
      </c>
      <c r="Q13" s="117">
        <v>498089</v>
      </c>
      <c r="R13" s="117"/>
      <c r="S13" s="117"/>
      <c r="T13" s="118">
        <v>498089</v>
      </c>
      <c r="U13" s="117"/>
      <c r="V13" s="117"/>
      <c r="W13" s="117">
        <f t="shared" si="2"/>
        <v>498089</v>
      </c>
      <c r="X13" s="117"/>
      <c r="Y13" s="117"/>
      <c r="Z13" s="117">
        <f t="shared" si="3"/>
        <v>498089</v>
      </c>
      <c r="AA13" s="119">
        <v>12191</v>
      </c>
      <c r="AB13" s="117"/>
      <c r="AC13" s="117"/>
      <c r="AD13" s="117"/>
      <c r="AE13" s="117">
        <f t="shared" si="4"/>
        <v>498089</v>
      </c>
      <c r="AF13" s="117">
        <v>12191</v>
      </c>
      <c r="AG13" s="117"/>
      <c r="AH13" s="117"/>
      <c r="AI13" s="117">
        <f t="shared" si="5"/>
        <v>12191</v>
      </c>
      <c r="AJ13" s="117"/>
      <c r="AK13" s="117"/>
      <c r="AL13" s="117">
        <f t="shared" si="6"/>
        <v>12191</v>
      </c>
      <c r="AM13" s="117"/>
      <c r="AN13" s="117">
        <f t="shared" si="7"/>
        <v>12191</v>
      </c>
      <c r="AO13" s="117"/>
      <c r="AP13" s="117"/>
      <c r="AQ13" s="117"/>
      <c r="AR13" s="117">
        <v>0</v>
      </c>
      <c r="AS13" s="117"/>
      <c r="AT13" s="117"/>
      <c r="AU13" s="117">
        <f t="shared" si="8"/>
        <v>0</v>
      </c>
      <c r="AV13" s="117"/>
      <c r="AW13" s="117"/>
      <c r="AX13" s="117">
        <f t="shared" si="9"/>
        <v>0</v>
      </c>
      <c r="AY13" s="120">
        <f t="shared" si="10"/>
        <v>1307415</v>
      </c>
      <c r="AZ13" s="120">
        <v>1185075.732</v>
      </c>
      <c r="BA13" s="120">
        <f t="shared" si="11"/>
        <v>122339.26799999992</v>
      </c>
      <c r="BB13" s="121">
        <f t="shared" si="12"/>
        <v>0.9064265990523285</v>
      </c>
    </row>
    <row r="14" spans="1:54" ht="15.75" customHeight="1">
      <c r="A14" s="80">
        <v>1343</v>
      </c>
      <c r="B14" s="81" t="s">
        <v>11</v>
      </c>
      <c r="C14" s="117"/>
      <c r="D14" s="117"/>
      <c r="E14" s="117"/>
      <c r="F14" s="117">
        <v>0</v>
      </c>
      <c r="G14" s="117"/>
      <c r="H14" s="117"/>
      <c r="I14" s="117">
        <v>0</v>
      </c>
      <c r="J14" s="117"/>
      <c r="K14" s="117"/>
      <c r="L14" s="117">
        <f t="shared" si="0"/>
        <v>0</v>
      </c>
      <c r="M14" s="117"/>
      <c r="N14" s="117"/>
      <c r="O14" s="117"/>
      <c r="P14" s="117">
        <f t="shared" si="1"/>
        <v>0</v>
      </c>
      <c r="Q14" s="117"/>
      <c r="R14" s="117"/>
      <c r="S14" s="117"/>
      <c r="T14" s="118">
        <v>0</v>
      </c>
      <c r="U14" s="117"/>
      <c r="V14" s="117"/>
      <c r="W14" s="117">
        <f t="shared" si="2"/>
        <v>0</v>
      </c>
      <c r="X14" s="117"/>
      <c r="Y14" s="117"/>
      <c r="Z14" s="117">
        <f t="shared" si="3"/>
        <v>0</v>
      </c>
      <c r="AA14" s="119"/>
      <c r="AB14" s="117"/>
      <c r="AC14" s="117"/>
      <c r="AD14" s="117"/>
      <c r="AE14" s="117">
        <f t="shared" si="4"/>
        <v>0</v>
      </c>
      <c r="AF14" s="117">
        <v>0</v>
      </c>
      <c r="AG14" s="117"/>
      <c r="AH14" s="117"/>
      <c r="AI14" s="117">
        <f t="shared" si="5"/>
        <v>0</v>
      </c>
      <c r="AJ14" s="117"/>
      <c r="AK14" s="117"/>
      <c r="AL14" s="117">
        <f t="shared" si="6"/>
        <v>0</v>
      </c>
      <c r="AM14" s="117"/>
      <c r="AN14" s="117">
        <f t="shared" si="7"/>
        <v>0</v>
      </c>
      <c r="AO14" s="117"/>
      <c r="AP14" s="117"/>
      <c r="AQ14" s="117"/>
      <c r="AR14" s="117">
        <v>0</v>
      </c>
      <c r="AS14" s="117"/>
      <c r="AT14" s="117"/>
      <c r="AU14" s="117">
        <f t="shared" si="8"/>
        <v>0</v>
      </c>
      <c r="AV14" s="117"/>
      <c r="AW14" s="117"/>
      <c r="AX14" s="117">
        <f t="shared" si="9"/>
        <v>0</v>
      </c>
      <c r="AY14" s="120">
        <f t="shared" si="10"/>
        <v>0</v>
      </c>
      <c r="AZ14" s="120">
        <v>0</v>
      </c>
      <c r="BA14" s="120">
        <f t="shared" si="11"/>
        <v>0</v>
      </c>
      <c r="BB14" s="121" t="e">
        <f t="shared" si="12"/>
        <v>#DIV/0!</v>
      </c>
    </row>
    <row r="15" spans="1:54" ht="15.75" customHeight="1">
      <c r="A15" s="80">
        <v>1347</v>
      </c>
      <c r="B15" s="81" t="s">
        <v>161</v>
      </c>
      <c r="C15" s="117"/>
      <c r="D15" s="117"/>
      <c r="E15" s="117"/>
      <c r="F15" s="117">
        <v>0</v>
      </c>
      <c r="G15" s="117"/>
      <c r="H15" s="117"/>
      <c r="I15" s="117">
        <v>0</v>
      </c>
      <c r="J15" s="117"/>
      <c r="K15" s="117"/>
      <c r="L15" s="117">
        <f t="shared" si="0"/>
        <v>0</v>
      </c>
      <c r="M15" s="117"/>
      <c r="N15" s="117"/>
      <c r="O15" s="117"/>
      <c r="P15" s="117">
        <f t="shared" si="1"/>
        <v>0</v>
      </c>
      <c r="Q15" s="117"/>
      <c r="R15" s="117"/>
      <c r="S15" s="117"/>
      <c r="T15" s="118">
        <v>0</v>
      </c>
      <c r="U15" s="117"/>
      <c r="V15" s="117"/>
      <c r="W15" s="117">
        <f t="shared" si="2"/>
        <v>0</v>
      </c>
      <c r="X15" s="117"/>
      <c r="Y15" s="117"/>
      <c r="Z15" s="117">
        <f t="shared" si="3"/>
        <v>0</v>
      </c>
      <c r="AA15" s="119"/>
      <c r="AB15" s="117"/>
      <c r="AC15" s="117"/>
      <c r="AD15" s="117"/>
      <c r="AE15" s="117">
        <f t="shared" si="4"/>
        <v>0</v>
      </c>
      <c r="AF15" s="117">
        <v>0</v>
      </c>
      <c r="AG15" s="117"/>
      <c r="AH15" s="117"/>
      <c r="AI15" s="117">
        <f t="shared" si="5"/>
        <v>0</v>
      </c>
      <c r="AJ15" s="117"/>
      <c r="AK15" s="117"/>
      <c r="AL15" s="117">
        <f t="shared" si="6"/>
        <v>0</v>
      </c>
      <c r="AM15" s="117"/>
      <c r="AN15" s="117">
        <f t="shared" si="7"/>
        <v>0</v>
      </c>
      <c r="AO15" s="117"/>
      <c r="AP15" s="117"/>
      <c r="AQ15" s="117"/>
      <c r="AR15" s="117">
        <v>0</v>
      </c>
      <c r="AS15" s="117"/>
      <c r="AT15" s="117"/>
      <c r="AU15" s="117">
        <f t="shared" si="8"/>
        <v>0</v>
      </c>
      <c r="AV15" s="117"/>
      <c r="AW15" s="117"/>
      <c r="AX15" s="117">
        <f t="shared" si="9"/>
        <v>0</v>
      </c>
      <c r="AY15" s="120">
        <f t="shared" si="10"/>
        <v>0</v>
      </c>
      <c r="AZ15" s="120">
        <v>0</v>
      </c>
      <c r="BA15" s="120">
        <f t="shared" si="11"/>
        <v>0</v>
      </c>
      <c r="BB15" s="121" t="e">
        <f t="shared" si="12"/>
        <v>#DIV/0!</v>
      </c>
    </row>
    <row r="16" spans="1:54" ht="15.75">
      <c r="A16" s="80">
        <v>1411</v>
      </c>
      <c r="B16" s="81" t="s">
        <v>162</v>
      </c>
      <c r="C16" s="117">
        <v>250383</v>
      </c>
      <c r="D16" s="117"/>
      <c r="E16" s="117"/>
      <c r="F16" s="117">
        <v>250383</v>
      </c>
      <c r="G16" s="117"/>
      <c r="H16" s="117"/>
      <c r="I16" s="117">
        <v>250383</v>
      </c>
      <c r="J16" s="117"/>
      <c r="K16" s="117"/>
      <c r="L16" s="117">
        <f t="shared" si="0"/>
        <v>250383</v>
      </c>
      <c r="M16" s="117">
        <f>12500+12500</f>
        <v>25000</v>
      </c>
      <c r="N16" s="117"/>
      <c r="O16" s="117"/>
      <c r="P16" s="117">
        <f t="shared" si="1"/>
        <v>275383</v>
      </c>
      <c r="Q16" s="117">
        <v>250383</v>
      </c>
      <c r="R16" s="117"/>
      <c r="S16" s="117">
        <v>25000</v>
      </c>
      <c r="T16" s="118">
        <v>275383</v>
      </c>
      <c r="U16" s="117"/>
      <c r="V16" s="117"/>
      <c r="W16" s="117">
        <f t="shared" si="2"/>
        <v>275383</v>
      </c>
      <c r="X16" s="117"/>
      <c r="Y16" s="117"/>
      <c r="Z16" s="117">
        <f t="shared" si="3"/>
        <v>275383</v>
      </c>
      <c r="AA16" s="119">
        <v>8771</v>
      </c>
      <c r="AB16" s="117"/>
      <c r="AC16" s="117"/>
      <c r="AD16" s="117"/>
      <c r="AE16" s="117">
        <f t="shared" si="4"/>
        <v>275383</v>
      </c>
      <c r="AF16" s="117">
        <v>8771</v>
      </c>
      <c r="AG16" s="117"/>
      <c r="AH16" s="117"/>
      <c r="AI16" s="117">
        <f t="shared" si="5"/>
        <v>8771</v>
      </c>
      <c r="AJ16" s="117"/>
      <c r="AK16" s="117"/>
      <c r="AL16" s="117">
        <f t="shared" si="6"/>
        <v>8771</v>
      </c>
      <c r="AM16" s="117"/>
      <c r="AN16" s="117">
        <f t="shared" si="7"/>
        <v>8771</v>
      </c>
      <c r="AO16" s="117"/>
      <c r="AP16" s="117"/>
      <c r="AQ16" s="117"/>
      <c r="AR16" s="117">
        <v>0</v>
      </c>
      <c r="AS16" s="117"/>
      <c r="AT16" s="117"/>
      <c r="AU16" s="117">
        <f t="shared" si="8"/>
        <v>0</v>
      </c>
      <c r="AV16" s="117"/>
      <c r="AW16" s="117"/>
      <c r="AX16" s="117">
        <f t="shared" si="9"/>
        <v>0</v>
      </c>
      <c r="AY16" s="120">
        <f t="shared" si="10"/>
        <v>559537</v>
      </c>
      <c r="AZ16" s="120">
        <v>507730.49</v>
      </c>
      <c r="BA16" s="120">
        <f t="shared" si="11"/>
        <v>51806.51000000001</v>
      </c>
      <c r="BB16" s="121">
        <f t="shared" si="12"/>
        <v>0.9074118244191179</v>
      </c>
    </row>
    <row r="17" spans="1:54" ht="13.5" customHeight="1">
      <c r="A17" s="80">
        <v>1421</v>
      </c>
      <c r="B17" s="81" t="s">
        <v>12</v>
      </c>
      <c r="C17" s="117">
        <v>110099</v>
      </c>
      <c r="D17" s="117"/>
      <c r="E17" s="117"/>
      <c r="F17" s="117">
        <v>110099</v>
      </c>
      <c r="G17" s="117"/>
      <c r="H17" s="117"/>
      <c r="I17" s="117">
        <v>110099</v>
      </c>
      <c r="J17" s="117"/>
      <c r="K17" s="117"/>
      <c r="L17" s="117">
        <f t="shared" si="0"/>
        <v>110099</v>
      </c>
      <c r="M17" s="117">
        <f>12500+12500</f>
        <v>25000</v>
      </c>
      <c r="N17" s="117"/>
      <c r="O17" s="117"/>
      <c r="P17" s="117">
        <f t="shared" si="1"/>
        <v>135099</v>
      </c>
      <c r="Q17" s="117">
        <v>110099</v>
      </c>
      <c r="R17" s="117"/>
      <c r="S17" s="117">
        <v>12000</v>
      </c>
      <c r="T17" s="118">
        <v>122099</v>
      </c>
      <c r="U17" s="117"/>
      <c r="V17" s="117"/>
      <c r="W17" s="117">
        <f t="shared" si="2"/>
        <v>122099</v>
      </c>
      <c r="X17" s="117"/>
      <c r="Y17" s="117"/>
      <c r="Z17" s="117">
        <f t="shared" si="3"/>
        <v>122099</v>
      </c>
      <c r="AA17" s="119">
        <v>2918</v>
      </c>
      <c r="AB17" s="117"/>
      <c r="AC17" s="117"/>
      <c r="AD17" s="117"/>
      <c r="AE17" s="117">
        <f t="shared" si="4"/>
        <v>122099</v>
      </c>
      <c r="AF17" s="117">
        <v>2918</v>
      </c>
      <c r="AG17" s="117"/>
      <c r="AH17" s="117"/>
      <c r="AI17" s="117">
        <f t="shared" si="5"/>
        <v>2918</v>
      </c>
      <c r="AJ17" s="117"/>
      <c r="AK17" s="117"/>
      <c r="AL17" s="117">
        <f t="shared" si="6"/>
        <v>2918</v>
      </c>
      <c r="AM17" s="117"/>
      <c r="AN17" s="117">
        <f t="shared" si="7"/>
        <v>2918</v>
      </c>
      <c r="AO17" s="117"/>
      <c r="AP17" s="117"/>
      <c r="AQ17" s="117"/>
      <c r="AR17" s="117">
        <v>0</v>
      </c>
      <c r="AS17" s="117"/>
      <c r="AT17" s="117"/>
      <c r="AU17" s="117">
        <f t="shared" si="8"/>
        <v>0</v>
      </c>
      <c r="AV17" s="117"/>
      <c r="AW17" s="117"/>
      <c r="AX17" s="117">
        <f t="shared" si="9"/>
        <v>0</v>
      </c>
      <c r="AY17" s="120">
        <f t="shared" si="10"/>
        <v>260116</v>
      </c>
      <c r="AZ17" s="120">
        <v>260116</v>
      </c>
      <c r="BA17" s="120">
        <f t="shared" si="11"/>
        <v>0</v>
      </c>
      <c r="BB17" s="121">
        <f t="shared" si="12"/>
        <v>1</v>
      </c>
    </row>
    <row r="18" spans="1:54" ht="15.75">
      <c r="A18" s="80">
        <v>1431</v>
      </c>
      <c r="B18" s="81" t="s">
        <v>70</v>
      </c>
      <c r="C18" s="117">
        <v>496808</v>
      </c>
      <c r="D18" s="117"/>
      <c r="E18" s="117"/>
      <c r="F18" s="117">
        <v>496808</v>
      </c>
      <c r="G18" s="117"/>
      <c r="H18" s="117"/>
      <c r="I18" s="117">
        <v>496808</v>
      </c>
      <c r="J18" s="117"/>
      <c r="K18" s="117"/>
      <c r="L18" s="117">
        <f t="shared" si="0"/>
        <v>496808</v>
      </c>
      <c r="M18" s="117">
        <f>60000+100000</f>
        <v>160000</v>
      </c>
      <c r="N18" s="117"/>
      <c r="O18" s="117"/>
      <c r="P18" s="117">
        <f t="shared" si="1"/>
        <v>656808</v>
      </c>
      <c r="Q18" s="117">
        <v>496808</v>
      </c>
      <c r="R18" s="117"/>
      <c r="S18" s="117">
        <v>25000</v>
      </c>
      <c r="T18" s="118">
        <v>521808</v>
      </c>
      <c r="U18" s="117"/>
      <c r="V18" s="117"/>
      <c r="W18" s="117">
        <f t="shared" si="2"/>
        <v>521808</v>
      </c>
      <c r="X18" s="117"/>
      <c r="Y18" s="117"/>
      <c r="Z18" s="117">
        <f t="shared" si="3"/>
        <v>521808</v>
      </c>
      <c r="AA18" s="119">
        <v>11474</v>
      </c>
      <c r="AB18" s="117"/>
      <c r="AC18" s="117"/>
      <c r="AD18" s="117"/>
      <c r="AE18" s="117">
        <f t="shared" si="4"/>
        <v>521808</v>
      </c>
      <c r="AF18" s="117">
        <v>11474</v>
      </c>
      <c r="AG18" s="117"/>
      <c r="AH18" s="117"/>
      <c r="AI18" s="117">
        <f t="shared" si="5"/>
        <v>11474</v>
      </c>
      <c r="AJ18" s="117"/>
      <c r="AK18" s="117"/>
      <c r="AL18" s="117">
        <f t="shared" si="6"/>
        <v>11474</v>
      </c>
      <c r="AM18" s="117"/>
      <c r="AN18" s="117">
        <f t="shared" si="7"/>
        <v>11474</v>
      </c>
      <c r="AO18" s="117"/>
      <c r="AP18" s="117"/>
      <c r="AQ18" s="117"/>
      <c r="AR18" s="117">
        <v>0</v>
      </c>
      <c r="AS18" s="117"/>
      <c r="AT18" s="117"/>
      <c r="AU18" s="117">
        <f t="shared" si="8"/>
        <v>0</v>
      </c>
      <c r="AV18" s="117"/>
      <c r="AW18" s="117"/>
      <c r="AX18" s="117">
        <f t="shared" si="9"/>
        <v>0</v>
      </c>
      <c r="AY18" s="120">
        <f t="shared" si="10"/>
        <v>1190090</v>
      </c>
      <c r="AZ18" s="120">
        <v>1153922.1400000001</v>
      </c>
      <c r="BA18" s="120">
        <f t="shared" si="11"/>
        <v>36167.85999999987</v>
      </c>
      <c r="BB18" s="121">
        <f t="shared" si="12"/>
        <v>0.9696091388046283</v>
      </c>
    </row>
    <row r="19" spans="1:54" ht="15.75">
      <c r="A19" s="80">
        <v>1432</v>
      </c>
      <c r="B19" s="81" t="s">
        <v>163</v>
      </c>
      <c r="C19" s="117">
        <v>97589</v>
      </c>
      <c r="D19" s="117"/>
      <c r="E19" s="117"/>
      <c r="F19" s="117">
        <v>97589</v>
      </c>
      <c r="G19" s="117"/>
      <c r="H19" s="117"/>
      <c r="I19" s="117">
        <v>97589</v>
      </c>
      <c r="J19" s="117"/>
      <c r="K19" s="117"/>
      <c r="L19" s="117">
        <f t="shared" si="0"/>
        <v>97589</v>
      </c>
      <c r="M19" s="117">
        <f>12500+12500</f>
        <v>25000</v>
      </c>
      <c r="N19" s="117"/>
      <c r="O19" s="117"/>
      <c r="P19" s="117">
        <f t="shared" si="1"/>
        <v>122589</v>
      </c>
      <c r="Q19" s="117">
        <v>97589</v>
      </c>
      <c r="R19" s="117"/>
      <c r="S19" s="117">
        <v>10000</v>
      </c>
      <c r="T19" s="118">
        <v>107589</v>
      </c>
      <c r="U19" s="117"/>
      <c r="V19" s="117"/>
      <c r="W19" s="117">
        <f t="shared" si="2"/>
        <v>107589</v>
      </c>
      <c r="X19" s="117"/>
      <c r="Y19" s="117"/>
      <c r="Z19" s="117">
        <f t="shared" si="3"/>
        <v>107589</v>
      </c>
      <c r="AA19" s="119">
        <v>2112</v>
      </c>
      <c r="AB19" s="117"/>
      <c r="AC19" s="117"/>
      <c r="AD19" s="117"/>
      <c r="AE19" s="117">
        <f t="shared" si="4"/>
        <v>107589</v>
      </c>
      <c r="AF19" s="117">
        <v>2112</v>
      </c>
      <c r="AG19" s="117"/>
      <c r="AH19" s="117"/>
      <c r="AI19" s="117">
        <f t="shared" si="5"/>
        <v>2112</v>
      </c>
      <c r="AJ19" s="117"/>
      <c r="AK19" s="117"/>
      <c r="AL19" s="117">
        <f t="shared" si="6"/>
        <v>2112</v>
      </c>
      <c r="AM19" s="117"/>
      <c r="AN19" s="117">
        <f t="shared" si="7"/>
        <v>2112</v>
      </c>
      <c r="AO19" s="117"/>
      <c r="AP19" s="117"/>
      <c r="AQ19" s="117"/>
      <c r="AR19" s="117">
        <v>0</v>
      </c>
      <c r="AS19" s="117"/>
      <c r="AT19" s="117"/>
      <c r="AU19" s="117">
        <f t="shared" si="8"/>
        <v>0</v>
      </c>
      <c r="AV19" s="117"/>
      <c r="AW19" s="117"/>
      <c r="AX19" s="117">
        <f t="shared" si="9"/>
        <v>0</v>
      </c>
      <c r="AY19" s="120">
        <f t="shared" si="10"/>
        <v>232290</v>
      </c>
      <c r="AZ19" s="120">
        <v>159815.83999999997</v>
      </c>
      <c r="BA19" s="120">
        <f t="shared" si="11"/>
        <v>72474.16000000003</v>
      </c>
      <c r="BB19" s="121">
        <f t="shared" si="12"/>
        <v>0.6880013775883592</v>
      </c>
    </row>
    <row r="20" spans="1:54" ht="15.75" customHeight="1">
      <c r="A20" s="80">
        <v>1521</v>
      </c>
      <c r="B20" s="81" t="s">
        <v>164</v>
      </c>
      <c r="C20" s="117">
        <v>100000</v>
      </c>
      <c r="D20" s="117"/>
      <c r="E20" s="117"/>
      <c r="F20" s="117">
        <v>100000</v>
      </c>
      <c r="G20" s="117"/>
      <c r="H20" s="117"/>
      <c r="I20" s="117">
        <v>100000</v>
      </c>
      <c r="J20" s="117"/>
      <c r="K20" s="117"/>
      <c r="L20" s="117">
        <f t="shared" si="0"/>
        <v>100000</v>
      </c>
      <c r="M20" s="117"/>
      <c r="N20" s="117"/>
      <c r="O20" s="117"/>
      <c r="P20" s="117">
        <f t="shared" si="1"/>
        <v>100000</v>
      </c>
      <c r="Q20" s="117"/>
      <c r="R20" s="117"/>
      <c r="S20" s="117"/>
      <c r="T20" s="118">
        <v>0</v>
      </c>
      <c r="U20" s="117"/>
      <c r="V20" s="117"/>
      <c r="W20" s="117">
        <f t="shared" si="2"/>
        <v>0</v>
      </c>
      <c r="X20" s="117"/>
      <c r="Y20" s="117"/>
      <c r="Z20" s="117">
        <f t="shared" si="3"/>
        <v>0</v>
      </c>
      <c r="AA20" s="119"/>
      <c r="AB20" s="117"/>
      <c r="AC20" s="117"/>
      <c r="AD20" s="117"/>
      <c r="AE20" s="117">
        <f t="shared" si="4"/>
        <v>0</v>
      </c>
      <c r="AF20" s="117">
        <v>0</v>
      </c>
      <c r="AG20" s="117"/>
      <c r="AH20" s="117"/>
      <c r="AI20" s="117">
        <f t="shared" si="5"/>
        <v>0</v>
      </c>
      <c r="AJ20" s="117"/>
      <c r="AK20" s="117"/>
      <c r="AL20" s="117">
        <f t="shared" si="6"/>
        <v>0</v>
      </c>
      <c r="AM20" s="117"/>
      <c r="AN20" s="117">
        <f t="shared" si="7"/>
        <v>0</v>
      </c>
      <c r="AO20" s="117"/>
      <c r="AP20" s="117"/>
      <c r="AQ20" s="117"/>
      <c r="AR20" s="117">
        <v>0</v>
      </c>
      <c r="AS20" s="117"/>
      <c r="AT20" s="117"/>
      <c r="AU20" s="117">
        <f t="shared" si="8"/>
        <v>0</v>
      </c>
      <c r="AV20" s="117"/>
      <c r="AW20" s="117"/>
      <c r="AX20" s="117">
        <f t="shared" si="9"/>
        <v>0</v>
      </c>
      <c r="AY20" s="120">
        <f t="shared" si="10"/>
        <v>100000</v>
      </c>
      <c r="AZ20" s="120">
        <v>25741.41</v>
      </c>
      <c r="BA20" s="120">
        <f t="shared" si="11"/>
        <v>74258.59</v>
      </c>
      <c r="BB20" s="121">
        <f t="shared" si="12"/>
        <v>0.2574141</v>
      </c>
    </row>
    <row r="21" spans="1:54" ht="17.25" customHeight="1">
      <c r="A21" s="80">
        <v>1543</v>
      </c>
      <c r="B21" s="81" t="s">
        <v>165</v>
      </c>
      <c r="C21" s="117">
        <v>166289</v>
      </c>
      <c r="D21" s="117"/>
      <c r="E21" s="117"/>
      <c r="F21" s="117">
        <v>166289</v>
      </c>
      <c r="G21" s="117"/>
      <c r="H21" s="117"/>
      <c r="I21" s="117">
        <v>166289</v>
      </c>
      <c r="J21" s="117">
        <v>10000</v>
      </c>
      <c r="K21" s="117"/>
      <c r="L21" s="117">
        <f t="shared" si="0"/>
        <v>156289</v>
      </c>
      <c r="M21" s="117"/>
      <c r="N21" s="117"/>
      <c r="O21" s="117"/>
      <c r="P21" s="117">
        <f t="shared" si="1"/>
        <v>156289</v>
      </c>
      <c r="Q21" s="117">
        <v>166289</v>
      </c>
      <c r="R21" s="117"/>
      <c r="S21" s="117">
        <v>129121</v>
      </c>
      <c r="T21" s="118">
        <v>295410</v>
      </c>
      <c r="U21" s="117"/>
      <c r="V21" s="117"/>
      <c r="W21" s="117">
        <f t="shared" si="2"/>
        <v>295410</v>
      </c>
      <c r="X21" s="117"/>
      <c r="Y21" s="117"/>
      <c r="Z21" s="117">
        <f t="shared" si="3"/>
        <v>295410</v>
      </c>
      <c r="AA21" s="119"/>
      <c r="AB21" s="117"/>
      <c r="AC21" s="117"/>
      <c r="AD21" s="117"/>
      <c r="AE21" s="117">
        <f t="shared" si="4"/>
        <v>295410</v>
      </c>
      <c r="AF21" s="117">
        <v>0</v>
      </c>
      <c r="AG21" s="117"/>
      <c r="AH21" s="117"/>
      <c r="AI21" s="117">
        <f t="shared" si="5"/>
        <v>0</v>
      </c>
      <c r="AJ21" s="117"/>
      <c r="AK21" s="117"/>
      <c r="AL21" s="117">
        <f t="shared" si="6"/>
        <v>0</v>
      </c>
      <c r="AM21" s="117"/>
      <c r="AN21" s="117">
        <f t="shared" si="7"/>
        <v>0</v>
      </c>
      <c r="AO21" s="117"/>
      <c r="AP21" s="117"/>
      <c r="AQ21" s="117"/>
      <c r="AR21" s="117">
        <v>0</v>
      </c>
      <c r="AS21" s="117"/>
      <c r="AT21" s="117"/>
      <c r="AU21" s="117">
        <f t="shared" si="8"/>
        <v>0</v>
      </c>
      <c r="AV21" s="117"/>
      <c r="AW21" s="117"/>
      <c r="AX21" s="117">
        <f t="shared" si="9"/>
        <v>0</v>
      </c>
      <c r="AY21" s="120">
        <f t="shared" si="10"/>
        <v>451699</v>
      </c>
      <c r="AZ21" s="120">
        <v>5478.16</v>
      </c>
      <c r="BA21" s="120">
        <f t="shared" si="11"/>
        <v>446220.84</v>
      </c>
      <c r="BB21" s="121">
        <f t="shared" si="12"/>
        <v>0.012127899331191789</v>
      </c>
    </row>
    <row r="22" spans="1:54" ht="17.25" customHeight="1">
      <c r="A22" s="80">
        <v>1544</v>
      </c>
      <c r="B22" s="81" t="s">
        <v>166</v>
      </c>
      <c r="C22" s="117">
        <v>294200</v>
      </c>
      <c r="D22" s="117"/>
      <c r="E22" s="117"/>
      <c r="F22" s="117">
        <v>294200</v>
      </c>
      <c r="G22" s="117"/>
      <c r="H22" s="117"/>
      <c r="I22" s="117">
        <f>294200</f>
        <v>294200</v>
      </c>
      <c r="J22" s="117"/>
      <c r="K22" s="117"/>
      <c r="L22" s="117">
        <f t="shared" si="0"/>
        <v>294200</v>
      </c>
      <c r="M22" s="117"/>
      <c r="N22" s="117"/>
      <c r="O22" s="117"/>
      <c r="P22" s="117">
        <f t="shared" si="1"/>
        <v>294200</v>
      </c>
      <c r="Q22" s="117"/>
      <c r="R22" s="117"/>
      <c r="S22" s="117"/>
      <c r="T22" s="118">
        <v>0</v>
      </c>
      <c r="U22" s="117"/>
      <c r="V22" s="117"/>
      <c r="W22" s="117">
        <f t="shared" si="2"/>
        <v>0</v>
      </c>
      <c r="X22" s="117"/>
      <c r="Y22" s="117"/>
      <c r="Z22" s="117">
        <f t="shared" si="3"/>
        <v>0</v>
      </c>
      <c r="AA22" s="119"/>
      <c r="AB22" s="117"/>
      <c r="AC22" s="117"/>
      <c r="AD22" s="117"/>
      <c r="AE22" s="117">
        <f t="shared" si="4"/>
        <v>0</v>
      </c>
      <c r="AF22" s="117">
        <v>0</v>
      </c>
      <c r="AG22" s="117"/>
      <c r="AH22" s="117"/>
      <c r="AI22" s="117">
        <f t="shared" si="5"/>
        <v>0</v>
      </c>
      <c r="AJ22" s="117"/>
      <c r="AK22" s="117"/>
      <c r="AL22" s="117">
        <f t="shared" si="6"/>
        <v>0</v>
      </c>
      <c r="AM22" s="117"/>
      <c r="AN22" s="117">
        <f t="shared" si="7"/>
        <v>0</v>
      </c>
      <c r="AO22" s="117"/>
      <c r="AP22" s="117"/>
      <c r="AQ22" s="117"/>
      <c r="AR22" s="117">
        <v>0</v>
      </c>
      <c r="AS22" s="117"/>
      <c r="AT22" s="117"/>
      <c r="AU22" s="117">
        <f t="shared" si="8"/>
        <v>0</v>
      </c>
      <c r="AV22" s="117"/>
      <c r="AW22" s="117"/>
      <c r="AX22" s="117">
        <f t="shared" si="9"/>
        <v>0</v>
      </c>
      <c r="AY22" s="120">
        <f t="shared" si="10"/>
        <v>294200</v>
      </c>
      <c r="AZ22" s="120">
        <v>221903.85</v>
      </c>
      <c r="BA22" s="120">
        <f t="shared" si="11"/>
        <v>72296.15</v>
      </c>
      <c r="BB22" s="121">
        <f t="shared" si="12"/>
        <v>0.7542618966689327</v>
      </c>
    </row>
    <row r="23" spans="1:54" ht="17.25" customHeight="1">
      <c r="A23" s="80">
        <v>1551</v>
      </c>
      <c r="B23" s="81" t="s">
        <v>167</v>
      </c>
      <c r="C23" s="117">
        <v>91606</v>
      </c>
      <c r="D23" s="117"/>
      <c r="E23" s="117"/>
      <c r="F23" s="117">
        <v>91606</v>
      </c>
      <c r="G23" s="117"/>
      <c r="H23" s="117"/>
      <c r="I23" s="117">
        <v>91606</v>
      </c>
      <c r="J23" s="117">
        <v>8000</v>
      </c>
      <c r="K23" s="117"/>
      <c r="L23" s="117">
        <f t="shared" si="0"/>
        <v>83606</v>
      </c>
      <c r="M23" s="117"/>
      <c r="N23" s="117"/>
      <c r="O23" s="117"/>
      <c r="P23" s="117">
        <f t="shared" si="1"/>
        <v>83606</v>
      </c>
      <c r="Q23" s="117">
        <v>91906</v>
      </c>
      <c r="R23" s="117"/>
      <c r="S23" s="117"/>
      <c r="T23" s="118">
        <v>91906</v>
      </c>
      <c r="U23" s="117"/>
      <c r="V23" s="117"/>
      <c r="W23" s="117">
        <f t="shared" si="2"/>
        <v>91906</v>
      </c>
      <c r="X23" s="117"/>
      <c r="Y23" s="117"/>
      <c r="Z23" s="117">
        <f t="shared" si="3"/>
        <v>91906</v>
      </c>
      <c r="AA23" s="119"/>
      <c r="AB23" s="117"/>
      <c r="AC23" s="117"/>
      <c r="AD23" s="117"/>
      <c r="AE23" s="117">
        <f t="shared" si="4"/>
        <v>91906</v>
      </c>
      <c r="AF23" s="117">
        <v>0</v>
      </c>
      <c r="AG23" s="117"/>
      <c r="AH23" s="117"/>
      <c r="AI23" s="117">
        <f t="shared" si="5"/>
        <v>0</v>
      </c>
      <c r="AJ23" s="117"/>
      <c r="AK23" s="117"/>
      <c r="AL23" s="117">
        <f t="shared" si="6"/>
        <v>0</v>
      </c>
      <c r="AM23" s="117"/>
      <c r="AN23" s="117">
        <f t="shared" si="7"/>
        <v>0</v>
      </c>
      <c r="AO23" s="117"/>
      <c r="AP23" s="117"/>
      <c r="AQ23" s="117"/>
      <c r="AR23" s="117">
        <v>0</v>
      </c>
      <c r="AS23" s="117"/>
      <c r="AT23" s="117"/>
      <c r="AU23" s="117">
        <f t="shared" si="8"/>
        <v>0</v>
      </c>
      <c r="AV23" s="117"/>
      <c r="AW23" s="117"/>
      <c r="AX23" s="117">
        <f t="shared" si="9"/>
        <v>0</v>
      </c>
      <c r="AY23" s="120">
        <f t="shared" si="10"/>
        <v>175512</v>
      </c>
      <c r="AZ23" s="120">
        <v>0</v>
      </c>
      <c r="BA23" s="120">
        <f t="shared" si="11"/>
        <v>175512</v>
      </c>
      <c r="BB23" s="121">
        <f t="shared" si="12"/>
        <v>0</v>
      </c>
    </row>
    <row r="24" spans="1:54" ht="15.75" customHeight="1">
      <c r="A24" s="80">
        <v>1611</v>
      </c>
      <c r="B24" s="81" t="s">
        <v>168</v>
      </c>
      <c r="C24" s="117">
        <v>204655</v>
      </c>
      <c r="D24" s="117"/>
      <c r="E24" s="117"/>
      <c r="F24" s="117">
        <v>204655</v>
      </c>
      <c r="G24" s="117"/>
      <c r="H24" s="117"/>
      <c r="I24" s="117">
        <f>204655-204655</f>
        <v>0</v>
      </c>
      <c r="J24" s="117"/>
      <c r="K24" s="117"/>
      <c r="L24" s="117">
        <f t="shared" si="0"/>
        <v>0</v>
      </c>
      <c r="M24" s="117"/>
      <c r="N24" s="117"/>
      <c r="O24" s="117"/>
      <c r="P24" s="117">
        <f t="shared" si="1"/>
        <v>0</v>
      </c>
      <c r="Q24" s="117">
        <v>204655</v>
      </c>
      <c r="R24" s="117"/>
      <c r="S24" s="117"/>
      <c r="T24" s="118">
        <v>0</v>
      </c>
      <c r="U24" s="117"/>
      <c r="V24" s="117"/>
      <c r="W24" s="117">
        <f t="shared" si="2"/>
        <v>0</v>
      </c>
      <c r="X24" s="117"/>
      <c r="Y24" s="117"/>
      <c r="Z24" s="117">
        <f t="shared" si="3"/>
        <v>0</v>
      </c>
      <c r="AA24" s="119"/>
      <c r="AB24" s="117"/>
      <c r="AC24" s="117"/>
      <c r="AD24" s="117"/>
      <c r="AE24" s="117">
        <f t="shared" si="4"/>
        <v>0</v>
      </c>
      <c r="AF24" s="117">
        <v>0</v>
      </c>
      <c r="AG24" s="117"/>
      <c r="AH24" s="117"/>
      <c r="AI24" s="117">
        <f t="shared" si="5"/>
        <v>0</v>
      </c>
      <c r="AJ24" s="117"/>
      <c r="AK24" s="117"/>
      <c r="AL24" s="117">
        <f t="shared" si="6"/>
        <v>0</v>
      </c>
      <c r="AM24" s="117"/>
      <c r="AN24" s="117">
        <f t="shared" si="7"/>
        <v>0</v>
      </c>
      <c r="AO24" s="117"/>
      <c r="AP24" s="117"/>
      <c r="AQ24" s="117"/>
      <c r="AR24" s="117">
        <v>0</v>
      </c>
      <c r="AS24" s="117"/>
      <c r="AT24" s="117"/>
      <c r="AU24" s="117">
        <f t="shared" si="8"/>
        <v>0</v>
      </c>
      <c r="AV24" s="117"/>
      <c r="AW24" s="117"/>
      <c r="AX24" s="117">
        <f t="shared" si="9"/>
        <v>0</v>
      </c>
      <c r="AY24" s="120">
        <f t="shared" si="10"/>
        <v>0</v>
      </c>
      <c r="AZ24" s="120">
        <v>0</v>
      </c>
      <c r="BA24" s="120">
        <f t="shared" si="11"/>
        <v>0</v>
      </c>
      <c r="BB24" s="121">
        <v>0</v>
      </c>
    </row>
    <row r="25" spans="1:54" ht="17.25" customHeight="1">
      <c r="A25" s="80">
        <v>1712</v>
      </c>
      <c r="B25" s="81" t="s">
        <v>13</v>
      </c>
      <c r="C25" s="117">
        <v>322954</v>
      </c>
      <c r="D25" s="117"/>
      <c r="E25" s="117"/>
      <c r="F25" s="117">
        <v>322954</v>
      </c>
      <c r="G25" s="117">
        <v>30000</v>
      </c>
      <c r="H25" s="117"/>
      <c r="I25" s="117">
        <v>292954</v>
      </c>
      <c r="J25" s="117"/>
      <c r="K25" s="117"/>
      <c r="L25" s="117">
        <f t="shared" si="0"/>
        <v>292954</v>
      </c>
      <c r="M25" s="117">
        <f>100000+250000</f>
        <v>350000</v>
      </c>
      <c r="N25" s="117"/>
      <c r="O25" s="117"/>
      <c r="P25" s="117">
        <f t="shared" si="1"/>
        <v>642954</v>
      </c>
      <c r="Q25" s="117">
        <v>322954</v>
      </c>
      <c r="R25" s="117"/>
      <c r="S25" s="117">
        <v>60933</v>
      </c>
      <c r="T25" s="118">
        <v>383887</v>
      </c>
      <c r="U25" s="117"/>
      <c r="V25" s="117">
        <v>47000</v>
      </c>
      <c r="W25" s="117">
        <f t="shared" si="2"/>
        <v>430887</v>
      </c>
      <c r="X25" s="117"/>
      <c r="Y25" s="117"/>
      <c r="Z25" s="117">
        <f t="shared" si="3"/>
        <v>430887</v>
      </c>
      <c r="AA25" s="119">
        <v>5126</v>
      </c>
      <c r="AB25" s="117"/>
      <c r="AC25" s="117"/>
      <c r="AD25" s="117"/>
      <c r="AE25" s="117">
        <f t="shared" si="4"/>
        <v>430887</v>
      </c>
      <c r="AF25" s="117">
        <v>5126</v>
      </c>
      <c r="AG25" s="117"/>
      <c r="AH25" s="117"/>
      <c r="AI25" s="117">
        <f t="shared" si="5"/>
        <v>5126</v>
      </c>
      <c r="AJ25" s="117"/>
      <c r="AK25" s="117"/>
      <c r="AL25" s="117">
        <f t="shared" si="6"/>
        <v>5126</v>
      </c>
      <c r="AM25" s="117"/>
      <c r="AN25" s="117">
        <f t="shared" si="7"/>
        <v>5126</v>
      </c>
      <c r="AO25" s="117"/>
      <c r="AP25" s="117"/>
      <c r="AQ25" s="117"/>
      <c r="AR25" s="117">
        <v>0</v>
      </c>
      <c r="AS25" s="117"/>
      <c r="AT25" s="117"/>
      <c r="AU25" s="117">
        <f t="shared" si="8"/>
        <v>0</v>
      </c>
      <c r="AV25" s="117"/>
      <c r="AW25" s="117"/>
      <c r="AX25" s="117">
        <f t="shared" si="9"/>
        <v>0</v>
      </c>
      <c r="AY25" s="120">
        <f t="shared" si="10"/>
        <v>1078967</v>
      </c>
      <c r="AZ25" s="120">
        <v>998207.1699999999</v>
      </c>
      <c r="BA25" s="120">
        <f t="shared" si="11"/>
        <v>80759.83000000007</v>
      </c>
      <c r="BB25" s="121">
        <f>AZ25/AY25</f>
        <v>0.9251507877442035</v>
      </c>
    </row>
    <row r="26" spans="1:54" ht="15.75" customHeight="1">
      <c r="A26" s="80">
        <v>1713</v>
      </c>
      <c r="B26" s="81" t="s">
        <v>169</v>
      </c>
      <c r="C26" s="117">
        <v>17200</v>
      </c>
      <c r="D26" s="117"/>
      <c r="E26" s="117"/>
      <c r="F26" s="117">
        <v>17200</v>
      </c>
      <c r="G26" s="117"/>
      <c r="H26" s="117"/>
      <c r="I26" s="117">
        <v>17200</v>
      </c>
      <c r="J26" s="117"/>
      <c r="K26" s="117"/>
      <c r="L26" s="117">
        <f t="shared" si="0"/>
        <v>17200</v>
      </c>
      <c r="M26" s="117"/>
      <c r="N26" s="117"/>
      <c r="O26" s="117"/>
      <c r="P26" s="117">
        <f t="shared" si="1"/>
        <v>17200</v>
      </c>
      <c r="Q26" s="117"/>
      <c r="R26" s="117"/>
      <c r="S26" s="117"/>
      <c r="T26" s="118">
        <v>0</v>
      </c>
      <c r="U26" s="117"/>
      <c r="V26" s="117"/>
      <c r="W26" s="117">
        <f t="shared" si="2"/>
        <v>0</v>
      </c>
      <c r="X26" s="117"/>
      <c r="Y26" s="117"/>
      <c r="Z26" s="117">
        <f t="shared" si="3"/>
        <v>0</v>
      </c>
      <c r="AA26" s="119"/>
      <c r="AB26" s="117"/>
      <c r="AC26" s="117"/>
      <c r="AD26" s="117"/>
      <c r="AE26" s="117">
        <f t="shared" si="4"/>
        <v>0</v>
      </c>
      <c r="AF26" s="117">
        <v>0</v>
      </c>
      <c r="AG26" s="117"/>
      <c r="AH26" s="117"/>
      <c r="AI26" s="117">
        <f t="shared" si="5"/>
        <v>0</v>
      </c>
      <c r="AJ26" s="117"/>
      <c r="AK26" s="117"/>
      <c r="AL26" s="117">
        <f t="shared" si="6"/>
        <v>0</v>
      </c>
      <c r="AM26" s="117"/>
      <c r="AN26" s="117">
        <f t="shared" si="7"/>
        <v>0</v>
      </c>
      <c r="AO26" s="117"/>
      <c r="AP26" s="117"/>
      <c r="AQ26" s="117"/>
      <c r="AR26" s="117">
        <v>0</v>
      </c>
      <c r="AS26" s="117"/>
      <c r="AT26" s="117"/>
      <c r="AU26" s="117">
        <f t="shared" si="8"/>
        <v>0</v>
      </c>
      <c r="AV26" s="117"/>
      <c r="AW26" s="117"/>
      <c r="AX26" s="117">
        <f t="shared" si="9"/>
        <v>0</v>
      </c>
      <c r="AY26" s="120">
        <f t="shared" si="10"/>
        <v>17200</v>
      </c>
      <c r="AZ26" s="120">
        <v>16512</v>
      </c>
      <c r="BA26" s="120">
        <f t="shared" si="11"/>
        <v>688</v>
      </c>
      <c r="BB26" s="121">
        <f>AZ26/AY26</f>
        <v>0.96</v>
      </c>
    </row>
    <row r="27" spans="1:54" ht="15.75" customHeight="1">
      <c r="A27" s="80">
        <v>1715</v>
      </c>
      <c r="B27" s="81" t="s">
        <v>170</v>
      </c>
      <c r="C27" s="117">
        <v>200000</v>
      </c>
      <c r="D27" s="117"/>
      <c r="E27" s="117"/>
      <c r="F27" s="117">
        <v>200000</v>
      </c>
      <c r="G27" s="117"/>
      <c r="H27" s="117">
        <v>90000</v>
      </c>
      <c r="I27" s="117">
        <v>290000</v>
      </c>
      <c r="J27" s="117"/>
      <c r="K27" s="117">
        <v>18000</v>
      </c>
      <c r="L27" s="117">
        <f t="shared" si="0"/>
        <v>308000</v>
      </c>
      <c r="M27" s="117"/>
      <c r="N27" s="117"/>
      <c r="O27" s="117"/>
      <c r="P27" s="117">
        <f t="shared" si="1"/>
        <v>308000</v>
      </c>
      <c r="Q27" s="117"/>
      <c r="R27" s="117"/>
      <c r="S27" s="117"/>
      <c r="T27" s="118">
        <v>0</v>
      </c>
      <c r="U27" s="117"/>
      <c r="V27" s="117"/>
      <c r="W27" s="117">
        <f t="shared" si="2"/>
        <v>0</v>
      </c>
      <c r="X27" s="117"/>
      <c r="Y27" s="117"/>
      <c r="Z27" s="117">
        <f t="shared" si="3"/>
        <v>0</v>
      </c>
      <c r="AA27" s="119"/>
      <c r="AB27" s="117"/>
      <c r="AC27" s="117"/>
      <c r="AD27" s="117"/>
      <c r="AE27" s="117">
        <f t="shared" si="4"/>
        <v>0</v>
      </c>
      <c r="AF27" s="117">
        <v>0</v>
      </c>
      <c r="AG27" s="117"/>
      <c r="AH27" s="117"/>
      <c r="AI27" s="117">
        <f t="shared" si="5"/>
        <v>0</v>
      </c>
      <c r="AJ27" s="117"/>
      <c r="AK27" s="117"/>
      <c r="AL27" s="117">
        <f t="shared" si="6"/>
        <v>0</v>
      </c>
      <c r="AM27" s="117"/>
      <c r="AN27" s="117">
        <f t="shared" si="7"/>
        <v>0</v>
      </c>
      <c r="AO27" s="117"/>
      <c r="AP27" s="117"/>
      <c r="AQ27" s="117"/>
      <c r="AR27" s="117">
        <v>0</v>
      </c>
      <c r="AS27" s="117"/>
      <c r="AT27" s="117"/>
      <c r="AU27" s="117">
        <f t="shared" si="8"/>
        <v>0</v>
      </c>
      <c r="AV27" s="117"/>
      <c r="AW27" s="117"/>
      <c r="AX27" s="117">
        <f t="shared" si="9"/>
        <v>0</v>
      </c>
      <c r="AY27" s="120">
        <f t="shared" si="10"/>
        <v>308000</v>
      </c>
      <c r="AZ27" s="120">
        <v>307788.19</v>
      </c>
      <c r="BA27" s="120">
        <f t="shared" si="11"/>
        <v>211.80999999999767</v>
      </c>
      <c r="BB27" s="121">
        <f>AZ27/AY27</f>
        <v>0.9993123051948052</v>
      </c>
    </row>
    <row r="28" spans="1:54" ht="15.75" customHeight="1">
      <c r="A28" s="80">
        <v>1716</v>
      </c>
      <c r="B28" s="81" t="s">
        <v>171</v>
      </c>
      <c r="C28" s="117"/>
      <c r="D28" s="117"/>
      <c r="E28" s="117"/>
      <c r="F28" s="117">
        <v>0</v>
      </c>
      <c r="G28" s="117"/>
      <c r="H28" s="117"/>
      <c r="I28" s="117">
        <v>0</v>
      </c>
      <c r="J28" s="117"/>
      <c r="K28" s="117"/>
      <c r="L28" s="117">
        <f t="shared" si="0"/>
        <v>0</v>
      </c>
      <c r="M28" s="117"/>
      <c r="N28" s="117"/>
      <c r="O28" s="117"/>
      <c r="P28" s="117">
        <f t="shared" si="1"/>
        <v>0</v>
      </c>
      <c r="Q28" s="117"/>
      <c r="R28" s="117"/>
      <c r="S28" s="117"/>
      <c r="T28" s="118">
        <v>0</v>
      </c>
      <c r="U28" s="117"/>
      <c r="V28" s="117"/>
      <c r="W28" s="117">
        <f t="shared" si="2"/>
        <v>0</v>
      </c>
      <c r="X28" s="117"/>
      <c r="Y28" s="117"/>
      <c r="Z28" s="117">
        <f t="shared" si="3"/>
        <v>0</v>
      </c>
      <c r="AA28" s="119"/>
      <c r="AB28" s="117"/>
      <c r="AC28" s="117"/>
      <c r="AD28" s="117"/>
      <c r="AE28" s="117">
        <f t="shared" si="4"/>
        <v>0</v>
      </c>
      <c r="AF28" s="117">
        <v>0</v>
      </c>
      <c r="AG28" s="117"/>
      <c r="AH28" s="117"/>
      <c r="AI28" s="117">
        <f t="shared" si="5"/>
        <v>0</v>
      </c>
      <c r="AJ28" s="117"/>
      <c r="AK28" s="117"/>
      <c r="AL28" s="117">
        <f t="shared" si="6"/>
        <v>0</v>
      </c>
      <c r="AM28" s="117"/>
      <c r="AN28" s="117">
        <f t="shared" si="7"/>
        <v>0</v>
      </c>
      <c r="AO28" s="117"/>
      <c r="AP28" s="117"/>
      <c r="AQ28" s="117"/>
      <c r="AR28" s="117">
        <v>0</v>
      </c>
      <c r="AS28" s="117"/>
      <c r="AT28" s="117"/>
      <c r="AU28" s="117">
        <f t="shared" si="8"/>
        <v>0</v>
      </c>
      <c r="AV28" s="117"/>
      <c r="AW28" s="117"/>
      <c r="AX28" s="117">
        <f t="shared" si="9"/>
        <v>0</v>
      </c>
      <c r="AY28" s="120">
        <f t="shared" si="10"/>
        <v>0</v>
      </c>
      <c r="AZ28" s="120">
        <v>0</v>
      </c>
      <c r="BA28" s="120">
        <f t="shared" si="11"/>
        <v>0</v>
      </c>
      <c r="BB28" s="121">
        <v>0</v>
      </c>
    </row>
    <row r="29" spans="1:54" ht="15.75" customHeight="1">
      <c r="A29" s="80">
        <v>1719</v>
      </c>
      <c r="B29" s="81" t="s">
        <v>71</v>
      </c>
      <c r="C29" s="117">
        <v>297475</v>
      </c>
      <c r="D29" s="117"/>
      <c r="E29" s="117"/>
      <c r="F29" s="117">
        <v>297475</v>
      </c>
      <c r="G29" s="117">
        <v>29000</v>
      </c>
      <c r="H29" s="117"/>
      <c r="I29" s="117">
        <v>268475</v>
      </c>
      <c r="J29" s="117"/>
      <c r="K29" s="117"/>
      <c r="L29" s="117">
        <f t="shared" si="0"/>
        <v>268475</v>
      </c>
      <c r="M29" s="117">
        <f>64000+180000</f>
        <v>244000</v>
      </c>
      <c r="N29" s="117"/>
      <c r="O29" s="117"/>
      <c r="P29" s="117">
        <f t="shared" si="1"/>
        <v>512475</v>
      </c>
      <c r="Q29" s="117">
        <v>247475</v>
      </c>
      <c r="R29" s="117"/>
      <c r="S29" s="117">
        <v>60000</v>
      </c>
      <c r="T29" s="118">
        <v>307475</v>
      </c>
      <c r="U29" s="117"/>
      <c r="V29" s="117">
        <v>11245</v>
      </c>
      <c r="W29" s="117">
        <f t="shared" si="2"/>
        <v>318720</v>
      </c>
      <c r="X29" s="117"/>
      <c r="Y29" s="117"/>
      <c r="Z29" s="117">
        <f t="shared" si="3"/>
        <v>318720</v>
      </c>
      <c r="AA29" s="119">
        <v>6638</v>
      </c>
      <c r="AB29" s="117"/>
      <c r="AC29" s="117"/>
      <c r="AD29" s="117"/>
      <c r="AE29" s="117">
        <f t="shared" si="4"/>
        <v>318720</v>
      </c>
      <c r="AF29" s="117">
        <v>6638</v>
      </c>
      <c r="AG29" s="117"/>
      <c r="AH29" s="117"/>
      <c r="AI29" s="117">
        <f t="shared" si="5"/>
        <v>6638</v>
      </c>
      <c r="AJ29" s="117"/>
      <c r="AK29" s="117"/>
      <c r="AL29" s="117">
        <f t="shared" si="6"/>
        <v>6638</v>
      </c>
      <c r="AM29" s="117"/>
      <c r="AN29" s="117">
        <f t="shared" si="7"/>
        <v>6638</v>
      </c>
      <c r="AO29" s="117"/>
      <c r="AP29" s="117"/>
      <c r="AQ29" s="117"/>
      <c r="AR29" s="117">
        <v>0</v>
      </c>
      <c r="AS29" s="117"/>
      <c r="AT29" s="117"/>
      <c r="AU29" s="117">
        <f t="shared" si="8"/>
        <v>0</v>
      </c>
      <c r="AV29" s="117"/>
      <c r="AW29" s="117"/>
      <c r="AX29" s="117">
        <f t="shared" si="9"/>
        <v>0</v>
      </c>
      <c r="AY29" s="120">
        <f t="shared" si="10"/>
        <v>837833</v>
      </c>
      <c r="AZ29" s="120">
        <v>832991.11</v>
      </c>
      <c r="BA29" s="120">
        <f t="shared" si="11"/>
        <v>4841.890000000014</v>
      </c>
      <c r="BB29" s="121">
        <f>AZ29/AY29</f>
        <v>0.9942209366305695</v>
      </c>
    </row>
    <row r="30" spans="1:54" ht="15">
      <c r="A30" s="122"/>
      <c r="B30" s="83" t="s">
        <v>41</v>
      </c>
      <c r="C30" s="122">
        <v>5874142</v>
      </c>
      <c r="D30" s="122">
        <v>0</v>
      </c>
      <c r="E30" s="122">
        <v>0</v>
      </c>
      <c r="F30" s="122">
        <v>5874142</v>
      </c>
      <c r="G30" s="122">
        <v>90000</v>
      </c>
      <c r="H30" s="122">
        <v>90000</v>
      </c>
      <c r="I30" s="122">
        <f aca="true" t="shared" si="13" ref="I30:BA30">SUM(I9:I29)</f>
        <v>5874142</v>
      </c>
      <c r="J30" s="122">
        <f t="shared" si="13"/>
        <v>18000</v>
      </c>
      <c r="K30" s="122">
        <f t="shared" si="13"/>
        <v>18000</v>
      </c>
      <c r="L30" s="122">
        <f t="shared" si="13"/>
        <v>5874142</v>
      </c>
      <c r="M30" s="122">
        <f t="shared" si="13"/>
        <v>2554963</v>
      </c>
      <c r="N30" s="122">
        <f t="shared" si="13"/>
        <v>0</v>
      </c>
      <c r="O30" s="122">
        <f t="shared" si="13"/>
        <v>0</v>
      </c>
      <c r="P30" s="122">
        <f t="shared" si="13"/>
        <v>8429105</v>
      </c>
      <c r="Q30" s="122">
        <f t="shared" si="13"/>
        <v>7514828</v>
      </c>
      <c r="R30" s="122">
        <f t="shared" si="13"/>
        <v>0</v>
      </c>
      <c r="S30" s="122">
        <f t="shared" si="13"/>
        <v>572178</v>
      </c>
      <c r="T30" s="122">
        <f t="shared" si="13"/>
        <v>8087006</v>
      </c>
      <c r="U30" s="122">
        <f t="shared" si="13"/>
        <v>0</v>
      </c>
      <c r="V30" s="122">
        <f t="shared" si="13"/>
        <v>597674.23</v>
      </c>
      <c r="W30" s="122">
        <f t="shared" si="13"/>
        <v>8684680.23</v>
      </c>
      <c r="X30" s="122">
        <f t="shared" si="13"/>
        <v>0</v>
      </c>
      <c r="Y30" s="122">
        <f t="shared" si="13"/>
        <v>0</v>
      </c>
      <c r="Z30" s="122">
        <f t="shared" si="13"/>
        <v>8684680.23</v>
      </c>
      <c r="AA30" s="122">
        <f t="shared" si="13"/>
        <v>140000</v>
      </c>
      <c r="AB30" s="122">
        <f t="shared" si="13"/>
        <v>0</v>
      </c>
      <c r="AC30" s="122">
        <f t="shared" si="13"/>
        <v>0</v>
      </c>
      <c r="AD30" s="122">
        <f t="shared" si="13"/>
        <v>18833.88</v>
      </c>
      <c r="AE30" s="122">
        <f t="shared" si="13"/>
        <v>8703514.11</v>
      </c>
      <c r="AF30" s="122">
        <f t="shared" si="13"/>
        <v>140000</v>
      </c>
      <c r="AG30" s="122">
        <f t="shared" si="13"/>
        <v>0</v>
      </c>
      <c r="AH30" s="122">
        <f t="shared" si="13"/>
        <v>0</v>
      </c>
      <c r="AI30" s="122">
        <f t="shared" si="13"/>
        <v>140000</v>
      </c>
      <c r="AJ30" s="122">
        <f t="shared" si="13"/>
        <v>0</v>
      </c>
      <c r="AK30" s="122">
        <f t="shared" si="13"/>
        <v>0</v>
      </c>
      <c r="AL30" s="122">
        <f t="shared" si="13"/>
        <v>140000</v>
      </c>
      <c r="AM30" s="122">
        <f t="shared" si="13"/>
        <v>0</v>
      </c>
      <c r="AN30" s="122">
        <f t="shared" si="13"/>
        <v>140000</v>
      </c>
      <c r="AO30" s="122">
        <f t="shared" si="13"/>
        <v>0</v>
      </c>
      <c r="AP30" s="122">
        <f t="shared" si="13"/>
        <v>0</v>
      </c>
      <c r="AQ30" s="122">
        <f t="shared" si="13"/>
        <v>0</v>
      </c>
      <c r="AR30" s="122">
        <f t="shared" si="13"/>
        <v>0</v>
      </c>
      <c r="AS30" s="122">
        <f t="shared" si="13"/>
        <v>0</v>
      </c>
      <c r="AT30" s="122">
        <f t="shared" si="13"/>
        <v>0</v>
      </c>
      <c r="AU30" s="122">
        <f t="shared" si="13"/>
        <v>0</v>
      </c>
      <c r="AV30" s="122">
        <f t="shared" si="13"/>
        <v>0</v>
      </c>
      <c r="AW30" s="122">
        <f t="shared" si="13"/>
        <v>0</v>
      </c>
      <c r="AX30" s="122">
        <f t="shared" si="13"/>
        <v>0</v>
      </c>
      <c r="AY30" s="122">
        <f t="shared" si="13"/>
        <v>17272619.11</v>
      </c>
      <c r="AZ30" s="122">
        <f t="shared" si="13"/>
        <v>14617817.882</v>
      </c>
      <c r="BA30" s="122">
        <f t="shared" si="13"/>
        <v>2654801.228</v>
      </c>
      <c r="BB30" s="123">
        <f>AZ30/AY30</f>
        <v>0.8463000190594719</v>
      </c>
    </row>
    <row r="31" spans="1:54" ht="15.75">
      <c r="A31" s="197" t="s">
        <v>59</v>
      </c>
      <c r="B31" s="197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24"/>
      <c r="AS31" s="124"/>
      <c r="AT31" s="124"/>
      <c r="AU31" s="124"/>
      <c r="AV31" s="124"/>
      <c r="AW31" s="124"/>
      <c r="AX31" s="124"/>
      <c r="AY31" s="120"/>
      <c r="AZ31" s="120"/>
      <c r="BA31" s="120"/>
      <c r="BB31" s="121"/>
    </row>
    <row r="32" spans="1:54" ht="15.75">
      <c r="A32" s="80">
        <v>2111</v>
      </c>
      <c r="B32" s="81" t="s">
        <v>14</v>
      </c>
      <c r="C32" s="118"/>
      <c r="D32" s="117"/>
      <c r="E32" s="117"/>
      <c r="F32" s="117">
        <v>0</v>
      </c>
      <c r="G32" s="117"/>
      <c r="H32" s="117"/>
      <c r="I32" s="117">
        <v>0</v>
      </c>
      <c r="J32" s="117"/>
      <c r="K32" s="117"/>
      <c r="L32" s="117">
        <f aca="true" t="shared" si="14" ref="L32:L70">+I32-J32+K32</f>
        <v>0</v>
      </c>
      <c r="M32" s="117"/>
      <c r="N32" s="117"/>
      <c r="O32" s="117"/>
      <c r="P32" s="117">
        <f aca="true" t="shared" si="15" ref="P32:P70">+L32+M32-N32+O32</f>
        <v>0</v>
      </c>
      <c r="Q32" s="118"/>
      <c r="R32" s="117"/>
      <c r="S32" s="117"/>
      <c r="T32" s="118"/>
      <c r="U32" s="117"/>
      <c r="V32" s="117"/>
      <c r="W32" s="117">
        <f aca="true" t="shared" si="16" ref="W32:W70">+T32+V32-U32</f>
        <v>0</v>
      </c>
      <c r="X32" s="117"/>
      <c r="Y32" s="117"/>
      <c r="Z32" s="117">
        <f aca="true" t="shared" si="17" ref="Z32:Z70">+W32-X32+Y32</f>
        <v>0</v>
      </c>
      <c r="AA32" s="118">
        <v>24000</v>
      </c>
      <c r="AB32" s="117"/>
      <c r="AC32" s="117"/>
      <c r="AD32" s="117"/>
      <c r="AE32" s="117">
        <f aca="true" t="shared" si="18" ref="AE32:AE70">+W32+AD32</f>
        <v>0</v>
      </c>
      <c r="AF32" s="117">
        <v>24000</v>
      </c>
      <c r="AG32" s="117"/>
      <c r="AH32" s="117"/>
      <c r="AI32" s="117">
        <f aca="true" t="shared" si="19" ref="AI32:AI71">+AF32-AG32+AH32</f>
        <v>24000</v>
      </c>
      <c r="AJ32" s="117"/>
      <c r="AK32" s="117"/>
      <c r="AL32" s="117">
        <f aca="true" t="shared" si="20" ref="AL32:AL70">+AI32-AJ32+AK32</f>
        <v>24000</v>
      </c>
      <c r="AM32" s="117"/>
      <c r="AN32" s="117">
        <f aca="true" t="shared" si="21" ref="AN32:AN70">+AL32+AM32</f>
        <v>24000</v>
      </c>
      <c r="AO32" s="118">
        <v>40000</v>
      </c>
      <c r="AP32" s="118"/>
      <c r="AQ32" s="118"/>
      <c r="AR32" s="118">
        <v>40000</v>
      </c>
      <c r="AS32" s="118"/>
      <c r="AT32" s="118"/>
      <c r="AU32" s="117">
        <f aca="true" t="shared" si="22" ref="AU32:AU70">+AR32-AS32+AT32</f>
        <v>40000</v>
      </c>
      <c r="AV32" s="117"/>
      <c r="AW32" s="117"/>
      <c r="AX32" s="117">
        <f aca="true" t="shared" si="23" ref="AX32:AX70">+AU32-AV32+AW32</f>
        <v>40000</v>
      </c>
      <c r="AY32" s="120">
        <f aca="true" t="shared" si="24" ref="AY32:AY70">+P32+AE32+AN32+AX32</f>
        <v>64000</v>
      </c>
      <c r="AZ32" s="120">
        <v>63902.33</v>
      </c>
      <c r="BA32" s="120">
        <f aca="true" t="shared" si="25" ref="BA32:BA70">+AY32-AZ32</f>
        <v>97.66999999999825</v>
      </c>
      <c r="BB32" s="121">
        <f aca="true" t="shared" si="26" ref="BB32:BB38">AZ32/AY32</f>
        <v>0.99847390625</v>
      </c>
    </row>
    <row r="33" spans="1:54" ht="15.75">
      <c r="A33" s="80">
        <v>2121</v>
      </c>
      <c r="B33" s="81" t="s">
        <v>15</v>
      </c>
      <c r="C33" s="118"/>
      <c r="D33" s="117"/>
      <c r="E33" s="117"/>
      <c r="F33" s="117">
        <v>0</v>
      </c>
      <c r="G33" s="117"/>
      <c r="H33" s="117"/>
      <c r="I33" s="117">
        <v>0</v>
      </c>
      <c r="J33" s="117"/>
      <c r="K33" s="117"/>
      <c r="L33" s="117">
        <f t="shared" si="14"/>
        <v>0</v>
      </c>
      <c r="M33" s="117"/>
      <c r="N33" s="117"/>
      <c r="O33" s="117"/>
      <c r="P33" s="117">
        <f t="shared" si="15"/>
        <v>0</v>
      </c>
      <c r="Q33" s="118"/>
      <c r="R33" s="117"/>
      <c r="S33" s="117"/>
      <c r="T33" s="118"/>
      <c r="U33" s="117"/>
      <c r="V33" s="117"/>
      <c r="W33" s="117">
        <f t="shared" si="16"/>
        <v>0</v>
      </c>
      <c r="X33" s="117"/>
      <c r="Y33" s="117"/>
      <c r="Z33" s="117">
        <f t="shared" si="17"/>
        <v>0</v>
      </c>
      <c r="AA33" s="118">
        <v>60000</v>
      </c>
      <c r="AB33" s="117">
        <v>6000</v>
      </c>
      <c r="AC33" s="117"/>
      <c r="AD33" s="117"/>
      <c r="AE33" s="117">
        <f t="shared" si="18"/>
        <v>0</v>
      </c>
      <c r="AF33" s="117">
        <v>54000</v>
      </c>
      <c r="AG33" s="117"/>
      <c r="AH33" s="117"/>
      <c r="AI33" s="117">
        <f t="shared" si="19"/>
        <v>54000</v>
      </c>
      <c r="AJ33" s="117"/>
      <c r="AK33" s="117"/>
      <c r="AL33" s="117">
        <f t="shared" si="20"/>
        <v>54000</v>
      </c>
      <c r="AM33" s="117"/>
      <c r="AN33" s="117">
        <f t="shared" si="21"/>
        <v>54000</v>
      </c>
      <c r="AO33" s="118"/>
      <c r="AP33" s="118"/>
      <c r="AQ33" s="118"/>
      <c r="AR33" s="118">
        <v>0</v>
      </c>
      <c r="AS33" s="118"/>
      <c r="AT33" s="118"/>
      <c r="AU33" s="117">
        <f t="shared" si="22"/>
        <v>0</v>
      </c>
      <c r="AV33" s="117"/>
      <c r="AW33" s="117"/>
      <c r="AX33" s="117">
        <f t="shared" si="23"/>
        <v>0</v>
      </c>
      <c r="AY33" s="120">
        <f t="shared" si="24"/>
        <v>54000</v>
      </c>
      <c r="AZ33" s="120">
        <v>47426.6</v>
      </c>
      <c r="BA33" s="120">
        <f t="shared" si="25"/>
        <v>6573.4000000000015</v>
      </c>
      <c r="BB33" s="121">
        <f t="shared" si="26"/>
        <v>0.8782703703703704</v>
      </c>
    </row>
    <row r="34" spans="1:54" ht="25.5">
      <c r="A34" s="80">
        <v>2141</v>
      </c>
      <c r="B34" s="81" t="s">
        <v>72</v>
      </c>
      <c r="C34" s="118"/>
      <c r="D34" s="117"/>
      <c r="E34" s="117"/>
      <c r="F34" s="117">
        <v>0</v>
      </c>
      <c r="G34" s="117"/>
      <c r="H34" s="117"/>
      <c r="I34" s="117">
        <v>0</v>
      </c>
      <c r="J34" s="117"/>
      <c r="K34" s="117"/>
      <c r="L34" s="117">
        <f t="shared" si="14"/>
        <v>0</v>
      </c>
      <c r="M34" s="117"/>
      <c r="N34" s="117"/>
      <c r="O34" s="117"/>
      <c r="P34" s="117">
        <f t="shared" si="15"/>
        <v>0</v>
      </c>
      <c r="Q34" s="118"/>
      <c r="R34" s="117"/>
      <c r="S34" s="117"/>
      <c r="T34" s="118"/>
      <c r="U34" s="117"/>
      <c r="V34" s="117"/>
      <c r="W34" s="117">
        <f t="shared" si="16"/>
        <v>0</v>
      </c>
      <c r="X34" s="117"/>
      <c r="Y34" s="117"/>
      <c r="Z34" s="117">
        <f t="shared" si="17"/>
        <v>0</v>
      </c>
      <c r="AA34" s="118">
        <v>30000</v>
      </c>
      <c r="AB34" s="117"/>
      <c r="AC34" s="117"/>
      <c r="AD34" s="117"/>
      <c r="AE34" s="117">
        <f t="shared" si="18"/>
        <v>0</v>
      </c>
      <c r="AF34" s="117">
        <v>30000</v>
      </c>
      <c r="AG34" s="117"/>
      <c r="AH34" s="117"/>
      <c r="AI34" s="117">
        <f t="shared" si="19"/>
        <v>30000</v>
      </c>
      <c r="AJ34" s="117"/>
      <c r="AK34" s="117"/>
      <c r="AL34" s="117">
        <f t="shared" si="20"/>
        <v>30000</v>
      </c>
      <c r="AM34" s="117"/>
      <c r="AN34" s="117">
        <f t="shared" si="21"/>
        <v>30000</v>
      </c>
      <c r="AO34" s="118">
        <f>30000+50000</f>
        <v>80000</v>
      </c>
      <c r="AP34" s="118"/>
      <c r="AQ34" s="118"/>
      <c r="AR34" s="118">
        <v>80000</v>
      </c>
      <c r="AS34" s="118"/>
      <c r="AT34" s="118"/>
      <c r="AU34" s="117">
        <f t="shared" si="22"/>
        <v>80000</v>
      </c>
      <c r="AV34" s="117"/>
      <c r="AW34" s="117"/>
      <c r="AX34" s="117">
        <f t="shared" si="23"/>
        <v>80000</v>
      </c>
      <c r="AY34" s="120">
        <f t="shared" si="24"/>
        <v>110000</v>
      </c>
      <c r="AZ34" s="120">
        <v>107595.57</v>
      </c>
      <c r="BA34" s="120">
        <f t="shared" si="25"/>
        <v>2404.429999999993</v>
      </c>
      <c r="BB34" s="121">
        <f t="shared" si="26"/>
        <v>0.9781415454545456</v>
      </c>
    </row>
    <row r="35" spans="1:54" ht="15.75">
      <c r="A35" s="80">
        <v>2151</v>
      </c>
      <c r="B35" s="81" t="s">
        <v>73</v>
      </c>
      <c r="C35" s="118"/>
      <c r="D35" s="117"/>
      <c r="E35" s="117"/>
      <c r="F35" s="117">
        <v>0</v>
      </c>
      <c r="G35" s="117"/>
      <c r="H35" s="117"/>
      <c r="I35" s="117">
        <v>0</v>
      </c>
      <c r="J35" s="117"/>
      <c r="K35" s="117"/>
      <c r="L35" s="117">
        <f t="shared" si="14"/>
        <v>0</v>
      </c>
      <c r="M35" s="117"/>
      <c r="N35" s="117"/>
      <c r="O35" s="117"/>
      <c r="P35" s="117">
        <f t="shared" si="15"/>
        <v>0</v>
      </c>
      <c r="Q35" s="118"/>
      <c r="R35" s="117"/>
      <c r="S35" s="117"/>
      <c r="T35" s="118"/>
      <c r="U35" s="117"/>
      <c r="V35" s="117"/>
      <c r="W35" s="117">
        <f t="shared" si="16"/>
        <v>0</v>
      </c>
      <c r="X35" s="117"/>
      <c r="Y35" s="117"/>
      <c r="Z35" s="117">
        <f t="shared" si="17"/>
        <v>0</v>
      </c>
      <c r="AA35" s="118">
        <v>15000</v>
      </c>
      <c r="AB35" s="117"/>
      <c r="AC35" s="117"/>
      <c r="AD35" s="117"/>
      <c r="AE35" s="117">
        <f t="shared" si="18"/>
        <v>0</v>
      </c>
      <c r="AF35" s="117">
        <v>15000</v>
      </c>
      <c r="AG35" s="117"/>
      <c r="AH35" s="117"/>
      <c r="AI35" s="117">
        <f t="shared" si="19"/>
        <v>15000</v>
      </c>
      <c r="AJ35" s="117"/>
      <c r="AK35" s="117"/>
      <c r="AL35" s="117">
        <f t="shared" si="20"/>
        <v>15000</v>
      </c>
      <c r="AM35" s="117"/>
      <c r="AN35" s="117">
        <f t="shared" si="21"/>
        <v>15000</v>
      </c>
      <c r="AO35" s="118">
        <v>130000</v>
      </c>
      <c r="AP35" s="118"/>
      <c r="AQ35" s="118"/>
      <c r="AR35" s="118">
        <v>130000</v>
      </c>
      <c r="AS35" s="118"/>
      <c r="AT35" s="118"/>
      <c r="AU35" s="117">
        <f t="shared" si="22"/>
        <v>130000</v>
      </c>
      <c r="AV35" s="117">
        <v>6500</v>
      </c>
      <c r="AW35" s="117"/>
      <c r="AX35" s="117">
        <f t="shared" si="23"/>
        <v>123500</v>
      </c>
      <c r="AY35" s="120">
        <f t="shared" si="24"/>
        <v>138500</v>
      </c>
      <c r="AZ35" s="120">
        <v>137875.6</v>
      </c>
      <c r="BA35" s="120">
        <f t="shared" si="25"/>
        <v>624.3999999999942</v>
      </c>
      <c r="BB35" s="121">
        <f t="shared" si="26"/>
        <v>0.9954916967509025</v>
      </c>
    </row>
    <row r="36" spans="1:54" ht="15.75">
      <c r="A36" s="80">
        <v>2161</v>
      </c>
      <c r="B36" s="81" t="s">
        <v>16</v>
      </c>
      <c r="C36" s="118"/>
      <c r="D36" s="117"/>
      <c r="E36" s="117"/>
      <c r="F36" s="117">
        <v>0</v>
      </c>
      <c r="G36" s="117"/>
      <c r="H36" s="117"/>
      <c r="I36" s="117">
        <v>0</v>
      </c>
      <c r="J36" s="117"/>
      <c r="K36" s="117"/>
      <c r="L36" s="117">
        <f t="shared" si="14"/>
        <v>0</v>
      </c>
      <c r="M36" s="117"/>
      <c r="N36" s="117"/>
      <c r="O36" s="117"/>
      <c r="P36" s="117">
        <f t="shared" si="15"/>
        <v>0</v>
      </c>
      <c r="Q36" s="118"/>
      <c r="R36" s="117"/>
      <c r="S36" s="117"/>
      <c r="T36" s="118"/>
      <c r="U36" s="117"/>
      <c r="V36" s="117">
        <v>10000</v>
      </c>
      <c r="W36" s="117">
        <f t="shared" si="16"/>
        <v>10000</v>
      </c>
      <c r="X36" s="117"/>
      <c r="Y36" s="117"/>
      <c r="Z36" s="117">
        <f t="shared" si="17"/>
        <v>10000</v>
      </c>
      <c r="AA36" s="118">
        <v>50000</v>
      </c>
      <c r="AB36" s="117">
        <v>20000</v>
      </c>
      <c r="AC36" s="117"/>
      <c r="AD36" s="117"/>
      <c r="AE36" s="117">
        <f t="shared" si="18"/>
        <v>10000</v>
      </c>
      <c r="AF36" s="117">
        <v>30000</v>
      </c>
      <c r="AG36" s="117"/>
      <c r="AH36" s="117"/>
      <c r="AI36" s="117">
        <f t="shared" si="19"/>
        <v>30000</v>
      </c>
      <c r="AJ36" s="117"/>
      <c r="AK36" s="117"/>
      <c r="AL36" s="117">
        <f t="shared" si="20"/>
        <v>30000</v>
      </c>
      <c r="AM36" s="117"/>
      <c r="AN36" s="117">
        <f t="shared" si="21"/>
        <v>30000</v>
      </c>
      <c r="AO36" s="118">
        <v>180000</v>
      </c>
      <c r="AP36" s="118"/>
      <c r="AQ36" s="118"/>
      <c r="AR36" s="118">
        <v>180000</v>
      </c>
      <c r="AS36" s="118"/>
      <c r="AT36" s="118"/>
      <c r="AU36" s="117">
        <f t="shared" si="22"/>
        <v>180000</v>
      </c>
      <c r="AV36" s="117"/>
      <c r="AW36" s="117"/>
      <c r="AX36" s="117">
        <f t="shared" si="23"/>
        <v>180000</v>
      </c>
      <c r="AY36" s="120">
        <f t="shared" si="24"/>
        <v>220000</v>
      </c>
      <c r="AZ36" s="120">
        <v>219983.13</v>
      </c>
      <c r="BA36" s="120">
        <f t="shared" si="25"/>
        <v>16.869999999995343</v>
      </c>
      <c r="BB36" s="121">
        <f t="shared" si="26"/>
        <v>0.9999233181818182</v>
      </c>
    </row>
    <row r="37" spans="1:54" ht="15.75">
      <c r="A37" s="80">
        <v>2171</v>
      </c>
      <c r="B37" s="81" t="s">
        <v>172</v>
      </c>
      <c r="C37" s="118">
        <v>4000</v>
      </c>
      <c r="D37" s="117"/>
      <c r="E37" s="117"/>
      <c r="F37" s="117">
        <v>4000</v>
      </c>
      <c r="G37" s="117"/>
      <c r="H37" s="117"/>
      <c r="I37" s="117">
        <v>4000</v>
      </c>
      <c r="J37" s="117"/>
      <c r="K37" s="117"/>
      <c r="L37" s="117">
        <f t="shared" si="14"/>
        <v>4000</v>
      </c>
      <c r="M37" s="117"/>
      <c r="N37" s="117"/>
      <c r="O37" s="117"/>
      <c r="P37" s="117">
        <f t="shared" si="15"/>
        <v>4000</v>
      </c>
      <c r="Q37" s="118"/>
      <c r="R37" s="117"/>
      <c r="S37" s="117"/>
      <c r="T37" s="118"/>
      <c r="U37" s="117"/>
      <c r="V37" s="117"/>
      <c r="W37" s="117">
        <f t="shared" si="16"/>
        <v>0</v>
      </c>
      <c r="X37" s="117"/>
      <c r="Y37" s="117"/>
      <c r="Z37" s="117">
        <f t="shared" si="17"/>
        <v>0</v>
      </c>
      <c r="AA37" s="118">
        <v>29350</v>
      </c>
      <c r="AB37" s="117">
        <v>8000</v>
      </c>
      <c r="AC37" s="117"/>
      <c r="AD37" s="117"/>
      <c r="AE37" s="117">
        <f t="shared" si="18"/>
        <v>0</v>
      </c>
      <c r="AF37" s="117">
        <v>21350</v>
      </c>
      <c r="AG37" s="117"/>
      <c r="AH37" s="117"/>
      <c r="AI37" s="117">
        <f t="shared" si="19"/>
        <v>21350</v>
      </c>
      <c r="AJ37" s="117"/>
      <c r="AK37" s="117"/>
      <c r="AL37" s="117">
        <f t="shared" si="20"/>
        <v>21350</v>
      </c>
      <c r="AM37" s="117"/>
      <c r="AN37" s="117">
        <f t="shared" si="21"/>
        <v>21350</v>
      </c>
      <c r="AO37" s="118">
        <v>50000</v>
      </c>
      <c r="AP37" s="118"/>
      <c r="AQ37" s="118"/>
      <c r="AR37" s="118">
        <v>50000</v>
      </c>
      <c r="AS37" s="118"/>
      <c r="AT37" s="118"/>
      <c r="AU37" s="117">
        <f t="shared" si="22"/>
        <v>50000</v>
      </c>
      <c r="AV37" s="117"/>
      <c r="AW37" s="117"/>
      <c r="AX37" s="117">
        <f t="shared" si="23"/>
        <v>50000</v>
      </c>
      <c r="AY37" s="120">
        <f t="shared" si="24"/>
        <v>75350</v>
      </c>
      <c r="AZ37" s="120">
        <v>35287.6</v>
      </c>
      <c r="BA37" s="120">
        <f t="shared" si="25"/>
        <v>40062.4</v>
      </c>
      <c r="BB37" s="121">
        <f t="shared" si="26"/>
        <v>0.46831585932315856</v>
      </c>
    </row>
    <row r="38" spans="1:54" ht="38.25">
      <c r="A38" s="80">
        <v>2212</v>
      </c>
      <c r="B38" s="81" t="s">
        <v>173</v>
      </c>
      <c r="C38" s="118"/>
      <c r="D38" s="117"/>
      <c r="E38" s="117"/>
      <c r="F38" s="117">
        <v>0</v>
      </c>
      <c r="G38" s="117"/>
      <c r="H38" s="117"/>
      <c r="I38" s="117">
        <v>0</v>
      </c>
      <c r="J38" s="117"/>
      <c r="K38" s="117"/>
      <c r="L38" s="117">
        <f t="shared" si="14"/>
        <v>0</v>
      </c>
      <c r="M38" s="117"/>
      <c r="N38" s="117"/>
      <c r="O38" s="117"/>
      <c r="P38" s="117">
        <f t="shared" si="15"/>
        <v>0</v>
      </c>
      <c r="Q38" s="118"/>
      <c r="R38" s="117"/>
      <c r="S38" s="117"/>
      <c r="T38" s="118"/>
      <c r="U38" s="117"/>
      <c r="V38" s="117"/>
      <c r="W38" s="117">
        <f t="shared" si="16"/>
        <v>0</v>
      </c>
      <c r="X38" s="117"/>
      <c r="Y38" s="117"/>
      <c r="Z38" s="117">
        <f t="shared" si="17"/>
        <v>0</v>
      </c>
      <c r="AA38" s="118">
        <v>40000</v>
      </c>
      <c r="AB38" s="117"/>
      <c r="AC38" s="117"/>
      <c r="AD38" s="117"/>
      <c r="AE38" s="117">
        <f t="shared" si="18"/>
        <v>0</v>
      </c>
      <c r="AF38" s="117">
        <v>40000</v>
      </c>
      <c r="AG38" s="117"/>
      <c r="AH38" s="117"/>
      <c r="AI38" s="117">
        <f t="shared" si="19"/>
        <v>40000</v>
      </c>
      <c r="AJ38" s="117"/>
      <c r="AK38" s="117"/>
      <c r="AL38" s="117">
        <f t="shared" si="20"/>
        <v>40000</v>
      </c>
      <c r="AM38" s="117"/>
      <c r="AN38" s="117">
        <f t="shared" si="21"/>
        <v>40000</v>
      </c>
      <c r="AO38" s="118">
        <f>30000+30000</f>
        <v>60000</v>
      </c>
      <c r="AP38" s="118"/>
      <c r="AQ38" s="118"/>
      <c r="AR38" s="118">
        <v>60000</v>
      </c>
      <c r="AS38" s="118"/>
      <c r="AT38" s="118"/>
      <c r="AU38" s="117">
        <f t="shared" si="22"/>
        <v>60000</v>
      </c>
      <c r="AV38" s="117"/>
      <c r="AW38" s="117">
        <v>5500</v>
      </c>
      <c r="AX38" s="117">
        <f t="shared" si="23"/>
        <v>65500</v>
      </c>
      <c r="AY38" s="120">
        <f t="shared" si="24"/>
        <v>105500</v>
      </c>
      <c r="AZ38" s="120">
        <v>103452.66</v>
      </c>
      <c r="BA38" s="120">
        <f t="shared" si="25"/>
        <v>2047.3399999999965</v>
      </c>
      <c r="BB38" s="121">
        <f t="shared" si="26"/>
        <v>0.9805939336492892</v>
      </c>
    </row>
    <row r="39" spans="1:54" ht="31.5" customHeight="1">
      <c r="A39" s="84">
        <v>2214</v>
      </c>
      <c r="B39" s="85" t="s">
        <v>174</v>
      </c>
      <c r="C39" s="118"/>
      <c r="D39" s="117"/>
      <c r="E39" s="117"/>
      <c r="F39" s="117">
        <v>0</v>
      </c>
      <c r="G39" s="117"/>
      <c r="H39" s="117"/>
      <c r="I39" s="117">
        <v>0</v>
      </c>
      <c r="J39" s="117"/>
      <c r="K39" s="117"/>
      <c r="L39" s="117">
        <f t="shared" si="14"/>
        <v>0</v>
      </c>
      <c r="M39" s="117"/>
      <c r="N39" s="117"/>
      <c r="O39" s="117"/>
      <c r="P39" s="117">
        <f t="shared" si="15"/>
        <v>0</v>
      </c>
      <c r="Q39" s="118"/>
      <c r="R39" s="117"/>
      <c r="S39" s="117"/>
      <c r="T39" s="118"/>
      <c r="U39" s="117"/>
      <c r="V39" s="117"/>
      <c r="W39" s="117">
        <f t="shared" si="16"/>
        <v>0</v>
      </c>
      <c r="X39" s="117"/>
      <c r="Y39" s="117"/>
      <c r="Z39" s="117">
        <f t="shared" si="17"/>
        <v>0</v>
      </c>
      <c r="AA39" s="118"/>
      <c r="AB39" s="117"/>
      <c r="AC39" s="117"/>
      <c r="AD39" s="117"/>
      <c r="AE39" s="117">
        <f t="shared" si="18"/>
        <v>0</v>
      </c>
      <c r="AF39" s="117">
        <v>0</v>
      </c>
      <c r="AG39" s="117"/>
      <c r="AH39" s="117"/>
      <c r="AI39" s="117">
        <f t="shared" si="19"/>
        <v>0</v>
      </c>
      <c r="AJ39" s="117"/>
      <c r="AK39" s="117"/>
      <c r="AL39" s="117">
        <f t="shared" si="20"/>
        <v>0</v>
      </c>
      <c r="AM39" s="117"/>
      <c r="AN39" s="117">
        <f t="shared" si="21"/>
        <v>0</v>
      </c>
      <c r="AO39" s="118"/>
      <c r="AP39" s="118"/>
      <c r="AQ39" s="118"/>
      <c r="AR39" s="118">
        <v>0</v>
      </c>
      <c r="AS39" s="118"/>
      <c r="AT39" s="118"/>
      <c r="AU39" s="117">
        <f t="shared" si="22"/>
        <v>0</v>
      </c>
      <c r="AV39" s="117"/>
      <c r="AW39" s="117"/>
      <c r="AX39" s="117">
        <f t="shared" si="23"/>
        <v>0</v>
      </c>
      <c r="AY39" s="120">
        <f t="shared" si="24"/>
        <v>0</v>
      </c>
      <c r="AZ39" s="120">
        <v>0</v>
      </c>
      <c r="BA39" s="120">
        <f t="shared" si="25"/>
        <v>0</v>
      </c>
      <c r="BB39" s="121">
        <v>0</v>
      </c>
    </row>
    <row r="40" spans="1:54" ht="15.75" customHeight="1">
      <c r="A40" s="80">
        <v>2231</v>
      </c>
      <c r="B40" s="81" t="s">
        <v>17</v>
      </c>
      <c r="C40" s="118"/>
      <c r="D40" s="117"/>
      <c r="E40" s="117"/>
      <c r="F40" s="117">
        <v>0</v>
      </c>
      <c r="G40" s="117"/>
      <c r="H40" s="117"/>
      <c r="I40" s="117">
        <v>0</v>
      </c>
      <c r="J40" s="117"/>
      <c r="K40" s="117"/>
      <c r="L40" s="117">
        <f t="shared" si="14"/>
        <v>0</v>
      </c>
      <c r="M40" s="117"/>
      <c r="N40" s="117"/>
      <c r="O40" s="117"/>
      <c r="P40" s="117">
        <f t="shared" si="15"/>
        <v>0</v>
      </c>
      <c r="Q40" s="118"/>
      <c r="R40" s="117"/>
      <c r="S40" s="117"/>
      <c r="T40" s="118"/>
      <c r="U40" s="117"/>
      <c r="V40" s="117"/>
      <c r="W40" s="117">
        <f t="shared" si="16"/>
        <v>0</v>
      </c>
      <c r="X40" s="117"/>
      <c r="Y40" s="117"/>
      <c r="Z40" s="117">
        <f t="shared" si="17"/>
        <v>0</v>
      </c>
      <c r="AA40" s="118">
        <v>10000</v>
      </c>
      <c r="AB40" s="117"/>
      <c r="AC40" s="117"/>
      <c r="AD40" s="117"/>
      <c r="AE40" s="117">
        <f t="shared" si="18"/>
        <v>0</v>
      </c>
      <c r="AF40" s="117">
        <v>10000</v>
      </c>
      <c r="AG40" s="117"/>
      <c r="AH40" s="117"/>
      <c r="AI40" s="117">
        <f t="shared" si="19"/>
        <v>10000</v>
      </c>
      <c r="AJ40" s="117"/>
      <c r="AK40" s="117"/>
      <c r="AL40" s="117">
        <f t="shared" si="20"/>
        <v>10000</v>
      </c>
      <c r="AM40" s="117"/>
      <c r="AN40" s="117">
        <f t="shared" si="21"/>
        <v>10000</v>
      </c>
      <c r="AO40" s="118"/>
      <c r="AP40" s="118"/>
      <c r="AQ40" s="118"/>
      <c r="AR40" s="118">
        <v>0</v>
      </c>
      <c r="AS40" s="118"/>
      <c r="AT40" s="118"/>
      <c r="AU40" s="117">
        <f t="shared" si="22"/>
        <v>0</v>
      </c>
      <c r="AV40" s="117"/>
      <c r="AW40" s="117"/>
      <c r="AX40" s="117">
        <f t="shared" si="23"/>
        <v>0</v>
      </c>
      <c r="AY40" s="120">
        <f t="shared" si="24"/>
        <v>10000</v>
      </c>
      <c r="AZ40" s="120">
        <v>6950</v>
      </c>
      <c r="BA40" s="120">
        <f t="shared" si="25"/>
        <v>3050</v>
      </c>
      <c r="BB40" s="121">
        <f aca="true" t="shared" si="27" ref="BB40:BB59">AZ40/AY40</f>
        <v>0.695</v>
      </c>
    </row>
    <row r="41" spans="1:54" ht="25.5">
      <c r="A41" s="80">
        <v>2311</v>
      </c>
      <c r="B41" s="81" t="s">
        <v>175</v>
      </c>
      <c r="C41" s="118"/>
      <c r="D41" s="117"/>
      <c r="E41" s="117"/>
      <c r="F41" s="117">
        <v>0</v>
      </c>
      <c r="G41" s="117"/>
      <c r="H41" s="117"/>
      <c r="I41" s="117">
        <v>0</v>
      </c>
      <c r="J41" s="117"/>
      <c r="K41" s="117"/>
      <c r="L41" s="117">
        <f t="shared" si="14"/>
        <v>0</v>
      </c>
      <c r="M41" s="117"/>
      <c r="N41" s="117"/>
      <c r="O41" s="117"/>
      <c r="P41" s="117">
        <f t="shared" si="15"/>
        <v>0</v>
      </c>
      <c r="Q41" s="118"/>
      <c r="R41" s="117"/>
      <c r="S41" s="117"/>
      <c r="T41" s="118"/>
      <c r="U41" s="117"/>
      <c r="V41" s="117"/>
      <c r="W41" s="117">
        <f t="shared" si="16"/>
        <v>0</v>
      </c>
      <c r="X41" s="117"/>
      <c r="Y41" s="117"/>
      <c r="Z41" s="117">
        <f t="shared" si="17"/>
        <v>0</v>
      </c>
      <c r="AA41" s="118">
        <v>2000</v>
      </c>
      <c r="AB41" s="117"/>
      <c r="AC41" s="117"/>
      <c r="AD41" s="117"/>
      <c r="AE41" s="117">
        <f t="shared" si="18"/>
        <v>0</v>
      </c>
      <c r="AF41" s="117">
        <v>2000</v>
      </c>
      <c r="AG41" s="117"/>
      <c r="AH41" s="117"/>
      <c r="AI41" s="117">
        <f t="shared" si="19"/>
        <v>2000</v>
      </c>
      <c r="AJ41" s="117"/>
      <c r="AK41" s="117"/>
      <c r="AL41" s="117">
        <f t="shared" si="20"/>
        <v>2000</v>
      </c>
      <c r="AM41" s="117"/>
      <c r="AN41" s="117">
        <f t="shared" si="21"/>
        <v>2000</v>
      </c>
      <c r="AO41" s="118"/>
      <c r="AP41" s="118"/>
      <c r="AQ41" s="118"/>
      <c r="AR41" s="118">
        <v>0</v>
      </c>
      <c r="AS41" s="118"/>
      <c r="AT41" s="118"/>
      <c r="AU41" s="117">
        <f t="shared" si="22"/>
        <v>0</v>
      </c>
      <c r="AV41" s="117"/>
      <c r="AW41" s="117"/>
      <c r="AX41" s="117">
        <f t="shared" si="23"/>
        <v>0</v>
      </c>
      <c r="AY41" s="120">
        <f t="shared" si="24"/>
        <v>2000</v>
      </c>
      <c r="AZ41" s="120">
        <v>1861</v>
      </c>
      <c r="BA41" s="120">
        <f t="shared" si="25"/>
        <v>139</v>
      </c>
      <c r="BB41" s="121">
        <f t="shared" si="27"/>
        <v>0.9305</v>
      </c>
    </row>
    <row r="42" spans="1:54" ht="31.5" customHeight="1">
      <c r="A42" s="80">
        <v>2341</v>
      </c>
      <c r="B42" s="81" t="s">
        <v>176</v>
      </c>
      <c r="C42" s="118"/>
      <c r="D42" s="117"/>
      <c r="E42" s="117"/>
      <c r="F42" s="117">
        <v>0</v>
      </c>
      <c r="G42" s="117"/>
      <c r="H42" s="117"/>
      <c r="I42" s="117">
        <v>0</v>
      </c>
      <c r="J42" s="117"/>
      <c r="K42" s="117"/>
      <c r="L42" s="117">
        <f t="shared" si="14"/>
        <v>0</v>
      </c>
      <c r="M42" s="117"/>
      <c r="N42" s="117"/>
      <c r="O42" s="117"/>
      <c r="P42" s="117">
        <f t="shared" si="15"/>
        <v>0</v>
      </c>
      <c r="Q42" s="118"/>
      <c r="R42" s="117"/>
      <c r="S42" s="117"/>
      <c r="T42" s="118"/>
      <c r="U42" s="117"/>
      <c r="V42" s="117"/>
      <c r="W42" s="117">
        <f t="shared" si="16"/>
        <v>0</v>
      </c>
      <c r="X42" s="117"/>
      <c r="Y42" s="117"/>
      <c r="Z42" s="117">
        <f t="shared" si="17"/>
        <v>0</v>
      </c>
      <c r="AA42" s="118">
        <v>2000</v>
      </c>
      <c r="AB42" s="117"/>
      <c r="AC42" s="117"/>
      <c r="AD42" s="117"/>
      <c r="AE42" s="117">
        <f t="shared" si="18"/>
        <v>0</v>
      </c>
      <c r="AF42" s="117">
        <v>2000</v>
      </c>
      <c r="AG42" s="117"/>
      <c r="AH42" s="117"/>
      <c r="AI42" s="117">
        <f t="shared" si="19"/>
        <v>2000</v>
      </c>
      <c r="AJ42" s="117"/>
      <c r="AK42" s="117"/>
      <c r="AL42" s="117">
        <f t="shared" si="20"/>
        <v>2000</v>
      </c>
      <c r="AM42" s="117"/>
      <c r="AN42" s="117">
        <f t="shared" si="21"/>
        <v>2000</v>
      </c>
      <c r="AO42" s="118"/>
      <c r="AP42" s="118"/>
      <c r="AQ42" s="118"/>
      <c r="AR42" s="118">
        <v>0</v>
      </c>
      <c r="AS42" s="118"/>
      <c r="AT42" s="118"/>
      <c r="AU42" s="117">
        <f t="shared" si="22"/>
        <v>0</v>
      </c>
      <c r="AV42" s="117"/>
      <c r="AW42" s="117"/>
      <c r="AX42" s="117">
        <f t="shared" si="23"/>
        <v>0</v>
      </c>
      <c r="AY42" s="120">
        <f t="shared" si="24"/>
        <v>2000</v>
      </c>
      <c r="AZ42" s="120">
        <v>133</v>
      </c>
      <c r="BA42" s="120">
        <f t="shared" si="25"/>
        <v>1867</v>
      </c>
      <c r="BB42" s="121">
        <f t="shared" si="27"/>
        <v>0.0665</v>
      </c>
    </row>
    <row r="43" spans="1:54" ht="15.75">
      <c r="A43" s="80">
        <v>2411</v>
      </c>
      <c r="B43" s="81" t="s">
        <v>42</v>
      </c>
      <c r="C43" s="118"/>
      <c r="D43" s="117"/>
      <c r="E43" s="117"/>
      <c r="F43" s="117">
        <v>0</v>
      </c>
      <c r="G43" s="117"/>
      <c r="H43" s="117"/>
      <c r="I43" s="117">
        <v>0</v>
      </c>
      <c r="J43" s="117"/>
      <c r="K43" s="117"/>
      <c r="L43" s="117">
        <f t="shared" si="14"/>
        <v>0</v>
      </c>
      <c r="M43" s="117"/>
      <c r="N43" s="117"/>
      <c r="O43" s="117"/>
      <c r="P43" s="117">
        <f t="shared" si="15"/>
        <v>0</v>
      </c>
      <c r="Q43" s="118"/>
      <c r="R43" s="117"/>
      <c r="S43" s="117"/>
      <c r="T43" s="118"/>
      <c r="U43" s="117"/>
      <c r="V43" s="117"/>
      <c r="W43" s="117">
        <f t="shared" si="16"/>
        <v>0</v>
      </c>
      <c r="X43" s="117"/>
      <c r="Y43" s="117"/>
      <c r="Z43" s="117">
        <f t="shared" si="17"/>
        <v>0</v>
      </c>
      <c r="AA43" s="118">
        <v>21000</v>
      </c>
      <c r="AB43" s="117"/>
      <c r="AC43" s="117"/>
      <c r="AD43" s="117"/>
      <c r="AE43" s="117">
        <f t="shared" si="18"/>
        <v>0</v>
      </c>
      <c r="AF43" s="117">
        <v>21000</v>
      </c>
      <c r="AG43" s="117"/>
      <c r="AH43" s="117"/>
      <c r="AI43" s="117">
        <f t="shared" si="19"/>
        <v>21000</v>
      </c>
      <c r="AJ43" s="117"/>
      <c r="AK43" s="117"/>
      <c r="AL43" s="117">
        <f t="shared" si="20"/>
        <v>21000</v>
      </c>
      <c r="AM43" s="117"/>
      <c r="AN43" s="117">
        <f t="shared" si="21"/>
        <v>21000</v>
      </c>
      <c r="AO43" s="118">
        <v>200000</v>
      </c>
      <c r="AP43" s="118"/>
      <c r="AQ43" s="118"/>
      <c r="AR43" s="118">
        <v>200000</v>
      </c>
      <c r="AS43" s="118"/>
      <c r="AT43" s="118"/>
      <c r="AU43" s="117">
        <f t="shared" si="22"/>
        <v>200000</v>
      </c>
      <c r="AV43" s="117"/>
      <c r="AW43" s="117"/>
      <c r="AX43" s="117">
        <f t="shared" si="23"/>
        <v>200000</v>
      </c>
      <c r="AY43" s="120">
        <f t="shared" si="24"/>
        <v>221000</v>
      </c>
      <c r="AZ43" s="120">
        <v>209958.63</v>
      </c>
      <c r="BA43" s="120">
        <f t="shared" si="25"/>
        <v>11041.369999999995</v>
      </c>
      <c r="BB43" s="121">
        <f t="shared" si="27"/>
        <v>0.9500390497737556</v>
      </c>
    </row>
    <row r="44" spans="1:54" ht="18.75" customHeight="1">
      <c r="A44" s="80">
        <v>2421</v>
      </c>
      <c r="B44" s="81" t="s">
        <v>43</v>
      </c>
      <c r="C44" s="118"/>
      <c r="D44" s="117"/>
      <c r="E44" s="117"/>
      <c r="F44" s="117">
        <v>0</v>
      </c>
      <c r="G44" s="117"/>
      <c r="H44" s="117"/>
      <c r="I44" s="117">
        <v>0</v>
      </c>
      <c r="J44" s="117"/>
      <c r="K44" s="117"/>
      <c r="L44" s="117">
        <f t="shared" si="14"/>
        <v>0</v>
      </c>
      <c r="M44" s="117"/>
      <c r="N44" s="117"/>
      <c r="O44" s="117"/>
      <c r="P44" s="117">
        <f t="shared" si="15"/>
        <v>0</v>
      </c>
      <c r="Q44" s="118"/>
      <c r="R44" s="117"/>
      <c r="S44" s="117"/>
      <c r="T44" s="118"/>
      <c r="U44" s="117"/>
      <c r="V44" s="117"/>
      <c r="W44" s="117">
        <f t="shared" si="16"/>
        <v>0</v>
      </c>
      <c r="X44" s="117"/>
      <c r="Y44" s="117"/>
      <c r="Z44" s="117">
        <f t="shared" si="17"/>
        <v>0</v>
      </c>
      <c r="AA44" s="118">
        <v>10000</v>
      </c>
      <c r="AB44" s="117"/>
      <c r="AC44" s="117"/>
      <c r="AD44" s="117"/>
      <c r="AE44" s="117">
        <f t="shared" si="18"/>
        <v>0</v>
      </c>
      <c r="AF44" s="117">
        <v>10000</v>
      </c>
      <c r="AG44" s="117"/>
      <c r="AH44" s="117"/>
      <c r="AI44" s="117">
        <f t="shared" si="19"/>
        <v>10000</v>
      </c>
      <c r="AJ44" s="117"/>
      <c r="AK44" s="117"/>
      <c r="AL44" s="117">
        <f t="shared" si="20"/>
        <v>10000</v>
      </c>
      <c r="AM44" s="117"/>
      <c r="AN44" s="117">
        <f t="shared" si="21"/>
        <v>10000</v>
      </c>
      <c r="AO44" s="118">
        <v>10000</v>
      </c>
      <c r="AP44" s="118"/>
      <c r="AQ44" s="118"/>
      <c r="AR44" s="118">
        <v>10000</v>
      </c>
      <c r="AS44" s="118"/>
      <c r="AT44" s="118"/>
      <c r="AU44" s="117">
        <f t="shared" si="22"/>
        <v>10000</v>
      </c>
      <c r="AV44" s="117"/>
      <c r="AW44" s="117"/>
      <c r="AX44" s="117">
        <f t="shared" si="23"/>
        <v>10000</v>
      </c>
      <c r="AY44" s="120">
        <f t="shared" si="24"/>
        <v>20000</v>
      </c>
      <c r="AZ44" s="120">
        <v>18635.32</v>
      </c>
      <c r="BA44" s="120">
        <f t="shared" si="25"/>
        <v>1364.6800000000003</v>
      </c>
      <c r="BB44" s="121">
        <f t="shared" si="27"/>
        <v>0.931766</v>
      </c>
    </row>
    <row r="45" spans="1:54" ht="18.75" customHeight="1">
      <c r="A45" s="80">
        <v>2431</v>
      </c>
      <c r="B45" s="81" t="s">
        <v>177</v>
      </c>
      <c r="C45" s="118"/>
      <c r="D45" s="117"/>
      <c r="E45" s="117"/>
      <c r="F45" s="117">
        <v>0</v>
      </c>
      <c r="G45" s="117"/>
      <c r="H45" s="117"/>
      <c r="I45" s="117">
        <v>0</v>
      </c>
      <c r="J45" s="117"/>
      <c r="K45" s="117"/>
      <c r="L45" s="117">
        <f t="shared" si="14"/>
        <v>0</v>
      </c>
      <c r="M45" s="117"/>
      <c r="N45" s="117"/>
      <c r="O45" s="117"/>
      <c r="P45" s="117">
        <f t="shared" si="15"/>
        <v>0</v>
      </c>
      <c r="Q45" s="118"/>
      <c r="R45" s="117"/>
      <c r="S45" s="117"/>
      <c r="T45" s="118"/>
      <c r="U45" s="117"/>
      <c r="V45" s="117"/>
      <c r="W45" s="117">
        <f t="shared" si="16"/>
        <v>0</v>
      </c>
      <c r="X45" s="117"/>
      <c r="Y45" s="117"/>
      <c r="Z45" s="117">
        <f t="shared" si="17"/>
        <v>0</v>
      </c>
      <c r="AA45" s="118">
        <v>5250</v>
      </c>
      <c r="AB45" s="117"/>
      <c r="AC45" s="117"/>
      <c r="AD45" s="117"/>
      <c r="AE45" s="117">
        <f t="shared" si="18"/>
        <v>0</v>
      </c>
      <c r="AF45" s="117">
        <v>5250</v>
      </c>
      <c r="AG45" s="117"/>
      <c r="AH45" s="117"/>
      <c r="AI45" s="117">
        <f t="shared" si="19"/>
        <v>5250</v>
      </c>
      <c r="AJ45" s="117"/>
      <c r="AK45" s="117"/>
      <c r="AL45" s="117">
        <f t="shared" si="20"/>
        <v>5250</v>
      </c>
      <c r="AM45" s="117"/>
      <c r="AN45" s="117">
        <f t="shared" si="21"/>
        <v>5250</v>
      </c>
      <c r="AO45" s="118">
        <v>2750</v>
      </c>
      <c r="AP45" s="118"/>
      <c r="AQ45" s="118"/>
      <c r="AR45" s="118">
        <v>2750</v>
      </c>
      <c r="AS45" s="118"/>
      <c r="AT45" s="118"/>
      <c r="AU45" s="117">
        <f t="shared" si="22"/>
        <v>2750</v>
      </c>
      <c r="AV45" s="117"/>
      <c r="AW45" s="117"/>
      <c r="AX45" s="117">
        <f t="shared" si="23"/>
        <v>2750</v>
      </c>
      <c r="AY45" s="120">
        <f t="shared" si="24"/>
        <v>8000</v>
      </c>
      <c r="AZ45" s="120">
        <v>7460</v>
      </c>
      <c r="BA45" s="120">
        <f t="shared" si="25"/>
        <v>540</v>
      </c>
      <c r="BB45" s="121">
        <f t="shared" si="27"/>
        <v>0.9325</v>
      </c>
    </row>
    <row r="46" spans="1:54" ht="18.75" customHeight="1">
      <c r="A46" s="80">
        <v>2441</v>
      </c>
      <c r="B46" s="81" t="s">
        <v>44</v>
      </c>
      <c r="C46" s="118"/>
      <c r="D46" s="117"/>
      <c r="E46" s="117"/>
      <c r="F46" s="117">
        <v>0</v>
      </c>
      <c r="G46" s="117"/>
      <c r="H46" s="117"/>
      <c r="I46" s="117">
        <v>0</v>
      </c>
      <c r="J46" s="117"/>
      <c r="K46" s="117"/>
      <c r="L46" s="117">
        <f t="shared" si="14"/>
        <v>0</v>
      </c>
      <c r="M46" s="117"/>
      <c r="N46" s="117"/>
      <c r="O46" s="117"/>
      <c r="P46" s="117">
        <f t="shared" si="15"/>
        <v>0</v>
      </c>
      <c r="Q46" s="118"/>
      <c r="R46" s="117"/>
      <c r="S46" s="117"/>
      <c r="T46" s="118"/>
      <c r="U46" s="117"/>
      <c r="V46" s="117"/>
      <c r="W46" s="117">
        <f t="shared" si="16"/>
        <v>0</v>
      </c>
      <c r="X46" s="117"/>
      <c r="Y46" s="117"/>
      <c r="Z46" s="117">
        <f t="shared" si="17"/>
        <v>0</v>
      </c>
      <c r="AA46" s="118">
        <v>11300</v>
      </c>
      <c r="AB46" s="117"/>
      <c r="AC46" s="117"/>
      <c r="AD46" s="117"/>
      <c r="AE46" s="117">
        <f t="shared" si="18"/>
        <v>0</v>
      </c>
      <c r="AF46" s="117">
        <v>11300</v>
      </c>
      <c r="AG46" s="117"/>
      <c r="AH46" s="117"/>
      <c r="AI46" s="117">
        <f t="shared" si="19"/>
        <v>11300</v>
      </c>
      <c r="AJ46" s="117"/>
      <c r="AK46" s="117"/>
      <c r="AL46" s="117">
        <f t="shared" si="20"/>
        <v>11300</v>
      </c>
      <c r="AM46" s="117"/>
      <c r="AN46" s="117">
        <f t="shared" si="21"/>
        <v>11300</v>
      </c>
      <c r="AO46" s="118">
        <v>2700</v>
      </c>
      <c r="AP46" s="118"/>
      <c r="AQ46" s="118"/>
      <c r="AR46" s="118">
        <v>2700</v>
      </c>
      <c r="AS46" s="118"/>
      <c r="AT46" s="118"/>
      <c r="AU46" s="117">
        <f t="shared" si="22"/>
        <v>2700</v>
      </c>
      <c r="AV46" s="117"/>
      <c r="AW46" s="117"/>
      <c r="AX46" s="117">
        <f t="shared" si="23"/>
        <v>2700</v>
      </c>
      <c r="AY46" s="120">
        <f t="shared" si="24"/>
        <v>14000</v>
      </c>
      <c r="AZ46" s="120">
        <v>9803.39</v>
      </c>
      <c r="BA46" s="120">
        <f t="shared" si="25"/>
        <v>4196.610000000001</v>
      </c>
      <c r="BB46" s="121">
        <f t="shared" si="27"/>
        <v>0.7002421428571428</v>
      </c>
    </row>
    <row r="47" spans="1:54" ht="18.75" customHeight="1">
      <c r="A47" s="80">
        <v>2451</v>
      </c>
      <c r="B47" s="81" t="s">
        <v>18</v>
      </c>
      <c r="C47" s="118"/>
      <c r="D47" s="117"/>
      <c r="E47" s="117"/>
      <c r="F47" s="117">
        <v>0</v>
      </c>
      <c r="G47" s="117"/>
      <c r="H47" s="117"/>
      <c r="I47" s="117">
        <v>0</v>
      </c>
      <c r="J47" s="117"/>
      <c r="K47" s="117"/>
      <c r="L47" s="117">
        <f t="shared" si="14"/>
        <v>0</v>
      </c>
      <c r="M47" s="117"/>
      <c r="N47" s="117"/>
      <c r="O47" s="117"/>
      <c r="P47" s="117">
        <f t="shared" si="15"/>
        <v>0</v>
      </c>
      <c r="Q47" s="118"/>
      <c r="R47" s="117"/>
      <c r="S47" s="117"/>
      <c r="T47" s="118"/>
      <c r="U47" s="117"/>
      <c r="V47" s="117"/>
      <c r="W47" s="117">
        <f t="shared" si="16"/>
        <v>0</v>
      </c>
      <c r="X47" s="117"/>
      <c r="Y47" s="117"/>
      <c r="Z47" s="117">
        <f t="shared" si="17"/>
        <v>0</v>
      </c>
      <c r="AA47" s="118">
        <v>2100</v>
      </c>
      <c r="AB47" s="117"/>
      <c r="AC47" s="117"/>
      <c r="AD47" s="117"/>
      <c r="AE47" s="117">
        <f t="shared" si="18"/>
        <v>0</v>
      </c>
      <c r="AF47" s="117">
        <v>2100</v>
      </c>
      <c r="AG47" s="117"/>
      <c r="AH47" s="117"/>
      <c r="AI47" s="117">
        <f t="shared" si="19"/>
        <v>2100</v>
      </c>
      <c r="AJ47" s="117"/>
      <c r="AK47" s="117"/>
      <c r="AL47" s="117">
        <f t="shared" si="20"/>
        <v>2100</v>
      </c>
      <c r="AM47" s="117"/>
      <c r="AN47" s="117">
        <f t="shared" si="21"/>
        <v>2100</v>
      </c>
      <c r="AO47" s="118">
        <v>2900</v>
      </c>
      <c r="AP47" s="118"/>
      <c r="AQ47" s="118"/>
      <c r="AR47" s="118">
        <v>2900</v>
      </c>
      <c r="AS47" s="118"/>
      <c r="AT47" s="118"/>
      <c r="AU47" s="117">
        <f t="shared" si="22"/>
        <v>2900</v>
      </c>
      <c r="AV47" s="117"/>
      <c r="AW47" s="117"/>
      <c r="AX47" s="117">
        <f t="shared" si="23"/>
        <v>2900</v>
      </c>
      <c r="AY47" s="120">
        <f t="shared" si="24"/>
        <v>5000</v>
      </c>
      <c r="AZ47" s="120">
        <v>0</v>
      </c>
      <c r="BA47" s="120">
        <f t="shared" si="25"/>
        <v>5000</v>
      </c>
      <c r="BB47" s="121">
        <f t="shared" si="27"/>
        <v>0</v>
      </c>
    </row>
    <row r="48" spans="1:54" ht="15.75" customHeight="1">
      <c r="A48" s="80">
        <v>2461</v>
      </c>
      <c r="B48" s="81" t="s">
        <v>178</v>
      </c>
      <c r="C48" s="118"/>
      <c r="D48" s="117"/>
      <c r="E48" s="117"/>
      <c r="F48" s="117">
        <v>0</v>
      </c>
      <c r="G48" s="117"/>
      <c r="H48" s="117"/>
      <c r="I48" s="117">
        <v>0</v>
      </c>
      <c r="J48" s="117"/>
      <c r="K48" s="117"/>
      <c r="L48" s="117">
        <f t="shared" si="14"/>
        <v>0</v>
      </c>
      <c r="M48" s="117"/>
      <c r="N48" s="117"/>
      <c r="O48" s="117"/>
      <c r="P48" s="117">
        <f t="shared" si="15"/>
        <v>0</v>
      </c>
      <c r="Q48" s="118"/>
      <c r="R48" s="117"/>
      <c r="S48" s="117"/>
      <c r="T48" s="118"/>
      <c r="U48" s="117"/>
      <c r="V48" s="117">
        <v>3000</v>
      </c>
      <c r="W48" s="117">
        <f t="shared" si="16"/>
        <v>3000</v>
      </c>
      <c r="X48" s="117"/>
      <c r="Y48" s="117"/>
      <c r="Z48" s="117">
        <f t="shared" si="17"/>
        <v>3000</v>
      </c>
      <c r="AA48" s="118">
        <v>15000</v>
      </c>
      <c r="AB48" s="117">
        <v>5000</v>
      </c>
      <c r="AC48" s="117"/>
      <c r="AD48" s="117"/>
      <c r="AE48" s="117">
        <f t="shared" si="18"/>
        <v>3000</v>
      </c>
      <c r="AF48" s="117">
        <v>10000</v>
      </c>
      <c r="AG48" s="117"/>
      <c r="AH48" s="117"/>
      <c r="AI48" s="117">
        <f t="shared" si="19"/>
        <v>10000</v>
      </c>
      <c r="AJ48" s="117"/>
      <c r="AK48" s="117"/>
      <c r="AL48" s="117">
        <f t="shared" si="20"/>
        <v>10000</v>
      </c>
      <c r="AM48" s="117"/>
      <c r="AN48" s="117">
        <f t="shared" si="21"/>
        <v>10000</v>
      </c>
      <c r="AO48" s="118">
        <v>40000</v>
      </c>
      <c r="AP48" s="118"/>
      <c r="AQ48" s="118"/>
      <c r="AR48" s="118">
        <v>40000</v>
      </c>
      <c r="AS48" s="118"/>
      <c r="AT48" s="118"/>
      <c r="AU48" s="117">
        <f t="shared" si="22"/>
        <v>40000</v>
      </c>
      <c r="AV48" s="117"/>
      <c r="AW48" s="117"/>
      <c r="AX48" s="117">
        <f t="shared" si="23"/>
        <v>40000</v>
      </c>
      <c r="AY48" s="120">
        <f t="shared" si="24"/>
        <v>53000</v>
      </c>
      <c r="AZ48" s="120">
        <v>51465.95</v>
      </c>
      <c r="BA48" s="120">
        <f t="shared" si="25"/>
        <v>1534.050000000003</v>
      </c>
      <c r="BB48" s="121">
        <f t="shared" si="27"/>
        <v>0.9710556603773585</v>
      </c>
    </row>
    <row r="49" spans="1:54" ht="15.75">
      <c r="A49" s="80">
        <v>2471</v>
      </c>
      <c r="B49" s="81" t="s">
        <v>74</v>
      </c>
      <c r="C49" s="118"/>
      <c r="D49" s="117"/>
      <c r="E49" s="117"/>
      <c r="F49" s="117">
        <v>0</v>
      </c>
      <c r="G49" s="117"/>
      <c r="H49" s="117"/>
      <c r="I49" s="117">
        <v>0</v>
      </c>
      <c r="J49" s="117"/>
      <c r="K49" s="117"/>
      <c r="L49" s="117">
        <f t="shared" si="14"/>
        <v>0</v>
      </c>
      <c r="M49" s="117"/>
      <c r="N49" s="117"/>
      <c r="O49" s="117"/>
      <c r="P49" s="117">
        <f t="shared" si="15"/>
        <v>0</v>
      </c>
      <c r="Q49" s="118"/>
      <c r="R49" s="117"/>
      <c r="S49" s="117"/>
      <c r="T49" s="118"/>
      <c r="U49" s="117"/>
      <c r="V49" s="117"/>
      <c r="W49" s="117">
        <f t="shared" si="16"/>
        <v>0</v>
      </c>
      <c r="X49" s="117"/>
      <c r="Y49" s="117"/>
      <c r="Z49" s="117">
        <f t="shared" si="17"/>
        <v>0</v>
      </c>
      <c r="AA49" s="118">
        <v>20000</v>
      </c>
      <c r="AB49" s="117"/>
      <c r="AC49" s="117"/>
      <c r="AD49" s="117"/>
      <c r="AE49" s="117">
        <f t="shared" si="18"/>
        <v>0</v>
      </c>
      <c r="AF49" s="117">
        <v>20000</v>
      </c>
      <c r="AG49" s="117"/>
      <c r="AH49" s="117"/>
      <c r="AI49" s="117">
        <f t="shared" si="19"/>
        <v>20000</v>
      </c>
      <c r="AJ49" s="117"/>
      <c r="AK49" s="117"/>
      <c r="AL49" s="117">
        <f t="shared" si="20"/>
        <v>20000</v>
      </c>
      <c r="AM49" s="117"/>
      <c r="AN49" s="117">
        <f t="shared" si="21"/>
        <v>20000</v>
      </c>
      <c r="AO49" s="118">
        <v>20000</v>
      </c>
      <c r="AP49" s="118"/>
      <c r="AQ49" s="118"/>
      <c r="AR49" s="118">
        <v>20000</v>
      </c>
      <c r="AS49" s="118"/>
      <c r="AT49" s="118"/>
      <c r="AU49" s="117">
        <f t="shared" si="22"/>
        <v>20000</v>
      </c>
      <c r="AV49" s="117"/>
      <c r="AW49" s="117"/>
      <c r="AX49" s="117">
        <f t="shared" si="23"/>
        <v>20000</v>
      </c>
      <c r="AY49" s="120">
        <f t="shared" si="24"/>
        <v>40000</v>
      </c>
      <c r="AZ49" s="120">
        <v>39925.5</v>
      </c>
      <c r="BA49" s="120">
        <f t="shared" si="25"/>
        <v>74.5</v>
      </c>
      <c r="BB49" s="121">
        <f t="shared" si="27"/>
        <v>0.9981375</v>
      </c>
    </row>
    <row r="50" spans="1:54" ht="15.75">
      <c r="A50" s="80">
        <v>2481</v>
      </c>
      <c r="B50" s="81" t="s">
        <v>179</v>
      </c>
      <c r="C50" s="118"/>
      <c r="D50" s="117"/>
      <c r="E50" s="117"/>
      <c r="F50" s="117">
        <v>0</v>
      </c>
      <c r="G50" s="117"/>
      <c r="H50" s="117"/>
      <c r="I50" s="117">
        <v>0</v>
      </c>
      <c r="J50" s="117"/>
      <c r="K50" s="117"/>
      <c r="L50" s="117">
        <f t="shared" si="14"/>
        <v>0</v>
      </c>
      <c r="M50" s="117"/>
      <c r="N50" s="117"/>
      <c r="O50" s="117"/>
      <c r="P50" s="117">
        <f t="shared" si="15"/>
        <v>0</v>
      </c>
      <c r="Q50" s="118"/>
      <c r="R50" s="117"/>
      <c r="S50" s="117"/>
      <c r="T50" s="118"/>
      <c r="U50" s="117"/>
      <c r="V50" s="117"/>
      <c r="W50" s="117">
        <f t="shared" si="16"/>
        <v>0</v>
      </c>
      <c r="X50" s="117"/>
      <c r="Y50" s="117"/>
      <c r="Z50" s="117">
        <f t="shared" si="17"/>
        <v>0</v>
      </c>
      <c r="AA50" s="118">
        <v>21000</v>
      </c>
      <c r="AB50" s="117"/>
      <c r="AC50" s="117"/>
      <c r="AD50" s="117"/>
      <c r="AE50" s="117">
        <f t="shared" si="18"/>
        <v>0</v>
      </c>
      <c r="AF50" s="117">
        <v>21000</v>
      </c>
      <c r="AG50" s="117"/>
      <c r="AH50" s="117"/>
      <c r="AI50" s="117">
        <f t="shared" si="19"/>
        <v>21000</v>
      </c>
      <c r="AJ50" s="117"/>
      <c r="AK50" s="117"/>
      <c r="AL50" s="117">
        <f t="shared" si="20"/>
        <v>21000</v>
      </c>
      <c r="AM50" s="117"/>
      <c r="AN50" s="117">
        <f t="shared" si="21"/>
        <v>21000</v>
      </c>
      <c r="AO50" s="125">
        <v>6000</v>
      </c>
      <c r="AP50" s="125"/>
      <c r="AQ50" s="125"/>
      <c r="AR50" s="125">
        <v>6000</v>
      </c>
      <c r="AS50" s="125"/>
      <c r="AT50" s="125"/>
      <c r="AU50" s="117">
        <f t="shared" si="22"/>
        <v>6000</v>
      </c>
      <c r="AV50" s="117"/>
      <c r="AW50" s="117"/>
      <c r="AX50" s="117">
        <f t="shared" si="23"/>
        <v>6000</v>
      </c>
      <c r="AY50" s="120">
        <f t="shared" si="24"/>
        <v>27000</v>
      </c>
      <c r="AZ50" s="120">
        <v>26976.21</v>
      </c>
      <c r="BA50" s="120">
        <f t="shared" si="25"/>
        <v>23.790000000000873</v>
      </c>
      <c r="BB50" s="121">
        <f t="shared" si="27"/>
        <v>0.9991188888888889</v>
      </c>
    </row>
    <row r="51" spans="1:54" ht="15.75" customHeight="1">
      <c r="A51" s="80">
        <v>2491</v>
      </c>
      <c r="B51" s="81" t="s">
        <v>45</v>
      </c>
      <c r="C51" s="118"/>
      <c r="D51" s="117"/>
      <c r="E51" s="117"/>
      <c r="F51" s="117">
        <v>0</v>
      </c>
      <c r="G51" s="117"/>
      <c r="H51" s="117"/>
      <c r="I51" s="117">
        <v>0</v>
      </c>
      <c r="J51" s="117"/>
      <c r="K51" s="117"/>
      <c r="L51" s="117">
        <f t="shared" si="14"/>
        <v>0</v>
      </c>
      <c r="M51" s="117"/>
      <c r="N51" s="117"/>
      <c r="O51" s="117"/>
      <c r="P51" s="117">
        <f t="shared" si="15"/>
        <v>0</v>
      </c>
      <c r="Q51" s="118"/>
      <c r="R51" s="117"/>
      <c r="S51" s="117"/>
      <c r="T51" s="118"/>
      <c r="U51" s="117"/>
      <c r="V51" s="117"/>
      <c r="W51" s="117">
        <f t="shared" si="16"/>
        <v>0</v>
      </c>
      <c r="X51" s="117"/>
      <c r="Y51" s="117"/>
      <c r="Z51" s="117">
        <f t="shared" si="17"/>
        <v>0</v>
      </c>
      <c r="AA51" s="118">
        <v>10000</v>
      </c>
      <c r="AB51" s="117"/>
      <c r="AC51" s="117"/>
      <c r="AD51" s="117"/>
      <c r="AE51" s="117">
        <f t="shared" si="18"/>
        <v>0</v>
      </c>
      <c r="AF51" s="117">
        <v>10000</v>
      </c>
      <c r="AG51" s="117"/>
      <c r="AH51" s="117"/>
      <c r="AI51" s="117">
        <f t="shared" si="19"/>
        <v>10000</v>
      </c>
      <c r="AJ51" s="117"/>
      <c r="AK51" s="117"/>
      <c r="AL51" s="117">
        <f t="shared" si="20"/>
        <v>10000</v>
      </c>
      <c r="AM51" s="117"/>
      <c r="AN51" s="117">
        <f t="shared" si="21"/>
        <v>10000</v>
      </c>
      <c r="AO51" s="125">
        <v>80000</v>
      </c>
      <c r="AP51" s="125"/>
      <c r="AQ51" s="125"/>
      <c r="AR51" s="125">
        <v>80000</v>
      </c>
      <c r="AS51" s="125"/>
      <c r="AT51" s="125"/>
      <c r="AU51" s="117">
        <f t="shared" si="22"/>
        <v>80000</v>
      </c>
      <c r="AV51" s="117"/>
      <c r="AW51" s="117"/>
      <c r="AX51" s="117">
        <f t="shared" si="23"/>
        <v>80000</v>
      </c>
      <c r="AY51" s="120">
        <f t="shared" si="24"/>
        <v>90000</v>
      </c>
      <c r="AZ51" s="120">
        <v>79875.97</v>
      </c>
      <c r="BA51" s="120">
        <f t="shared" si="25"/>
        <v>10124.029999999999</v>
      </c>
      <c r="BB51" s="121">
        <f t="shared" si="27"/>
        <v>0.8875107777777778</v>
      </c>
    </row>
    <row r="52" spans="1:54" ht="18.75" customHeight="1">
      <c r="A52" s="80">
        <v>2511</v>
      </c>
      <c r="B52" s="81" t="s">
        <v>180</v>
      </c>
      <c r="C52" s="118"/>
      <c r="D52" s="117"/>
      <c r="E52" s="117"/>
      <c r="F52" s="117">
        <v>0</v>
      </c>
      <c r="G52" s="117"/>
      <c r="H52" s="117"/>
      <c r="I52" s="117">
        <v>0</v>
      </c>
      <c r="J52" s="117"/>
      <c r="K52" s="117"/>
      <c r="L52" s="117">
        <f t="shared" si="14"/>
        <v>0</v>
      </c>
      <c r="M52" s="117"/>
      <c r="N52" s="117"/>
      <c r="O52" s="117"/>
      <c r="P52" s="117">
        <f t="shared" si="15"/>
        <v>0</v>
      </c>
      <c r="Q52" s="118"/>
      <c r="R52" s="117"/>
      <c r="S52" s="117"/>
      <c r="T52" s="118"/>
      <c r="U52" s="117"/>
      <c r="V52" s="117"/>
      <c r="W52" s="117">
        <f t="shared" si="16"/>
        <v>0</v>
      </c>
      <c r="X52" s="117"/>
      <c r="Y52" s="117"/>
      <c r="Z52" s="117">
        <f t="shared" si="17"/>
        <v>0</v>
      </c>
      <c r="AA52" s="118">
        <v>10000</v>
      </c>
      <c r="AB52" s="117"/>
      <c r="AC52" s="117"/>
      <c r="AD52" s="117"/>
      <c r="AE52" s="117">
        <f t="shared" si="18"/>
        <v>0</v>
      </c>
      <c r="AF52" s="117">
        <v>10000</v>
      </c>
      <c r="AG52" s="117"/>
      <c r="AH52" s="117"/>
      <c r="AI52" s="117">
        <f t="shared" si="19"/>
        <v>10000</v>
      </c>
      <c r="AJ52" s="117"/>
      <c r="AK52" s="117"/>
      <c r="AL52" s="117">
        <f t="shared" si="20"/>
        <v>10000</v>
      </c>
      <c r="AM52" s="117"/>
      <c r="AN52" s="117">
        <f t="shared" si="21"/>
        <v>10000</v>
      </c>
      <c r="AO52" s="125"/>
      <c r="AP52" s="125"/>
      <c r="AQ52" s="125"/>
      <c r="AR52" s="125">
        <v>0</v>
      </c>
      <c r="AS52" s="125"/>
      <c r="AT52" s="125"/>
      <c r="AU52" s="117">
        <f t="shared" si="22"/>
        <v>0</v>
      </c>
      <c r="AV52" s="117"/>
      <c r="AW52" s="117"/>
      <c r="AX52" s="117">
        <f t="shared" si="23"/>
        <v>0</v>
      </c>
      <c r="AY52" s="120">
        <f t="shared" si="24"/>
        <v>10000</v>
      </c>
      <c r="AZ52" s="120">
        <v>4451.48</v>
      </c>
      <c r="BA52" s="120">
        <f t="shared" si="25"/>
        <v>5548.52</v>
      </c>
      <c r="BB52" s="121">
        <f t="shared" si="27"/>
        <v>0.44514799999999993</v>
      </c>
    </row>
    <row r="53" spans="1:54" ht="15.75">
      <c r="A53" s="80">
        <v>2521</v>
      </c>
      <c r="B53" s="81" t="s">
        <v>181</v>
      </c>
      <c r="C53" s="118"/>
      <c r="D53" s="117"/>
      <c r="E53" s="117"/>
      <c r="F53" s="117">
        <v>0</v>
      </c>
      <c r="G53" s="117"/>
      <c r="H53" s="117"/>
      <c r="I53" s="117">
        <v>0</v>
      </c>
      <c r="J53" s="117"/>
      <c r="K53" s="117"/>
      <c r="L53" s="117">
        <f t="shared" si="14"/>
        <v>0</v>
      </c>
      <c r="M53" s="117"/>
      <c r="N53" s="117"/>
      <c r="O53" s="117"/>
      <c r="P53" s="117">
        <f t="shared" si="15"/>
        <v>0</v>
      </c>
      <c r="Q53" s="118"/>
      <c r="R53" s="117"/>
      <c r="S53" s="117"/>
      <c r="T53" s="118"/>
      <c r="U53" s="117"/>
      <c r="V53" s="117"/>
      <c r="W53" s="117">
        <f t="shared" si="16"/>
        <v>0</v>
      </c>
      <c r="X53" s="117"/>
      <c r="Y53" s="117"/>
      <c r="Z53" s="117">
        <f t="shared" si="17"/>
        <v>0</v>
      </c>
      <c r="AA53" s="118">
        <v>10000</v>
      </c>
      <c r="AB53" s="117"/>
      <c r="AC53" s="117"/>
      <c r="AD53" s="117"/>
      <c r="AE53" s="117">
        <f t="shared" si="18"/>
        <v>0</v>
      </c>
      <c r="AF53" s="117">
        <v>10000</v>
      </c>
      <c r="AG53" s="117"/>
      <c r="AH53" s="117"/>
      <c r="AI53" s="117">
        <f t="shared" si="19"/>
        <v>10000</v>
      </c>
      <c r="AJ53" s="117"/>
      <c r="AK53" s="117"/>
      <c r="AL53" s="117">
        <f t="shared" si="20"/>
        <v>10000</v>
      </c>
      <c r="AM53" s="117"/>
      <c r="AN53" s="117">
        <f t="shared" si="21"/>
        <v>10000</v>
      </c>
      <c r="AO53" s="125">
        <v>20000</v>
      </c>
      <c r="AP53" s="125"/>
      <c r="AQ53" s="125"/>
      <c r="AR53" s="125">
        <v>20000</v>
      </c>
      <c r="AS53" s="125"/>
      <c r="AT53" s="125"/>
      <c r="AU53" s="117">
        <f t="shared" si="22"/>
        <v>20000</v>
      </c>
      <c r="AV53" s="117"/>
      <c r="AW53" s="117"/>
      <c r="AX53" s="117">
        <f t="shared" si="23"/>
        <v>20000</v>
      </c>
      <c r="AY53" s="120">
        <f t="shared" si="24"/>
        <v>30000</v>
      </c>
      <c r="AZ53" s="120">
        <v>28431.5</v>
      </c>
      <c r="BA53" s="120">
        <f t="shared" si="25"/>
        <v>1568.5</v>
      </c>
      <c r="BB53" s="121">
        <f t="shared" si="27"/>
        <v>0.9477166666666667</v>
      </c>
    </row>
    <row r="54" spans="1:54" ht="18.75" customHeight="1">
      <c r="A54" s="80">
        <v>2531</v>
      </c>
      <c r="B54" s="81" t="s">
        <v>19</v>
      </c>
      <c r="C54" s="118"/>
      <c r="D54" s="117"/>
      <c r="E54" s="117"/>
      <c r="F54" s="117">
        <v>0</v>
      </c>
      <c r="G54" s="117"/>
      <c r="H54" s="117"/>
      <c r="I54" s="117">
        <v>0</v>
      </c>
      <c r="J54" s="117"/>
      <c r="K54" s="117"/>
      <c r="L54" s="117">
        <f t="shared" si="14"/>
        <v>0</v>
      </c>
      <c r="M54" s="117"/>
      <c r="N54" s="117"/>
      <c r="O54" s="117"/>
      <c r="P54" s="117">
        <f t="shared" si="15"/>
        <v>0</v>
      </c>
      <c r="Q54" s="118"/>
      <c r="R54" s="117"/>
      <c r="S54" s="117"/>
      <c r="T54" s="118"/>
      <c r="U54" s="117"/>
      <c r="V54" s="117"/>
      <c r="W54" s="117">
        <f t="shared" si="16"/>
        <v>0</v>
      </c>
      <c r="X54" s="117"/>
      <c r="Y54" s="117"/>
      <c r="Z54" s="117">
        <f t="shared" si="17"/>
        <v>0</v>
      </c>
      <c r="AA54" s="118">
        <v>4000</v>
      </c>
      <c r="AB54" s="117"/>
      <c r="AC54" s="117"/>
      <c r="AD54" s="117"/>
      <c r="AE54" s="117">
        <f t="shared" si="18"/>
        <v>0</v>
      </c>
      <c r="AF54" s="117">
        <v>4000</v>
      </c>
      <c r="AG54" s="117"/>
      <c r="AH54" s="117"/>
      <c r="AI54" s="117">
        <f t="shared" si="19"/>
        <v>4000</v>
      </c>
      <c r="AJ54" s="117"/>
      <c r="AK54" s="117"/>
      <c r="AL54" s="117">
        <f t="shared" si="20"/>
        <v>4000</v>
      </c>
      <c r="AM54" s="117"/>
      <c r="AN54" s="117">
        <f t="shared" si="21"/>
        <v>4000</v>
      </c>
      <c r="AO54" s="125">
        <v>2000</v>
      </c>
      <c r="AP54" s="125"/>
      <c r="AQ54" s="125"/>
      <c r="AR54" s="125">
        <v>2000</v>
      </c>
      <c r="AS54" s="125"/>
      <c r="AT54" s="125"/>
      <c r="AU54" s="117">
        <f t="shared" si="22"/>
        <v>2000</v>
      </c>
      <c r="AV54" s="117"/>
      <c r="AW54" s="117"/>
      <c r="AX54" s="117">
        <f t="shared" si="23"/>
        <v>2000</v>
      </c>
      <c r="AY54" s="120">
        <f t="shared" si="24"/>
        <v>6000</v>
      </c>
      <c r="AZ54" s="120">
        <v>4277.37</v>
      </c>
      <c r="BA54" s="120">
        <f t="shared" si="25"/>
        <v>1722.63</v>
      </c>
      <c r="BB54" s="121">
        <f t="shared" si="27"/>
        <v>0.712895</v>
      </c>
    </row>
    <row r="55" spans="1:54" ht="14.25" customHeight="1">
      <c r="A55" s="80">
        <v>2541</v>
      </c>
      <c r="B55" s="81" t="s">
        <v>182</v>
      </c>
      <c r="C55" s="118"/>
      <c r="D55" s="117"/>
      <c r="E55" s="117"/>
      <c r="F55" s="117">
        <v>0</v>
      </c>
      <c r="G55" s="117"/>
      <c r="H55" s="117"/>
      <c r="I55" s="117">
        <v>0</v>
      </c>
      <c r="J55" s="117"/>
      <c r="K55" s="117"/>
      <c r="L55" s="117">
        <f t="shared" si="14"/>
        <v>0</v>
      </c>
      <c r="M55" s="117"/>
      <c r="N55" s="117"/>
      <c r="O55" s="117"/>
      <c r="P55" s="117">
        <f t="shared" si="15"/>
        <v>0</v>
      </c>
      <c r="Q55" s="118"/>
      <c r="R55" s="117"/>
      <c r="S55" s="117"/>
      <c r="T55" s="118"/>
      <c r="U55" s="117"/>
      <c r="V55" s="117"/>
      <c r="W55" s="117">
        <f t="shared" si="16"/>
        <v>0</v>
      </c>
      <c r="X55" s="117"/>
      <c r="Y55" s="117"/>
      <c r="Z55" s="117">
        <f t="shared" si="17"/>
        <v>0</v>
      </c>
      <c r="AA55" s="118">
        <v>3000</v>
      </c>
      <c r="AB55" s="117"/>
      <c r="AC55" s="117"/>
      <c r="AD55" s="117"/>
      <c r="AE55" s="117">
        <f t="shared" si="18"/>
        <v>0</v>
      </c>
      <c r="AF55" s="117">
        <v>3000</v>
      </c>
      <c r="AG55" s="117"/>
      <c r="AH55" s="117"/>
      <c r="AI55" s="117">
        <f t="shared" si="19"/>
        <v>3000</v>
      </c>
      <c r="AJ55" s="117"/>
      <c r="AK55" s="117"/>
      <c r="AL55" s="117">
        <f t="shared" si="20"/>
        <v>3000</v>
      </c>
      <c r="AM55" s="117"/>
      <c r="AN55" s="117">
        <f t="shared" si="21"/>
        <v>3000</v>
      </c>
      <c r="AO55" s="125"/>
      <c r="AP55" s="125"/>
      <c r="AQ55" s="125"/>
      <c r="AR55" s="125">
        <v>0</v>
      </c>
      <c r="AS55" s="125"/>
      <c r="AT55" s="125"/>
      <c r="AU55" s="117">
        <f t="shared" si="22"/>
        <v>0</v>
      </c>
      <c r="AV55" s="117"/>
      <c r="AW55" s="117"/>
      <c r="AX55" s="117">
        <f t="shared" si="23"/>
        <v>0</v>
      </c>
      <c r="AY55" s="120">
        <f t="shared" si="24"/>
        <v>3000</v>
      </c>
      <c r="AZ55" s="120">
        <v>1005.19</v>
      </c>
      <c r="BA55" s="120">
        <f t="shared" si="25"/>
        <v>1994.81</v>
      </c>
      <c r="BB55" s="121">
        <f t="shared" si="27"/>
        <v>0.3350633333333333</v>
      </c>
    </row>
    <row r="56" spans="1:54" ht="17.25" customHeight="1">
      <c r="A56" s="80">
        <v>2551</v>
      </c>
      <c r="B56" s="81" t="s">
        <v>183</v>
      </c>
      <c r="C56" s="118"/>
      <c r="D56" s="117"/>
      <c r="E56" s="117"/>
      <c r="F56" s="117">
        <v>0</v>
      </c>
      <c r="G56" s="117"/>
      <c r="H56" s="117"/>
      <c r="I56" s="117">
        <v>0</v>
      </c>
      <c r="J56" s="117"/>
      <c r="K56" s="117"/>
      <c r="L56" s="117">
        <f t="shared" si="14"/>
        <v>0</v>
      </c>
      <c r="M56" s="117"/>
      <c r="N56" s="117"/>
      <c r="O56" s="117"/>
      <c r="P56" s="117">
        <f t="shared" si="15"/>
        <v>0</v>
      </c>
      <c r="Q56" s="118"/>
      <c r="R56" s="117"/>
      <c r="S56" s="117"/>
      <c r="T56" s="118"/>
      <c r="U56" s="117"/>
      <c r="V56" s="117"/>
      <c r="W56" s="117">
        <f t="shared" si="16"/>
        <v>0</v>
      </c>
      <c r="X56" s="117"/>
      <c r="Y56" s="117"/>
      <c r="Z56" s="117">
        <f t="shared" si="17"/>
        <v>0</v>
      </c>
      <c r="AA56" s="118">
        <v>5000</v>
      </c>
      <c r="AB56" s="117"/>
      <c r="AC56" s="117"/>
      <c r="AD56" s="117"/>
      <c r="AE56" s="117">
        <f t="shared" si="18"/>
        <v>0</v>
      </c>
      <c r="AF56" s="117">
        <v>5000</v>
      </c>
      <c r="AG56" s="117"/>
      <c r="AH56" s="117"/>
      <c r="AI56" s="117">
        <f t="shared" si="19"/>
        <v>5000</v>
      </c>
      <c r="AJ56" s="117"/>
      <c r="AK56" s="117"/>
      <c r="AL56" s="117">
        <f t="shared" si="20"/>
        <v>5000</v>
      </c>
      <c r="AM56" s="117"/>
      <c r="AN56" s="117">
        <f t="shared" si="21"/>
        <v>5000</v>
      </c>
      <c r="AO56" s="125"/>
      <c r="AP56" s="125"/>
      <c r="AQ56" s="125"/>
      <c r="AR56" s="125">
        <v>0</v>
      </c>
      <c r="AS56" s="125"/>
      <c r="AT56" s="125"/>
      <c r="AU56" s="117">
        <f t="shared" si="22"/>
        <v>0</v>
      </c>
      <c r="AV56" s="117"/>
      <c r="AW56" s="117"/>
      <c r="AX56" s="117">
        <f t="shared" si="23"/>
        <v>0</v>
      </c>
      <c r="AY56" s="120">
        <f t="shared" si="24"/>
        <v>5000</v>
      </c>
      <c r="AZ56" s="120">
        <v>4999.5</v>
      </c>
      <c r="BA56" s="120">
        <f t="shared" si="25"/>
        <v>0.5</v>
      </c>
      <c r="BB56" s="121">
        <f t="shared" si="27"/>
        <v>0.9999</v>
      </c>
    </row>
    <row r="57" spans="1:54" ht="15.75" customHeight="1">
      <c r="A57" s="80">
        <v>2561</v>
      </c>
      <c r="B57" s="81" t="s">
        <v>184</v>
      </c>
      <c r="C57" s="118"/>
      <c r="D57" s="117"/>
      <c r="E57" s="117"/>
      <c r="F57" s="117">
        <v>0</v>
      </c>
      <c r="G57" s="117"/>
      <c r="H57" s="117"/>
      <c r="I57" s="117">
        <v>0</v>
      </c>
      <c r="J57" s="117"/>
      <c r="K57" s="117"/>
      <c r="L57" s="117">
        <f t="shared" si="14"/>
        <v>0</v>
      </c>
      <c r="M57" s="117"/>
      <c r="N57" s="117"/>
      <c r="O57" s="117"/>
      <c r="P57" s="117">
        <f t="shared" si="15"/>
        <v>0</v>
      </c>
      <c r="Q57" s="118"/>
      <c r="R57" s="117"/>
      <c r="S57" s="117"/>
      <c r="T57" s="118"/>
      <c r="U57" s="117"/>
      <c r="V57" s="117"/>
      <c r="W57" s="117">
        <f t="shared" si="16"/>
        <v>0</v>
      </c>
      <c r="X57" s="117"/>
      <c r="Y57" s="117"/>
      <c r="Z57" s="117">
        <f t="shared" si="17"/>
        <v>0</v>
      </c>
      <c r="AA57" s="118">
        <v>16000</v>
      </c>
      <c r="AB57" s="117"/>
      <c r="AC57" s="117"/>
      <c r="AD57" s="117"/>
      <c r="AE57" s="117">
        <f t="shared" si="18"/>
        <v>0</v>
      </c>
      <c r="AF57" s="117">
        <v>16000</v>
      </c>
      <c r="AG57" s="117"/>
      <c r="AH57" s="117"/>
      <c r="AI57" s="117">
        <f t="shared" si="19"/>
        <v>16000</v>
      </c>
      <c r="AJ57" s="117"/>
      <c r="AK57" s="117"/>
      <c r="AL57" s="117">
        <f t="shared" si="20"/>
        <v>16000</v>
      </c>
      <c r="AM57" s="117"/>
      <c r="AN57" s="117">
        <f t="shared" si="21"/>
        <v>16000</v>
      </c>
      <c r="AO57" s="125">
        <v>60000</v>
      </c>
      <c r="AP57" s="125"/>
      <c r="AQ57" s="125"/>
      <c r="AR57" s="125">
        <v>60000</v>
      </c>
      <c r="AS57" s="125"/>
      <c r="AT57" s="125"/>
      <c r="AU57" s="117">
        <f t="shared" si="22"/>
        <v>60000</v>
      </c>
      <c r="AV57" s="117"/>
      <c r="AW57" s="117"/>
      <c r="AX57" s="117">
        <f t="shared" si="23"/>
        <v>60000</v>
      </c>
      <c r="AY57" s="120">
        <f t="shared" si="24"/>
        <v>76000</v>
      </c>
      <c r="AZ57" s="120">
        <v>76000</v>
      </c>
      <c r="BA57" s="120">
        <f t="shared" si="25"/>
        <v>0</v>
      </c>
      <c r="BB57" s="121">
        <f t="shared" si="27"/>
        <v>1</v>
      </c>
    </row>
    <row r="58" spans="1:54" ht="15.75" customHeight="1">
      <c r="A58" s="80">
        <v>2591</v>
      </c>
      <c r="B58" s="81" t="s">
        <v>75</v>
      </c>
      <c r="C58" s="118"/>
      <c r="D58" s="117"/>
      <c r="E58" s="117"/>
      <c r="F58" s="117">
        <v>0</v>
      </c>
      <c r="G58" s="117"/>
      <c r="H58" s="117"/>
      <c r="I58" s="117">
        <v>0</v>
      </c>
      <c r="J58" s="117"/>
      <c r="K58" s="117"/>
      <c r="L58" s="117">
        <f t="shared" si="14"/>
        <v>0</v>
      </c>
      <c r="M58" s="117"/>
      <c r="N58" s="117"/>
      <c r="O58" s="117"/>
      <c r="P58" s="117">
        <f t="shared" si="15"/>
        <v>0</v>
      </c>
      <c r="Q58" s="118"/>
      <c r="R58" s="117"/>
      <c r="S58" s="117"/>
      <c r="T58" s="118"/>
      <c r="U58" s="117"/>
      <c r="V58" s="117"/>
      <c r="W58" s="117">
        <f t="shared" si="16"/>
        <v>0</v>
      </c>
      <c r="X58" s="117"/>
      <c r="Y58" s="117"/>
      <c r="Z58" s="117">
        <f t="shared" si="17"/>
        <v>0</v>
      </c>
      <c r="AA58" s="118">
        <v>2000</v>
      </c>
      <c r="AB58" s="117"/>
      <c r="AC58" s="117"/>
      <c r="AD58" s="117"/>
      <c r="AE58" s="117">
        <f t="shared" si="18"/>
        <v>0</v>
      </c>
      <c r="AF58" s="117">
        <v>2000</v>
      </c>
      <c r="AG58" s="117"/>
      <c r="AH58" s="117"/>
      <c r="AI58" s="117">
        <f t="shared" si="19"/>
        <v>2000</v>
      </c>
      <c r="AJ58" s="117"/>
      <c r="AK58" s="117"/>
      <c r="AL58" s="117">
        <f t="shared" si="20"/>
        <v>2000</v>
      </c>
      <c r="AM58" s="117"/>
      <c r="AN58" s="117">
        <f t="shared" si="21"/>
        <v>2000</v>
      </c>
      <c r="AO58" s="125"/>
      <c r="AP58" s="125"/>
      <c r="AQ58" s="125"/>
      <c r="AR58" s="125">
        <v>0</v>
      </c>
      <c r="AS58" s="125"/>
      <c r="AT58" s="125"/>
      <c r="AU58" s="117">
        <f t="shared" si="22"/>
        <v>0</v>
      </c>
      <c r="AV58" s="117"/>
      <c r="AW58" s="117"/>
      <c r="AX58" s="117">
        <f t="shared" si="23"/>
        <v>0</v>
      </c>
      <c r="AY58" s="120">
        <f t="shared" si="24"/>
        <v>2000</v>
      </c>
      <c r="AZ58" s="120">
        <v>0</v>
      </c>
      <c r="BA58" s="120">
        <f t="shared" si="25"/>
        <v>2000</v>
      </c>
      <c r="BB58" s="121">
        <f t="shared" si="27"/>
        <v>0</v>
      </c>
    </row>
    <row r="59" spans="1:54" ht="15.75">
      <c r="A59" s="80">
        <v>2611</v>
      </c>
      <c r="B59" s="81" t="s">
        <v>185</v>
      </c>
      <c r="C59" s="118">
        <v>60512</v>
      </c>
      <c r="D59" s="117"/>
      <c r="E59" s="117"/>
      <c r="F59" s="117">
        <v>60512</v>
      </c>
      <c r="G59" s="117"/>
      <c r="H59" s="117"/>
      <c r="I59" s="117">
        <v>60512</v>
      </c>
      <c r="J59" s="117"/>
      <c r="K59" s="117"/>
      <c r="L59" s="117">
        <f t="shared" si="14"/>
        <v>60512</v>
      </c>
      <c r="M59" s="117"/>
      <c r="N59" s="117"/>
      <c r="O59" s="117"/>
      <c r="P59" s="117">
        <f t="shared" si="15"/>
        <v>60512</v>
      </c>
      <c r="Q59" s="118"/>
      <c r="R59" s="117"/>
      <c r="S59" s="117"/>
      <c r="T59" s="118"/>
      <c r="U59" s="117"/>
      <c r="V59" s="117"/>
      <c r="W59" s="117">
        <f t="shared" si="16"/>
        <v>0</v>
      </c>
      <c r="X59" s="117"/>
      <c r="Y59" s="117"/>
      <c r="Z59" s="117">
        <f t="shared" si="17"/>
        <v>0</v>
      </c>
      <c r="AA59" s="118">
        <v>40000</v>
      </c>
      <c r="AB59" s="117"/>
      <c r="AC59" s="117">
        <v>39000</v>
      </c>
      <c r="AD59" s="117"/>
      <c r="AE59" s="117">
        <f t="shared" si="18"/>
        <v>0</v>
      </c>
      <c r="AF59" s="117">
        <v>79000</v>
      </c>
      <c r="AG59" s="117"/>
      <c r="AH59" s="117">
        <v>68504.18</v>
      </c>
      <c r="AI59" s="117">
        <f t="shared" si="19"/>
        <v>147504.18</v>
      </c>
      <c r="AJ59" s="117"/>
      <c r="AK59" s="117"/>
      <c r="AL59" s="117">
        <f t="shared" si="20"/>
        <v>147504.18</v>
      </c>
      <c r="AM59" s="117"/>
      <c r="AN59" s="117">
        <f t="shared" si="21"/>
        <v>147504.18</v>
      </c>
      <c r="AO59" s="125">
        <v>70488</v>
      </c>
      <c r="AP59" s="125"/>
      <c r="AQ59" s="125"/>
      <c r="AR59" s="125">
        <v>70488</v>
      </c>
      <c r="AS59" s="125"/>
      <c r="AT59" s="125"/>
      <c r="AU59" s="117">
        <f t="shared" si="22"/>
        <v>70488</v>
      </c>
      <c r="AV59" s="117"/>
      <c r="AW59" s="117"/>
      <c r="AX59" s="117">
        <f t="shared" si="23"/>
        <v>70488</v>
      </c>
      <c r="AY59" s="120">
        <f t="shared" si="24"/>
        <v>278504.18</v>
      </c>
      <c r="AZ59" s="120">
        <v>277141.62</v>
      </c>
      <c r="BA59" s="120">
        <f t="shared" si="25"/>
        <v>1362.5599999999977</v>
      </c>
      <c r="BB59" s="121">
        <f t="shared" si="27"/>
        <v>0.9951075779185792</v>
      </c>
    </row>
    <row r="60" spans="1:54" ht="15.75" customHeight="1">
      <c r="A60" s="80">
        <v>2614</v>
      </c>
      <c r="B60" s="86" t="s">
        <v>186</v>
      </c>
      <c r="C60" s="118"/>
      <c r="D60" s="117"/>
      <c r="E60" s="117"/>
      <c r="F60" s="117">
        <v>0</v>
      </c>
      <c r="G60" s="117"/>
      <c r="H60" s="117"/>
      <c r="I60" s="117">
        <v>0</v>
      </c>
      <c r="J60" s="117"/>
      <c r="K60" s="117"/>
      <c r="L60" s="117">
        <f t="shared" si="14"/>
        <v>0</v>
      </c>
      <c r="M60" s="117"/>
      <c r="N60" s="117"/>
      <c r="O60" s="117"/>
      <c r="P60" s="117">
        <f t="shared" si="15"/>
        <v>0</v>
      </c>
      <c r="Q60" s="118"/>
      <c r="R60" s="117"/>
      <c r="S60" s="117"/>
      <c r="T60" s="118"/>
      <c r="U60" s="117"/>
      <c r="V60" s="117"/>
      <c r="W60" s="117">
        <f t="shared" si="16"/>
        <v>0</v>
      </c>
      <c r="X60" s="117"/>
      <c r="Y60" s="117"/>
      <c r="Z60" s="117">
        <f t="shared" si="17"/>
        <v>0</v>
      </c>
      <c r="AA60" s="118"/>
      <c r="AB60" s="117"/>
      <c r="AC60" s="117"/>
      <c r="AD60" s="117"/>
      <c r="AE60" s="117">
        <f t="shared" si="18"/>
        <v>0</v>
      </c>
      <c r="AF60" s="117">
        <v>0</v>
      </c>
      <c r="AG60" s="117"/>
      <c r="AH60" s="117"/>
      <c r="AI60" s="117">
        <f t="shared" si="19"/>
        <v>0</v>
      </c>
      <c r="AJ60" s="117"/>
      <c r="AK60" s="117"/>
      <c r="AL60" s="117">
        <f t="shared" si="20"/>
        <v>0</v>
      </c>
      <c r="AM60" s="117"/>
      <c r="AN60" s="117">
        <f t="shared" si="21"/>
        <v>0</v>
      </c>
      <c r="AO60" s="125"/>
      <c r="AP60" s="125"/>
      <c r="AQ60" s="125"/>
      <c r="AR60" s="125">
        <v>0</v>
      </c>
      <c r="AS60" s="125"/>
      <c r="AT60" s="125"/>
      <c r="AU60" s="117">
        <f t="shared" si="22"/>
        <v>0</v>
      </c>
      <c r="AV60" s="117"/>
      <c r="AW60" s="117"/>
      <c r="AX60" s="117">
        <f t="shared" si="23"/>
        <v>0</v>
      </c>
      <c r="AY60" s="120">
        <f t="shared" si="24"/>
        <v>0</v>
      </c>
      <c r="AZ60" s="120">
        <v>0</v>
      </c>
      <c r="BA60" s="120">
        <f t="shared" si="25"/>
        <v>0</v>
      </c>
      <c r="BB60" s="121"/>
    </row>
    <row r="61" spans="1:54" ht="15.75">
      <c r="A61" s="80">
        <v>2711</v>
      </c>
      <c r="B61" s="81" t="s">
        <v>187</v>
      </c>
      <c r="C61" s="118"/>
      <c r="D61" s="117"/>
      <c r="E61" s="117"/>
      <c r="F61" s="117">
        <v>0</v>
      </c>
      <c r="G61" s="117"/>
      <c r="H61" s="117"/>
      <c r="I61" s="117">
        <v>0</v>
      </c>
      <c r="J61" s="117"/>
      <c r="K61" s="117"/>
      <c r="L61" s="117">
        <f t="shared" si="14"/>
        <v>0</v>
      </c>
      <c r="M61" s="117"/>
      <c r="N61" s="117"/>
      <c r="O61" s="117"/>
      <c r="P61" s="117">
        <f t="shared" si="15"/>
        <v>0</v>
      </c>
      <c r="Q61" s="118"/>
      <c r="R61" s="117"/>
      <c r="S61" s="117"/>
      <c r="T61" s="118"/>
      <c r="U61" s="117"/>
      <c r="V61" s="117"/>
      <c r="W61" s="117">
        <f t="shared" si="16"/>
        <v>0</v>
      </c>
      <c r="X61" s="117"/>
      <c r="Y61" s="117"/>
      <c r="Z61" s="117">
        <f t="shared" si="17"/>
        <v>0</v>
      </c>
      <c r="AA61" s="118"/>
      <c r="AB61" s="117"/>
      <c r="AC61" s="117"/>
      <c r="AD61" s="117"/>
      <c r="AE61" s="117">
        <f t="shared" si="18"/>
        <v>0</v>
      </c>
      <c r="AF61" s="117">
        <v>0</v>
      </c>
      <c r="AG61" s="117"/>
      <c r="AH61" s="117"/>
      <c r="AI61" s="117">
        <f t="shared" si="19"/>
        <v>0</v>
      </c>
      <c r="AJ61" s="117"/>
      <c r="AK61" s="117"/>
      <c r="AL61" s="117">
        <f t="shared" si="20"/>
        <v>0</v>
      </c>
      <c r="AM61" s="117"/>
      <c r="AN61" s="117">
        <f t="shared" si="21"/>
        <v>0</v>
      </c>
      <c r="AO61" s="125">
        <v>100000</v>
      </c>
      <c r="AP61" s="125"/>
      <c r="AQ61" s="125"/>
      <c r="AR61" s="125">
        <v>100000</v>
      </c>
      <c r="AS61" s="125"/>
      <c r="AT61" s="125"/>
      <c r="AU61" s="117">
        <f t="shared" si="22"/>
        <v>100000</v>
      </c>
      <c r="AV61" s="117"/>
      <c r="AW61" s="117"/>
      <c r="AX61" s="117">
        <f t="shared" si="23"/>
        <v>100000</v>
      </c>
      <c r="AY61" s="120">
        <f t="shared" si="24"/>
        <v>100000</v>
      </c>
      <c r="AZ61" s="120">
        <v>99693.81</v>
      </c>
      <c r="BA61" s="120">
        <f t="shared" si="25"/>
        <v>306.1900000000023</v>
      </c>
      <c r="BB61" s="121">
        <f aca="true" t="shared" si="28" ref="BB61:BB72">AZ61/AY61</f>
        <v>0.9969380999999999</v>
      </c>
    </row>
    <row r="62" spans="1:54" ht="15.75">
      <c r="A62" s="80">
        <v>2721</v>
      </c>
      <c r="B62" s="81" t="s">
        <v>46</v>
      </c>
      <c r="C62" s="118"/>
      <c r="D62" s="117"/>
      <c r="E62" s="117"/>
      <c r="F62" s="117">
        <v>0</v>
      </c>
      <c r="G62" s="117"/>
      <c r="H62" s="117"/>
      <c r="I62" s="117">
        <v>0</v>
      </c>
      <c r="J62" s="117"/>
      <c r="K62" s="117"/>
      <c r="L62" s="117">
        <f t="shared" si="14"/>
        <v>0</v>
      </c>
      <c r="M62" s="117"/>
      <c r="N62" s="117"/>
      <c r="O62" s="117"/>
      <c r="P62" s="117">
        <f t="shared" si="15"/>
        <v>0</v>
      </c>
      <c r="Q62" s="118"/>
      <c r="R62" s="117"/>
      <c r="S62" s="117"/>
      <c r="T62" s="118"/>
      <c r="U62" s="117"/>
      <c r="V62" s="117"/>
      <c r="W62" s="117">
        <f t="shared" si="16"/>
        <v>0</v>
      </c>
      <c r="X62" s="117"/>
      <c r="Y62" s="117"/>
      <c r="Z62" s="117">
        <f t="shared" si="17"/>
        <v>0</v>
      </c>
      <c r="AA62" s="118">
        <v>5000</v>
      </c>
      <c r="AB62" s="117"/>
      <c r="AC62" s="117"/>
      <c r="AD62" s="117"/>
      <c r="AE62" s="117">
        <f t="shared" si="18"/>
        <v>0</v>
      </c>
      <c r="AF62" s="117">
        <v>5000</v>
      </c>
      <c r="AG62" s="117"/>
      <c r="AH62" s="117"/>
      <c r="AI62" s="117">
        <f t="shared" si="19"/>
        <v>5000</v>
      </c>
      <c r="AJ62" s="117"/>
      <c r="AK62" s="117"/>
      <c r="AL62" s="117">
        <f t="shared" si="20"/>
        <v>5000</v>
      </c>
      <c r="AM62" s="117"/>
      <c r="AN62" s="117">
        <f t="shared" si="21"/>
        <v>5000</v>
      </c>
      <c r="AO62" s="125"/>
      <c r="AP62" s="125"/>
      <c r="AQ62" s="125"/>
      <c r="AR62" s="125">
        <v>0</v>
      </c>
      <c r="AS62" s="125"/>
      <c r="AT62" s="125"/>
      <c r="AU62" s="117">
        <f t="shared" si="22"/>
        <v>0</v>
      </c>
      <c r="AV62" s="117"/>
      <c r="AW62" s="117"/>
      <c r="AX62" s="117">
        <f t="shared" si="23"/>
        <v>0</v>
      </c>
      <c r="AY62" s="120">
        <f t="shared" si="24"/>
        <v>5000</v>
      </c>
      <c r="AZ62" s="120">
        <v>219.01</v>
      </c>
      <c r="BA62" s="120">
        <f t="shared" si="25"/>
        <v>4780.99</v>
      </c>
      <c r="BB62" s="121">
        <f t="shared" si="28"/>
        <v>0.043802</v>
      </c>
    </row>
    <row r="63" spans="1:54" ht="15.75">
      <c r="A63" s="80">
        <v>2731</v>
      </c>
      <c r="B63" s="81" t="s">
        <v>20</v>
      </c>
      <c r="C63" s="118"/>
      <c r="D63" s="117"/>
      <c r="E63" s="117"/>
      <c r="F63" s="117">
        <v>0</v>
      </c>
      <c r="G63" s="117"/>
      <c r="H63" s="117"/>
      <c r="I63" s="117">
        <v>0</v>
      </c>
      <c r="J63" s="117"/>
      <c r="K63" s="117"/>
      <c r="L63" s="117">
        <f t="shared" si="14"/>
        <v>0</v>
      </c>
      <c r="M63" s="117"/>
      <c r="N63" s="117"/>
      <c r="O63" s="117"/>
      <c r="P63" s="117">
        <f t="shared" si="15"/>
        <v>0</v>
      </c>
      <c r="Q63" s="118"/>
      <c r="R63" s="117"/>
      <c r="S63" s="117"/>
      <c r="T63" s="118"/>
      <c r="U63" s="117"/>
      <c r="V63" s="117"/>
      <c r="W63" s="117">
        <f t="shared" si="16"/>
        <v>0</v>
      </c>
      <c r="X63" s="117"/>
      <c r="Y63" s="117"/>
      <c r="Z63" s="117">
        <f t="shared" si="17"/>
        <v>0</v>
      </c>
      <c r="AA63" s="118">
        <v>5000</v>
      </c>
      <c r="AB63" s="117"/>
      <c r="AC63" s="117"/>
      <c r="AD63" s="117"/>
      <c r="AE63" s="117">
        <f t="shared" si="18"/>
        <v>0</v>
      </c>
      <c r="AF63" s="117">
        <v>5000</v>
      </c>
      <c r="AG63" s="117"/>
      <c r="AH63" s="117"/>
      <c r="AI63" s="117">
        <f t="shared" si="19"/>
        <v>5000</v>
      </c>
      <c r="AJ63" s="117"/>
      <c r="AK63" s="117"/>
      <c r="AL63" s="117">
        <f t="shared" si="20"/>
        <v>5000</v>
      </c>
      <c r="AM63" s="117"/>
      <c r="AN63" s="117">
        <f t="shared" si="21"/>
        <v>5000</v>
      </c>
      <c r="AO63" s="125"/>
      <c r="AP63" s="125"/>
      <c r="AQ63" s="125"/>
      <c r="AR63" s="125">
        <v>0</v>
      </c>
      <c r="AS63" s="125"/>
      <c r="AT63" s="125"/>
      <c r="AU63" s="117">
        <f t="shared" si="22"/>
        <v>0</v>
      </c>
      <c r="AV63" s="117"/>
      <c r="AW63" s="117"/>
      <c r="AX63" s="117">
        <f t="shared" si="23"/>
        <v>0</v>
      </c>
      <c r="AY63" s="120">
        <f t="shared" si="24"/>
        <v>5000</v>
      </c>
      <c r="AZ63" s="120">
        <v>0</v>
      </c>
      <c r="BA63" s="120">
        <f t="shared" si="25"/>
        <v>5000</v>
      </c>
      <c r="BB63" s="121">
        <f t="shared" si="28"/>
        <v>0</v>
      </c>
    </row>
    <row r="64" spans="1:54" ht="15.75">
      <c r="A64" s="80">
        <v>2741</v>
      </c>
      <c r="B64" s="81" t="s">
        <v>76</v>
      </c>
      <c r="C64" s="118"/>
      <c r="D64" s="117"/>
      <c r="E64" s="117"/>
      <c r="F64" s="117">
        <v>0</v>
      </c>
      <c r="G64" s="117"/>
      <c r="H64" s="117"/>
      <c r="I64" s="117">
        <v>0</v>
      </c>
      <c r="J64" s="117"/>
      <c r="K64" s="117"/>
      <c r="L64" s="117">
        <f t="shared" si="14"/>
        <v>0</v>
      </c>
      <c r="M64" s="117"/>
      <c r="N64" s="117"/>
      <c r="O64" s="117"/>
      <c r="P64" s="117">
        <f t="shared" si="15"/>
        <v>0</v>
      </c>
      <c r="Q64" s="118"/>
      <c r="R64" s="117"/>
      <c r="S64" s="117"/>
      <c r="T64" s="118"/>
      <c r="U64" s="117"/>
      <c r="V64" s="117"/>
      <c r="W64" s="117">
        <f t="shared" si="16"/>
        <v>0</v>
      </c>
      <c r="X64" s="117"/>
      <c r="Y64" s="117"/>
      <c r="Z64" s="117">
        <f t="shared" si="17"/>
        <v>0</v>
      </c>
      <c r="AA64" s="118">
        <v>3000</v>
      </c>
      <c r="AB64" s="117"/>
      <c r="AC64" s="117"/>
      <c r="AD64" s="117"/>
      <c r="AE64" s="117">
        <f t="shared" si="18"/>
        <v>0</v>
      </c>
      <c r="AF64" s="117">
        <v>3000</v>
      </c>
      <c r="AG64" s="117"/>
      <c r="AH64" s="117"/>
      <c r="AI64" s="117">
        <f t="shared" si="19"/>
        <v>3000</v>
      </c>
      <c r="AJ64" s="117"/>
      <c r="AK64" s="117"/>
      <c r="AL64" s="117">
        <f t="shared" si="20"/>
        <v>3000</v>
      </c>
      <c r="AM64" s="117"/>
      <c r="AN64" s="117">
        <f t="shared" si="21"/>
        <v>3000</v>
      </c>
      <c r="AO64" s="125">
        <v>8000</v>
      </c>
      <c r="AP64" s="125"/>
      <c r="AQ64" s="125"/>
      <c r="AR64" s="125">
        <v>8000</v>
      </c>
      <c r="AS64" s="125"/>
      <c r="AT64" s="125"/>
      <c r="AU64" s="117">
        <f t="shared" si="22"/>
        <v>8000</v>
      </c>
      <c r="AV64" s="117"/>
      <c r="AW64" s="117"/>
      <c r="AX64" s="117">
        <f t="shared" si="23"/>
        <v>8000</v>
      </c>
      <c r="AY64" s="120">
        <f t="shared" si="24"/>
        <v>11000</v>
      </c>
      <c r="AZ64" s="120">
        <v>4464.7</v>
      </c>
      <c r="BA64" s="120">
        <f t="shared" si="25"/>
        <v>6535.3</v>
      </c>
      <c r="BB64" s="121">
        <f t="shared" si="28"/>
        <v>0.4058818181818182</v>
      </c>
    </row>
    <row r="65" spans="1:54" ht="15.75">
      <c r="A65" s="80">
        <v>2911</v>
      </c>
      <c r="B65" s="81" t="s">
        <v>21</v>
      </c>
      <c r="C65" s="118"/>
      <c r="D65" s="117"/>
      <c r="E65" s="117"/>
      <c r="F65" s="117">
        <v>0</v>
      </c>
      <c r="G65" s="117"/>
      <c r="H65" s="117"/>
      <c r="I65" s="117">
        <v>0</v>
      </c>
      <c r="J65" s="117"/>
      <c r="K65" s="117"/>
      <c r="L65" s="117">
        <f t="shared" si="14"/>
        <v>0</v>
      </c>
      <c r="M65" s="117"/>
      <c r="N65" s="117"/>
      <c r="O65" s="117"/>
      <c r="P65" s="117">
        <f t="shared" si="15"/>
        <v>0</v>
      </c>
      <c r="Q65" s="118"/>
      <c r="R65" s="117"/>
      <c r="S65" s="117"/>
      <c r="T65" s="118"/>
      <c r="U65" s="117"/>
      <c r="V65" s="117"/>
      <c r="W65" s="117">
        <f t="shared" si="16"/>
        <v>0</v>
      </c>
      <c r="X65" s="117"/>
      <c r="Y65" s="117"/>
      <c r="Z65" s="117">
        <f t="shared" si="17"/>
        <v>0</v>
      </c>
      <c r="AA65" s="118">
        <v>5000</v>
      </c>
      <c r="AB65" s="117"/>
      <c r="AC65" s="117"/>
      <c r="AD65" s="117"/>
      <c r="AE65" s="117">
        <f t="shared" si="18"/>
        <v>0</v>
      </c>
      <c r="AF65" s="117">
        <v>5000</v>
      </c>
      <c r="AG65" s="117"/>
      <c r="AH65" s="117"/>
      <c r="AI65" s="117">
        <f t="shared" si="19"/>
        <v>5000</v>
      </c>
      <c r="AJ65" s="117"/>
      <c r="AK65" s="117"/>
      <c r="AL65" s="117">
        <f t="shared" si="20"/>
        <v>5000</v>
      </c>
      <c r="AM65" s="117"/>
      <c r="AN65" s="117">
        <f t="shared" si="21"/>
        <v>5000</v>
      </c>
      <c r="AO65" s="125">
        <v>5000</v>
      </c>
      <c r="AP65" s="125"/>
      <c r="AQ65" s="125"/>
      <c r="AR65" s="125">
        <v>5000</v>
      </c>
      <c r="AS65" s="125"/>
      <c r="AT65" s="125"/>
      <c r="AU65" s="117">
        <f t="shared" si="22"/>
        <v>5000</v>
      </c>
      <c r="AV65" s="117"/>
      <c r="AW65" s="117"/>
      <c r="AX65" s="117">
        <f t="shared" si="23"/>
        <v>5000</v>
      </c>
      <c r="AY65" s="120">
        <f t="shared" si="24"/>
        <v>10000</v>
      </c>
      <c r="AZ65" s="120">
        <v>8085.46</v>
      </c>
      <c r="BA65" s="120">
        <f t="shared" si="25"/>
        <v>1914.54</v>
      </c>
      <c r="BB65" s="121">
        <f t="shared" si="28"/>
        <v>0.808546</v>
      </c>
    </row>
    <row r="66" spans="1:54" ht="15.75">
      <c r="A66" s="80">
        <v>2921</v>
      </c>
      <c r="B66" s="81" t="s">
        <v>22</v>
      </c>
      <c r="C66" s="118"/>
      <c r="D66" s="117"/>
      <c r="E66" s="117"/>
      <c r="F66" s="117">
        <v>0</v>
      </c>
      <c r="G66" s="117"/>
      <c r="H66" s="117"/>
      <c r="I66" s="117">
        <v>0</v>
      </c>
      <c r="J66" s="117"/>
      <c r="K66" s="117"/>
      <c r="L66" s="117">
        <f t="shared" si="14"/>
        <v>0</v>
      </c>
      <c r="M66" s="117"/>
      <c r="N66" s="117"/>
      <c r="O66" s="117"/>
      <c r="P66" s="117">
        <f t="shared" si="15"/>
        <v>0</v>
      </c>
      <c r="Q66" s="118"/>
      <c r="R66" s="117"/>
      <c r="S66" s="117"/>
      <c r="T66" s="118"/>
      <c r="U66" s="117"/>
      <c r="V66" s="117"/>
      <c r="W66" s="117">
        <f t="shared" si="16"/>
        <v>0</v>
      </c>
      <c r="X66" s="117"/>
      <c r="Y66" s="117"/>
      <c r="Z66" s="117">
        <f t="shared" si="17"/>
        <v>0</v>
      </c>
      <c r="AA66" s="118">
        <v>4000</v>
      </c>
      <c r="AB66" s="117"/>
      <c r="AC66" s="117"/>
      <c r="AD66" s="117"/>
      <c r="AE66" s="117">
        <f t="shared" si="18"/>
        <v>0</v>
      </c>
      <c r="AF66" s="117">
        <v>4000</v>
      </c>
      <c r="AG66" s="117"/>
      <c r="AH66" s="117"/>
      <c r="AI66" s="117">
        <f t="shared" si="19"/>
        <v>4000</v>
      </c>
      <c r="AJ66" s="117"/>
      <c r="AK66" s="117"/>
      <c r="AL66" s="117">
        <f t="shared" si="20"/>
        <v>4000</v>
      </c>
      <c r="AM66" s="117"/>
      <c r="AN66" s="117">
        <f t="shared" si="21"/>
        <v>4000</v>
      </c>
      <c r="AO66" s="125">
        <v>11000</v>
      </c>
      <c r="AP66" s="125"/>
      <c r="AQ66" s="125"/>
      <c r="AR66" s="125">
        <v>11000</v>
      </c>
      <c r="AS66" s="125"/>
      <c r="AT66" s="125"/>
      <c r="AU66" s="117">
        <f t="shared" si="22"/>
        <v>11000</v>
      </c>
      <c r="AV66" s="117"/>
      <c r="AW66" s="117">
        <v>1000</v>
      </c>
      <c r="AX66" s="117">
        <f t="shared" si="23"/>
        <v>12000</v>
      </c>
      <c r="AY66" s="120">
        <f t="shared" si="24"/>
        <v>16000</v>
      </c>
      <c r="AZ66" s="120">
        <v>11336.3</v>
      </c>
      <c r="BA66" s="120">
        <f t="shared" si="25"/>
        <v>4663.700000000001</v>
      </c>
      <c r="BB66" s="121">
        <f t="shared" si="28"/>
        <v>0.70851875</v>
      </c>
    </row>
    <row r="67" spans="1:54" ht="25.5">
      <c r="A67" s="80">
        <v>2931</v>
      </c>
      <c r="B67" s="81" t="s">
        <v>77</v>
      </c>
      <c r="C67" s="118"/>
      <c r="D67" s="117"/>
      <c r="E67" s="117"/>
      <c r="F67" s="117">
        <v>0</v>
      </c>
      <c r="G67" s="117"/>
      <c r="H67" s="117"/>
      <c r="I67" s="117">
        <v>0</v>
      </c>
      <c r="J67" s="117"/>
      <c r="K67" s="117"/>
      <c r="L67" s="117">
        <f t="shared" si="14"/>
        <v>0</v>
      </c>
      <c r="M67" s="117"/>
      <c r="N67" s="117"/>
      <c r="O67" s="117"/>
      <c r="P67" s="117">
        <f t="shared" si="15"/>
        <v>0</v>
      </c>
      <c r="Q67" s="118"/>
      <c r="R67" s="117"/>
      <c r="S67" s="117"/>
      <c r="T67" s="118"/>
      <c r="U67" s="117"/>
      <c r="V67" s="117"/>
      <c r="W67" s="117">
        <f t="shared" si="16"/>
        <v>0</v>
      </c>
      <c r="X67" s="117"/>
      <c r="Y67" s="117"/>
      <c r="Z67" s="117">
        <f t="shared" si="17"/>
        <v>0</v>
      </c>
      <c r="AA67" s="118">
        <v>4000</v>
      </c>
      <c r="AB67" s="117"/>
      <c r="AC67" s="117"/>
      <c r="AD67" s="117"/>
      <c r="AE67" s="117">
        <f t="shared" si="18"/>
        <v>0</v>
      </c>
      <c r="AF67" s="117">
        <v>4000</v>
      </c>
      <c r="AG67" s="117"/>
      <c r="AH67" s="117"/>
      <c r="AI67" s="117">
        <f t="shared" si="19"/>
        <v>4000</v>
      </c>
      <c r="AJ67" s="117"/>
      <c r="AK67" s="117"/>
      <c r="AL67" s="117">
        <f t="shared" si="20"/>
        <v>4000</v>
      </c>
      <c r="AM67" s="117"/>
      <c r="AN67" s="117">
        <f t="shared" si="21"/>
        <v>4000</v>
      </c>
      <c r="AO67" s="125">
        <v>11000</v>
      </c>
      <c r="AP67" s="125"/>
      <c r="AQ67" s="125"/>
      <c r="AR67" s="125">
        <v>11000</v>
      </c>
      <c r="AS67" s="125"/>
      <c r="AT67" s="125"/>
      <c r="AU67" s="117">
        <f t="shared" si="22"/>
        <v>11000</v>
      </c>
      <c r="AV67" s="117"/>
      <c r="AW67" s="117"/>
      <c r="AX67" s="117">
        <f t="shared" si="23"/>
        <v>11000</v>
      </c>
      <c r="AY67" s="120">
        <f t="shared" si="24"/>
        <v>15000</v>
      </c>
      <c r="AZ67" s="120">
        <v>1432.22</v>
      </c>
      <c r="BA67" s="120">
        <f t="shared" si="25"/>
        <v>13567.78</v>
      </c>
      <c r="BB67" s="121">
        <f t="shared" si="28"/>
        <v>0.09548133333333333</v>
      </c>
    </row>
    <row r="68" spans="1:54" ht="25.5">
      <c r="A68" s="80">
        <v>2941</v>
      </c>
      <c r="B68" s="81" t="s">
        <v>188</v>
      </c>
      <c r="C68" s="118"/>
      <c r="D68" s="117"/>
      <c r="E68" s="117"/>
      <c r="F68" s="117">
        <v>0</v>
      </c>
      <c r="G68" s="117"/>
      <c r="H68" s="117"/>
      <c r="I68" s="117">
        <v>0</v>
      </c>
      <c r="J68" s="117"/>
      <c r="K68" s="117"/>
      <c r="L68" s="117">
        <f t="shared" si="14"/>
        <v>0</v>
      </c>
      <c r="M68" s="117"/>
      <c r="N68" s="117"/>
      <c r="O68" s="117"/>
      <c r="P68" s="117">
        <f t="shared" si="15"/>
        <v>0</v>
      </c>
      <c r="Q68" s="118"/>
      <c r="R68" s="117"/>
      <c r="S68" s="117"/>
      <c r="T68" s="118"/>
      <c r="U68" s="117"/>
      <c r="V68" s="117">
        <v>3000</v>
      </c>
      <c r="W68" s="117">
        <f t="shared" si="16"/>
        <v>3000</v>
      </c>
      <c r="X68" s="117"/>
      <c r="Y68" s="117"/>
      <c r="Z68" s="117">
        <f t="shared" si="17"/>
        <v>3000</v>
      </c>
      <c r="AA68" s="118">
        <v>15000</v>
      </c>
      <c r="AB68" s="117"/>
      <c r="AC68" s="117"/>
      <c r="AD68" s="117"/>
      <c r="AE68" s="117">
        <f t="shared" si="18"/>
        <v>3000</v>
      </c>
      <c r="AF68" s="117">
        <v>15000</v>
      </c>
      <c r="AG68" s="117"/>
      <c r="AH68" s="117"/>
      <c r="AI68" s="117">
        <f t="shared" si="19"/>
        <v>15000</v>
      </c>
      <c r="AJ68" s="117"/>
      <c r="AK68" s="117"/>
      <c r="AL68" s="117">
        <f t="shared" si="20"/>
        <v>15000</v>
      </c>
      <c r="AM68" s="117"/>
      <c r="AN68" s="117">
        <f t="shared" si="21"/>
        <v>15000</v>
      </c>
      <c r="AO68" s="125">
        <v>50000</v>
      </c>
      <c r="AP68" s="125"/>
      <c r="AQ68" s="125"/>
      <c r="AR68" s="125">
        <v>50000</v>
      </c>
      <c r="AS68" s="125"/>
      <c r="AT68" s="125"/>
      <c r="AU68" s="117">
        <f t="shared" si="22"/>
        <v>50000</v>
      </c>
      <c r="AV68" s="117"/>
      <c r="AW68" s="117"/>
      <c r="AX68" s="117">
        <f t="shared" si="23"/>
        <v>50000</v>
      </c>
      <c r="AY68" s="120">
        <f t="shared" si="24"/>
        <v>68000</v>
      </c>
      <c r="AZ68" s="120">
        <v>67137.08</v>
      </c>
      <c r="BA68" s="120">
        <f t="shared" si="25"/>
        <v>862.9199999999983</v>
      </c>
      <c r="BB68" s="121">
        <f t="shared" si="28"/>
        <v>0.98731</v>
      </c>
    </row>
    <row r="69" spans="1:54" ht="25.5">
      <c r="A69" s="80">
        <v>2951</v>
      </c>
      <c r="B69" s="81" t="s">
        <v>78</v>
      </c>
      <c r="C69" s="118">
        <v>2000</v>
      </c>
      <c r="D69" s="117"/>
      <c r="E69" s="117"/>
      <c r="F69" s="117">
        <v>2000</v>
      </c>
      <c r="G69" s="117"/>
      <c r="H69" s="117"/>
      <c r="I69" s="117">
        <v>2000</v>
      </c>
      <c r="J69" s="117"/>
      <c r="K69" s="117"/>
      <c r="L69" s="117">
        <f t="shared" si="14"/>
        <v>2000</v>
      </c>
      <c r="M69" s="117"/>
      <c r="N69" s="117"/>
      <c r="O69" s="117"/>
      <c r="P69" s="117">
        <f t="shared" si="15"/>
        <v>2000</v>
      </c>
      <c r="Q69" s="118"/>
      <c r="R69" s="117"/>
      <c r="S69" s="117"/>
      <c r="T69" s="118"/>
      <c r="U69" s="117"/>
      <c r="V69" s="117"/>
      <c r="W69" s="117">
        <f t="shared" si="16"/>
        <v>0</v>
      </c>
      <c r="X69" s="117"/>
      <c r="Y69" s="117"/>
      <c r="Z69" s="117">
        <f t="shared" si="17"/>
        <v>0</v>
      </c>
      <c r="AA69" s="118">
        <v>15000</v>
      </c>
      <c r="AB69" s="117"/>
      <c r="AC69" s="117"/>
      <c r="AD69" s="117"/>
      <c r="AE69" s="117">
        <f t="shared" si="18"/>
        <v>0</v>
      </c>
      <c r="AF69" s="117">
        <v>15000</v>
      </c>
      <c r="AG69" s="117"/>
      <c r="AH69" s="117"/>
      <c r="AI69" s="117">
        <f t="shared" si="19"/>
        <v>15000</v>
      </c>
      <c r="AJ69" s="117"/>
      <c r="AK69" s="117"/>
      <c r="AL69" s="117">
        <f t="shared" si="20"/>
        <v>15000</v>
      </c>
      <c r="AM69" s="117"/>
      <c r="AN69" s="117">
        <f t="shared" si="21"/>
        <v>15000</v>
      </c>
      <c r="AO69" s="125"/>
      <c r="AP69" s="125"/>
      <c r="AQ69" s="125"/>
      <c r="AR69" s="125">
        <v>0</v>
      </c>
      <c r="AS69" s="125"/>
      <c r="AT69" s="125"/>
      <c r="AU69" s="117">
        <f t="shared" si="22"/>
        <v>0</v>
      </c>
      <c r="AV69" s="117"/>
      <c r="AW69" s="117"/>
      <c r="AX69" s="117">
        <f t="shared" si="23"/>
        <v>0</v>
      </c>
      <c r="AY69" s="120">
        <f t="shared" si="24"/>
        <v>17000</v>
      </c>
      <c r="AZ69" s="120">
        <v>0</v>
      </c>
      <c r="BA69" s="120">
        <f t="shared" si="25"/>
        <v>17000</v>
      </c>
      <c r="BB69" s="121">
        <f t="shared" si="28"/>
        <v>0</v>
      </c>
    </row>
    <row r="70" spans="1:54" ht="15.75">
      <c r="A70" s="80">
        <v>2961</v>
      </c>
      <c r="B70" s="81" t="s">
        <v>23</v>
      </c>
      <c r="C70" s="118">
        <v>20000</v>
      </c>
      <c r="D70" s="117"/>
      <c r="E70" s="117"/>
      <c r="F70" s="117">
        <v>20000</v>
      </c>
      <c r="G70" s="117"/>
      <c r="H70" s="117"/>
      <c r="I70" s="117">
        <v>20000</v>
      </c>
      <c r="J70" s="117"/>
      <c r="K70" s="117"/>
      <c r="L70" s="117">
        <f t="shared" si="14"/>
        <v>20000</v>
      </c>
      <c r="M70" s="117"/>
      <c r="N70" s="117"/>
      <c r="O70" s="117"/>
      <c r="P70" s="117">
        <f t="shared" si="15"/>
        <v>20000</v>
      </c>
      <c r="Q70" s="118"/>
      <c r="R70" s="117"/>
      <c r="S70" s="117"/>
      <c r="T70" s="118"/>
      <c r="U70" s="117"/>
      <c r="V70" s="117"/>
      <c r="W70" s="117">
        <f t="shared" si="16"/>
        <v>0</v>
      </c>
      <c r="X70" s="117"/>
      <c r="Y70" s="117"/>
      <c r="Z70" s="117">
        <f t="shared" si="17"/>
        <v>0</v>
      </c>
      <c r="AA70" s="118"/>
      <c r="AB70" s="117"/>
      <c r="AC70" s="117"/>
      <c r="AD70" s="117"/>
      <c r="AE70" s="117">
        <f t="shared" si="18"/>
        <v>0</v>
      </c>
      <c r="AF70" s="117">
        <v>0</v>
      </c>
      <c r="AG70" s="117"/>
      <c r="AH70" s="117"/>
      <c r="AI70" s="117">
        <f t="shared" si="19"/>
        <v>0</v>
      </c>
      <c r="AJ70" s="117"/>
      <c r="AK70" s="117"/>
      <c r="AL70" s="117">
        <f t="shared" si="20"/>
        <v>0</v>
      </c>
      <c r="AM70" s="117"/>
      <c r="AN70" s="117">
        <f t="shared" si="21"/>
        <v>0</v>
      </c>
      <c r="AO70" s="125">
        <v>30000</v>
      </c>
      <c r="AP70" s="125"/>
      <c r="AQ70" s="125"/>
      <c r="AR70" s="125">
        <v>30000</v>
      </c>
      <c r="AS70" s="125"/>
      <c r="AT70" s="125"/>
      <c r="AU70" s="117">
        <f t="shared" si="22"/>
        <v>30000</v>
      </c>
      <c r="AV70" s="117"/>
      <c r="AW70" s="117"/>
      <c r="AX70" s="117">
        <f t="shared" si="23"/>
        <v>30000</v>
      </c>
      <c r="AY70" s="120">
        <f t="shared" si="24"/>
        <v>50000</v>
      </c>
      <c r="AZ70" s="120">
        <v>35220</v>
      </c>
      <c r="BA70" s="120">
        <f t="shared" si="25"/>
        <v>14780</v>
      </c>
      <c r="BB70" s="121">
        <f t="shared" si="28"/>
        <v>0.7044</v>
      </c>
    </row>
    <row r="71" spans="1:54" ht="25.5" customHeight="1">
      <c r="A71" s="80">
        <v>2981</v>
      </c>
      <c r="B71" s="81" t="s">
        <v>24</v>
      </c>
      <c r="C71" s="118"/>
      <c r="D71" s="117"/>
      <c r="E71" s="117"/>
      <c r="F71" s="117">
        <v>0</v>
      </c>
      <c r="G71" s="117"/>
      <c r="H71" s="117"/>
      <c r="I71" s="117">
        <v>0</v>
      </c>
      <c r="J71" s="117"/>
      <c r="K71" s="117"/>
      <c r="L71" s="117"/>
      <c r="M71" s="117"/>
      <c r="N71" s="117"/>
      <c r="O71" s="117"/>
      <c r="P71" s="117"/>
      <c r="Q71" s="118"/>
      <c r="R71" s="117"/>
      <c r="S71" s="117"/>
      <c r="T71" s="118"/>
      <c r="U71" s="117"/>
      <c r="V71" s="117"/>
      <c r="W71" s="117">
        <v>0</v>
      </c>
      <c r="X71" s="117"/>
      <c r="Y71" s="117"/>
      <c r="Z71" s="117"/>
      <c r="AA71" s="118"/>
      <c r="AB71" s="117"/>
      <c r="AC71" s="117"/>
      <c r="AD71" s="117"/>
      <c r="AE71" s="117"/>
      <c r="AF71" s="117">
        <v>0</v>
      </c>
      <c r="AG71" s="117"/>
      <c r="AH71" s="117"/>
      <c r="AI71" s="117">
        <f t="shared" si="19"/>
        <v>0</v>
      </c>
      <c r="AJ71" s="117"/>
      <c r="AK71" s="117"/>
      <c r="AL71" s="117"/>
      <c r="AM71" s="117"/>
      <c r="AN71" s="117"/>
      <c r="AO71" s="125"/>
      <c r="AP71" s="125"/>
      <c r="AQ71" s="125"/>
      <c r="AR71" s="125"/>
      <c r="AS71" s="125"/>
      <c r="AT71" s="125"/>
      <c r="AU71" s="117">
        <v>0</v>
      </c>
      <c r="AV71" s="117"/>
      <c r="AW71" s="117"/>
      <c r="AX71" s="117"/>
      <c r="AY71" s="120">
        <v>0</v>
      </c>
      <c r="AZ71" s="120"/>
      <c r="BA71" s="120">
        <v>0</v>
      </c>
      <c r="BB71" s="121" t="e">
        <f t="shared" si="28"/>
        <v>#DIV/0!</v>
      </c>
    </row>
    <row r="72" spans="1:54" ht="15">
      <c r="A72" s="122"/>
      <c r="B72" s="83" t="s">
        <v>47</v>
      </c>
      <c r="C72" s="122">
        <v>86512</v>
      </c>
      <c r="D72" s="122">
        <v>0</v>
      </c>
      <c r="E72" s="122">
        <v>0</v>
      </c>
      <c r="F72" s="122">
        <v>86512</v>
      </c>
      <c r="G72" s="122">
        <v>0</v>
      </c>
      <c r="H72" s="122">
        <v>0</v>
      </c>
      <c r="I72" s="122">
        <f aca="true" t="shared" si="29" ref="I72:BA72">SUM(I32:I71)</f>
        <v>86512</v>
      </c>
      <c r="J72" s="122">
        <f t="shared" si="29"/>
        <v>0</v>
      </c>
      <c r="K72" s="122">
        <f t="shared" si="29"/>
        <v>0</v>
      </c>
      <c r="L72" s="122">
        <f t="shared" si="29"/>
        <v>86512</v>
      </c>
      <c r="M72" s="122">
        <f t="shared" si="29"/>
        <v>0</v>
      </c>
      <c r="N72" s="122">
        <f t="shared" si="29"/>
        <v>0</v>
      </c>
      <c r="O72" s="122">
        <f t="shared" si="29"/>
        <v>0</v>
      </c>
      <c r="P72" s="122">
        <f t="shared" si="29"/>
        <v>86512</v>
      </c>
      <c r="Q72" s="122">
        <f t="shared" si="29"/>
        <v>0</v>
      </c>
      <c r="R72" s="122">
        <f t="shared" si="29"/>
        <v>0</v>
      </c>
      <c r="S72" s="122">
        <f t="shared" si="29"/>
        <v>0</v>
      </c>
      <c r="T72" s="122">
        <f t="shared" si="29"/>
        <v>0</v>
      </c>
      <c r="U72" s="122">
        <f t="shared" si="29"/>
        <v>0</v>
      </c>
      <c r="V72" s="122">
        <f t="shared" si="29"/>
        <v>16000</v>
      </c>
      <c r="W72" s="122">
        <f t="shared" si="29"/>
        <v>16000</v>
      </c>
      <c r="X72" s="122">
        <f t="shared" si="29"/>
        <v>0</v>
      </c>
      <c r="Y72" s="122">
        <f t="shared" si="29"/>
        <v>0</v>
      </c>
      <c r="Z72" s="122">
        <f t="shared" si="29"/>
        <v>16000</v>
      </c>
      <c r="AA72" s="122">
        <f t="shared" si="29"/>
        <v>524000</v>
      </c>
      <c r="AB72" s="122">
        <f t="shared" si="29"/>
        <v>39000</v>
      </c>
      <c r="AC72" s="122">
        <f t="shared" si="29"/>
        <v>39000</v>
      </c>
      <c r="AD72" s="122">
        <f t="shared" si="29"/>
        <v>0</v>
      </c>
      <c r="AE72" s="122">
        <f t="shared" si="29"/>
        <v>16000</v>
      </c>
      <c r="AF72" s="122">
        <f t="shared" si="29"/>
        <v>524000</v>
      </c>
      <c r="AG72" s="122">
        <f t="shared" si="29"/>
        <v>0</v>
      </c>
      <c r="AH72" s="122">
        <f t="shared" si="29"/>
        <v>68504.18</v>
      </c>
      <c r="AI72" s="122">
        <f t="shared" si="29"/>
        <v>592504.1799999999</v>
      </c>
      <c r="AJ72" s="122">
        <f t="shared" si="29"/>
        <v>0</v>
      </c>
      <c r="AK72" s="122">
        <f t="shared" si="29"/>
        <v>0</v>
      </c>
      <c r="AL72" s="122">
        <f t="shared" si="29"/>
        <v>592504.1799999999</v>
      </c>
      <c r="AM72" s="122">
        <f t="shared" si="29"/>
        <v>0</v>
      </c>
      <c r="AN72" s="122">
        <f t="shared" si="29"/>
        <v>592504.1799999999</v>
      </c>
      <c r="AO72" s="122">
        <f t="shared" si="29"/>
        <v>1271838</v>
      </c>
      <c r="AP72" s="122">
        <f t="shared" si="29"/>
        <v>0</v>
      </c>
      <c r="AQ72" s="122">
        <f t="shared" si="29"/>
        <v>0</v>
      </c>
      <c r="AR72" s="122">
        <f t="shared" si="29"/>
        <v>1271838</v>
      </c>
      <c r="AS72" s="122">
        <f t="shared" si="29"/>
        <v>0</v>
      </c>
      <c r="AT72" s="122">
        <f t="shared" si="29"/>
        <v>0</v>
      </c>
      <c r="AU72" s="122">
        <f t="shared" si="29"/>
        <v>1271838</v>
      </c>
      <c r="AV72" s="122">
        <f t="shared" si="29"/>
        <v>6500</v>
      </c>
      <c r="AW72" s="122">
        <f t="shared" si="29"/>
        <v>6500</v>
      </c>
      <c r="AX72" s="122">
        <f t="shared" si="29"/>
        <v>1271838</v>
      </c>
      <c r="AY72" s="122">
        <f t="shared" si="29"/>
        <v>1966854.18</v>
      </c>
      <c r="AZ72" s="122">
        <f t="shared" si="29"/>
        <v>1792463.6999999997</v>
      </c>
      <c r="BA72" s="122">
        <f t="shared" si="29"/>
        <v>174390.47999999998</v>
      </c>
      <c r="BB72" s="123">
        <f t="shared" si="28"/>
        <v>0.9113353283770126</v>
      </c>
    </row>
    <row r="73" spans="1:54" ht="15.75">
      <c r="A73" s="197" t="s">
        <v>60</v>
      </c>
      <c r="B73" s="197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24"/>
      <c r="AS73" s="124"/>
      <c r="AT73" s="124"/>
      <c r="AU73" s="124"/>
      <c r="AV73" s="124"/>
      <c r="AW73" s="124"/>
      <c r="AX73" s="124"/>
      <c r="AY73" s="120"/>
      <c r="AZ73" s="120"/>
      <c r="BA73" s="120"/>
      <c r="BB73" s="121"/>
    </row>
    <row r="74" spans="1:54" ht="15.75">
      <c r="A74" s="80">
        <v>3111</v>
      </c>
      <c r="B74" s="81" t="s">
        <v>79</v>
      </c>
      <c r="C74" s="118">
        <v>90000</v>
      </c>
      <c r="D74" s="117"/>
      <c r="E74" s="117"/>
      <c r="F74" s="117">
        <v>90000</v>
      </c>
      <c r="G74" s="117"/>
      <c r="H74" s="117"/>
      <c r="I74" s="117">
        <v>90000</v>
      </c>
      <c r="J74" s="117"/>
      <c r="K74" s="117"/>
      <c r="L74" s="117">
        <f aca="true" t="shared" si="30" ref="L74:L120">+I74-J74+K74</f>
        <v>90000</v>
      </c>
      <c r="M74" s="117"/>
      <c r="N74" s="117"/>
      <c r="O74" s="117"/>
      <c r="P74" s="117">
        <f aca="true" t="shared" si="31" ref="P74:P120">+L74+M74-N74+O74</f>
        <v>90000</v>
      </c>
      <c r="Q74" s="117">
        <v>94500</v>
      </c>
      <c r="R74" s="117">
        <v>20000</v>
      </c>
      <c r="S74" s="117"/>
      <c r="T74" s="118">
        <v>74500</v>
      </c>
      <c r="U74" s="117"/>
      <c r="V74" s="117"/>
      <c r="W74" s="117">
        <f aca="true" t="shared" si="32" ref="W74:W120">+T74+V74-U74</f>
        <v>74500</v>
      </c>
      <c r="X74" s="117"/>
      <c r="Y74" s="117"/>
      <c r="Z74" s="117">
        <f aca="true" t="shared" si="33" ref="Z74:Z120">+W74-X74+Y74</f>
        <v>74500</v>
      </c>
      <c r="AA74" s="118"/>
      <c r="AB74" s="117"/>
      <c r="AC74" s="117"/>
      <c r="AD74" s="117"/>
      <c r="AE74" s="117">
        <f aca="true" t="shared" si="34" ref="AE74:AE120">+W74+AD74</f>
        <v>74500</v>
      </c>
      <c r="AF74" s="117">
        <v>0</v>
      </c>
      <c r="AG74" s="117"/>
      <c r="AH74" s="117"/>
      <c r="AI74" s="117">
        <f aca="true" t="shared" si="35" ref="AI74:AI120">+AF74-AG74+AH74</f>
        <v>0</v>
      </c>
      <c r="AJ74" s="117"/>
      <c r="AK74" s="117"/>
      <c r="AL74" s="117">
        <f aca="true" t="shared" si="36" ref="AL74:AL120">+AI74-AJ74+AK74</f>
        <v>0</v>
      </c>
      <c r="AM74" s="117"/>
      <c r="AN74" s="117">
        <f aca="true" t="shared" si="37" ref="AN74:AN120">+AL74+AM74</f>
        <v>0</v>
      </c>
      <c r="AO74" s="118">
        <v>20000</v>
      </c>
      <c r="AP74" s="118"/>
      <c r="AQ74" s="118"/>
      <c r="AR74" s="118">
        <v>20000</v>
      </c>
      <c r="AS74" s="118"/>
      <c r="AT74" s="118"/>
      <c r="AU74" s="117">
        <f aca="true" t="shared" si="38" ref="AU74:AU120">+AR74-AS74+AT74</f>
        <v>20000</v>
      </c>
      <c r="AV74" s="117"/>
      <c r="AW74" s="117"/>
      <c r="AX74" s="117">
        <f aca="true" t="shared" si="39" ref="AX74:AX120">+AU74-AV74+AW74</f>
        <v>20000</v>
      </c>
      <c r="AY74" s="120">
        <f aca="true" t="shared" si="40" ref="AY74:AY120">+P74+AE74+AN74+AX74</f>
        <v>184500</v>
      </c>
      <c r="AZ74" s="120">
        <v>158473</v>
      </c>
      <c r="BA74" s="120">
        <f aca="true" t="shared" si="41" ref="BA74:BA120">+AY74-AZ74</f>
        <v>26027</v>
      </c>
      <c r="BB74" s="121">
        <f>AZ74/AY74</f>
        <v>0.8589322493224932</v>
      </c>
    </row>
    <row r="75" spans="1:54" ht="15.75" customHeight="1">
      <c r="A75" s="80">
        <v>3131</v>
      </c>
      <c r="B75" s="81" t="s">
        <v>189</v>
      </c>
      <c r="C75" s="118">
        <v>2500</v>
      </c>
      <c r="D75" s="117"/>
      <c r="E75" s="117"/>
      <c r="F75" s="117">
        <v>2500</v>
      </c>
      <c r="G75" s="117"/>
      <c r="H75" s="117"/>
      <c r="I75" s="117">
        <v>2500</v>
      </c>
      <c r="J75" s="117"/>
      <c r="K75" s="117"/>
      <c r="L75" s="117">
        <f t="shared" si="30"/>
        <v>2500</v>
      </c>
      <c r="M75" s="117"/>
      <c r="N75" s="117"/>
      <c r="O75" s="117"/>
      <c r="P75" s="117">
        <f t="shared" si="31"/>
        <v>2500</v>
      </c>
      <c r="Q75" s="117">
        <v>2625</v>
      </c>
      <c r="R75" s="117"/>
      <c r="S75" s="117"/>
      <c r="T75" s="118">
        <v>2625</v>
      </c>
      <c r="U75" s="117"/>
      <c r="V75" s="117"/>
      <c r="W75" s="117">
        <f t="shared" si="32"/>
        <v>2625</v>
      </c>
      <c r="X75" s="117"/>
      <c r="Y75" s="117"/>
      <c r="Z75" s="117">
        <f t="shared" si="33"/>
        <v>2625</v>
      </c>
      <c r="AA75" s="119"/>
      <c r="AB75" s="117"/>
      <c r="AC75" s="117"/>
      <c r="AD75" s="117"/>
      <c r="AE75" s="117">
        <f t="shared" si="34"/>
        <v>2625</v>
      </c>
      <c r="AF75" s="117">
        <v>0</v>
      </c>
      <c r="AG75" s="117"/>
      <c r="AH75" s="117"/>
      <c r="AI75" s="117">
        <f t="shared" si="35"/>
        <v>0</v>
      </c>
      <c r="AJ75" s="117"/>
      <c r="AK75" s="117"/>
      <c r="AL75" s="117">
        <f t="shared" si="36"/>
        <v>0</v>
      </c>
      <c r="AM75" s="117"/>
      <c r="AN75" s="117">
        <f t="shared" si="37"/>
        <v>0</v>
      </c>
      <c r="AO75" s="118"/>
      <c r="AP75" s="118"/>
      <c r="AQ75" s="118"/>
      <c r="AR75" s="118">
        <v>0</v>
      </c>
      <c r="AS75" s="118"/>
      <c r="AT75" s="118"/>
      <c r="AU75" s="117">
        <f t="shared" si="38"/>
        <v>0</v>
      </c>
      <c r="AV75" s="117"/>
      <c r="AW75" s="117"/>
      <c r="AX75" s="117">
        <f t="shared" si="39"/>
        <v>0</v>
      </c>
      <c r="AY75" s="120">
        <f t="shared" si="40"/>
        <v>5125</v>
      </c>
      <c r="AZ75" s="120">
        <v>0</v>
      </c>
      <c r="BA75" s="120">
        <f t="shared" si="41"/>
        <v>5125</v>
      </c>
      <c r="BB75" s="121">
        <f>AZ75/AY75</f>
        <v>0</v>
      </c>
    </row>
    <row r="76" spans="1:54" ht="20.25" customHeight="1">
      <c r="A76" s="80">
        <v>3141</v>
      </c>
      <c r="B76" s="81" t="s">
        <v>80</v>
      </c>
      <c r="C76" s="118">
        <v>40000</v>
      </c>
      <c r="D76" s="117"/>
      <c r="E76" s="117"/>
      <c r="F76" s="117">
        <v>40000</v>
      </c>
      <c r="G76" s="117"/>
      <c r="H76" s="117"/>
      <c r="I76" s="117">
        <v>40000</v>
      </c>
      <c r="J76" s="117"/>
      <c r="K76" s="117"/>
      <c r="L76" s="117">
        <f t="shared" si="30"/>
        <v>40000</v>
      </c>
      <c r="M76" s="117"/>
      <c r="N76" s="117"/>
      <c r="O76" s="117"/>
      <c r="P76" s="117">
        <f t="shared" si="31"/>
        <v>40000</v>
      </c>
      <c r="Q76" s="117">
        <v>189000</v>
      </c>
      <c r="R76" s="117">
        <v>20000</v>
      </c>
      <c r="S76" s="117"/>
      <c r="T76" s="118">
        <v>169000</v>
      </c>
      <c r="U76" s="117"/>
      <c r="V76" s="117">
        <v>32000</v>
      </c>
      <c r="W76" s="117">
        <f t="shared" si="32"/>
        <v>201000</v>
      </c>
      <c r="X76" s="117"/>
      <c r="Y76" s="117"/>
      <c r="Z76" s="117">
        <f t="shared" si="33"/>
        <v>201000</v>
      </c>
      <c r="AA76" s="118"/>
      <c r="AB76" s="117"/>
      <c r="AC76" s="117"/>
      <c r="AD76" s="117"/>
      <c r="AE76" s="117">
        <f t="shared" si="34"/>
        <v>201000</v>
      </c>
      <c r="AF76" s="117">
        <v>0</v>
      </c>
      <c r="AG76" s="117"/>
      <c r="AH76" s="117"/>
      <c r="AI76" s="117">
        <f t="shared" si="35"/>
        <v>0</v>
      </c>
      <c r="AJ76" s="117"/>
      <c r="AK76" s="117"/>
      <c r="AL76" s="117">
        <f t="shared" si="36"/>
        <v>0</v>
      </c>
      <c r="AM76" s="117"/>
      <c r="AN76" s="117">
        <f t="shared" si="37"/>
        <v>0</v>
      </c>
      <c r="AO76" s="118">
        <v>21000</v>
      </c>
      <c r="AP76" s="118"/>
      <c r="AQ76" s="118"/>
      <c r="AR76" s="118">
        <v>21000</v>
      </c>
      <c r="AS76" s="118"/>
      <c r="AT76" s="118"/>
      <c r="AU76" s="117">
        <f t="shared" si="38"/>
        <v>21000</v>
      </c>
      <c r="AV76" s="117"/>
      <c r="AW76" s="117"/>
      <c r="AX76" s="117">
        <f t="shared" si="39"/>
        <v>21000</v>
      </c>
      <c r="AY76" s="120">
        <f t="shared" si="40"/>
        <v>262000</v>
      </c>
      <c r="AZ76" s="120">
        <v>261684.81000000003</v>
      </c>
      <c r="BA76" s="120">
        <f t="shared" si="41"/>
        <v>315.1899999999732</v>
      </c>
      <c r="BB76" s="121">
        <f>AZ76/AY76</f>
        <v>0.9987969847328245</v>
      </c>
    </row>
    <row r="77" spans="1:54" ht="15.75" customHeight="1">
      <c r="A77" s="80">
        <v>3151</v>
      </c>
      <c r="B77" s="81" t="s">
        <v>190</v>
      </c>
      <c r="C77" s="118"/>
      <c r="D77" s="117"/>
      <c r="E77" s="117"/>
      <c r="F77" s="117">
        <v>0</v>
      </c>
      <c r="G77" s="117"/>
      <c r="H77" s="117"/>
      <c r="I77" s="117">
        <v>0</v>
      </c>
      <c r="J77" s="117"/>
      <c r="K77" s="117"/>
      <c r="L77" s="117">
        <f t="shared" si="30"/>
        <v>0</v>
      </c>
      <c r="M77" s="117"/>
      <c r="N77" s="117"/>
      <c r="O77" s="117"/>
      <c r="P77" s="117">
        <f t="shared" si="31"/>
        <v>0</v>
      </c>
      <c r="Q77" s="117"/>
      <c r="R77" s="117"/>
      <c r="S77" s="117"/>
      <c r="T77" s="118">
        <v>0</v>
      </c>
      <c r="U77" s="117"/>
      <c r="V77" s="117"/>
      <c r="W77" s="117">
        <f t="shared" si="32"/>
        <v>0</v>
      </c>
      <c r="X77" s="117"/>
      <c r="Y77" s="117"/>
      <c r="Z77" s="117">
        <f t="shared" si="33"/>
        <v>0</v>
      </c>
      <c r="AA77" s="118"/>
      <c r="AB77" s="117"/>
      <c r="AC77" s="117"/>
      <c r="AD77" s="117"/>
      <c r="AE77" s="117">
        <f t="shared" si="34"/>
        <v>0</v>
      </c>
      <c r="AF77" s="117">
        <v>0</v>
      </c>
      <c r="AG77" s="117"/>
      <c r="AH77" s="117"/>
      <c r="AI77" s="117">
        <f t="shared" si="35"/>
        <v>0</v>
      </c>
      <c r="AJ77" s="117"/>
      <c r="AK77" s="117"/>
      <c r="AL77" s="117">
        <f t="shared" si="36"/>
        <v>0</v>
      </c>
      <c r="AM77" s="117"/>
      <c r="AN77" s="117">
        <f t="shared" si="37"/>
        <v>0</v>
      </c>
      <c r="AO77" s="118"/>
      <c r="AP77" s="118"/>
      <c r="AQ77" s="118"/>
      <c r="AR77" s="118">
        <v>0</v>
      </c>
      <c r="AS77" s="118"/>
      <c r="AT77" s="118"/>
      <c r="AU77" s="117">
        <f t="shared" si="38"/>
        <v>0</v>
      </c>
      <c r="AV77" s="117"/>
      <c r="AW77" s="117"/>
      <c r="AX77" s="117">
        <f t="shared" si="39"/>
        <v>0</v>
      </c>
      <c r="AY77" s="120">
        <f t="shared" si="40"/>
        <v>0</v>
      </c>
      <c r="AZ77" s="120">
        <v>0</v>
      </c>
      <c r="BA77" s="120">
        <f t="shared" si="41"/>
        <v>0</v>
      </c>
      <c r="BB77" s="121">
        <v>0</v>
      </c>
    </row>
    <row r="78" spans="1:54" ht="25.5">
      <c r="A78" s="80">
        <v>3171</v>
      </c>
      <c r="B78" s="81" t="s">
        <v>191</v>
      </c>
      <c r="C78" s="118">
        <v>19200</v>
      </c>
      <c r="D78" s="117"/>
      <c r="E78" s="117"/>
      <c r="F78" s="117">
        <v>19200</v>
      </c>
      <c r="G78" s="117"/>
      <c r="H78" s="117"/>
      <c r="I78" s="117">
        <v>19200</v>
      </c>
      <c r="J78" s="117"/>
      <c r="K78" s="117"/>
      <c r="L78" s="117">
        <f t="shared" si="30"/>
        <v>19200</v>
      </c>
      <c r="M78" s="117"/>
      <c r="N78" s="117"/>
      <c r="O78" s="117"/>
      <c r="P78" s="117">
        <f t="shared" si="31"/>
        <v>19200</v>
      </c>
      <c r="Q78" s="117">
        <v>20160</v>
      </c>
      <c r="R78" s="117"/>
      <c r="S78" s="117"/>
      <c r="T78" s="118">
        <v>20160</v>
      </c>
      <c r="U78" s="117"/>
      <c r="V78" s="117"/>
      <c r="W78" s="117">
        <f t="shared" si="32"/>
        <v>20160</v>
      </c>
      <c r="X78" s="117"/>
      <c r="Y78" s="117"/>
      <c r="Z78" s="117">
        <f t="shared" si="33"/>
        <v>20160</v>
      </c>
      <c r="AA78" s="118"/>
      <c r="AB78" s="117"/>
      <c r="AC78" s="117"/>
      <c r="AD78" s="117"/>
      <c r="AE78" s="117">
        <f t="shared" si="34"/>
        <v>20160</v>
      </c>
      <c r="AF78" s="117">
        <v>0</v>
      </c>
      <c r="AG78" s="117"/>
      <c r="AH78" s="117"/>
      <c r="AI78" s="117">
        <f t="shared" si="35"/>
        <v>0</v>
      </c>
      <c r="AJ78" s="117"/>
      <c r="AK78" s="117"/>
      <c r="AL78" s="117">
        <f t="shared" si="36"/>
        <v>0</v>
      </c>
      <c r="AM78" s="117"/>
      <c r="AN78" s="117">
        <f t="shared" si="37"/>
        <v>0</v>
      </c>
      <c r="AO78" s="118"/>
      <c r="AP78" s="118"/>
      <c r="AQ78" s="118"/>
      <c r="AR78" s="118">
        <v>0</v>
      </c>
      <c r="AS78" s="118"/>
      <c r="AT78" s="118"/>
      <c r="AU78" s="117">
        <f t="shared" si="38"/>
        <v>0</v>
      </c>
      <c r="AV78" s="117"/>
      <c r="AW78" s="117"/>
      <c r="AX78" s="117">
        <f t="shared" si="39"/>
        <v>0</v>
      </c>
      <c r="AY78" s="120">
        <f t="shared" si="40"/>
        <v>39360</v>
      </c>
      <c r="AZ78" s="120">
        <v>33032.99</v>
      </c>
      <c r="BA78" s="120">
        <f t="shared" si="41"/>
        <v>6327.010000000002</v>
      </c>
      <c r="BB78" s="121">
        <f>AZ78/AY78</f>
        <v>0.8392527947154471</v>
      </c>
    </row>
    <row r="79" spans="1:54" ht="15.75">
      <c r="A79" s="80">
        <v>3181</v>
      </c>
      <c r="B79" s="81" t="s">
        <v>25</v>
      </c>
      <c r="C79" s="118">
        <v>1750</v>
      </c>
      <c r="D79" s="117"/>
      <c r="E79" s="117"/>
      <c r="F79" s="117">
        <v>1750</v>
      </c>
      <c r="G79" s="117"/>
      <c r="H79" s="117"/>
      <c r="I79" s="117">
        <v>1750</v>
      </c>
      <c r="J79" s="117"/>
      <c r="K79" s="117"/>
      <c r="L79" s="117">
        <f t="shared" si="30"/>
        <v>1750</v>
      </c>
      <c r="M79" s="117"/>
      <c r="N79" s="117"/>
      <c r="O79" s="117"/>
      <c r="P79" s="117">
        <f t="shared" si="31"/>
        <v>1750</v>
      </c>
      <c r="Q79" s="117">
        <v>1838</v>
      </c>
      <c r="R79" s="117"/>
      <c r="S79" s="117"/>
      <c r="T79" s="118">
        <v>1838</v>
      </c>
      <c r="U79" s="117"/>
      <c r="V79" s="117">
        <v>1000</v>
      </c>
      <c r="W79" s="117">
        <f t="shared" si="32"/>
        <v>2838</v>
      </c>
      <c r="X79" s="117"/>
      <c r="Y79" s="117"/>
      <c r="Z79" s="117">
        <f t="shared" si="33"/>
        <v>2838</v>
      </c>
      <c r="AA79" s="118"/>
      <c r="AB79" s="117"/>
      <c r="AC79" s="117"/>
      <c r="AD79" s="117"/>
      <c r="AE79" s="117">
        <f t="shared" si="34"/>
        <v>2838</v>
      </c>
      <c r="AF79" s="117">
        <v>0</v>
      </c>
      <c r="AG79" s="117"/>
      <c r="AH79" s="117"/>
      <c r="AI79" s="117">
        <f t="shared" si="35"/>
        <v>0</v>
      </c>
      <c r="AJ79" s="117"/>
      <c r="AK79" s="117"/>
      <c r="AL79" s="117">
        <f t="shared" si="36"/>
        <v>0</v>
      </c>
      <c r="AM79" s="117"/>
      <c r="AN79" s="117">
        <f t="shared" si="37"/>
        <v>0</v>
      </c>
      <c r="AO79" s="118"/>
      <c r="AP79" s="118"/>
      <c r="AQ79" s="118"/>
      <c r="AR79" s="118">
        <v>0</v>
      </c>
      <c r="AS79" s="118"/>
      <c r="AT79" s="118"/>
      <c r="AU79" s="117">
        <f t="shared" si="38"/>
        <v>0</v>
      </c>
      <c r="AV79" s="117"/>
      <c r="AW79" s="117"/>
      <c r="AX79" s="117">
        <f t="shared" si="39"/>
        <v>0</v>
      </c>
      <c r="AY79" s="120">
        <f t="shared" si="40"/>
        <v>4588</v>
      </c>
      <c r="AZ79" s="120">
        <v>3768.44</v>
      </c>
      <c r="BA79" s="120">
        <f t="shared" si="41"/>
        <v>819.56</v>
      </c>
      <c r="BB79" s="121">
        <f>AZ79/AY79</f>
        <v>0.8213687881429818</v>
      </c>
    </row>
    <row r="80" spans="1:54" ht="15.75" customHeight="1">
      <c r="A80" s="80">
        <v>3231</v>
      </c>
      <c r="B80" s="81" t="s">
        <v>81</v>
      </c>
      <c r="C80" s="118"/>
      <c r="D80" s="117"/>
      <c r="E80" s="117"/>
      <c r="F80" s="117">
        <v>0</v>
      </c>
      <c r="G80" s="117"/>
      <c r="H80" s="117"/>
      <c r="I80" s="117">
        <v>0</v>
      </c>
      <c r="J80" s="117"/>
      <c r="K80" s="117"/>
      <c r="L80" s="117">
        <f t="shared" si="30"/>
        <v>0</v>
      </c>
      <c r="M80" s="117"/>
      <c r="N80" s="117"/>
      <c r="O80" s="117"/>
      <c r="P80" s="117">
        <f t="shared" si="31"/>
        <v>0</v>
      </c>
      <c r="Q80" s="117"/>
      <c r="R80" s="117"/>
      <c r="S80" s="117"/>
      <c r="T80" s="118">
        <v>0</v>
      </c>
      <c r="U80" s="117"/>
      <c r="V80" s="117"/>
      <c r="W80" s="117">
        <f t="shared" si="32"/>
        <v>0</v>
      </c>
      <c r="X80" s="117"/>
      <c r="Y80" s="117"/>
      <c r="Z80" s="117">
        <f t="shared" si="33"/>
        <v>0</v>
      </c>
      <c r="AA80" s="118"/>
      <c r="AB80" s="117"/>
      <c r="AC80" s="117"/>
      <c r="AD80" s="117"/>
      <c r="AE80" s="117">
        <f t="shared" si="34"/>
        <v>0</v>
      </c>
      <c r="AF80" s="117">
        <v>0</v>
      </c>
      <c r="AG80" s="117"/>
      <c r="AH80" s="117"/>
      <c r="AI80" s="117">
        <f t="shared" si="35"/>
        <v>0</v>
      </c>
      <c r="AJ80" s="117"/>
      <c r="AK80" s="117"/>
      <c r="AL80" s="117">
        <f t="shared" si="36"/>
        <v>0</v>
      </c>
      <c r="AM80" s="117"/>
      <c r="AN80" s="117">
        <f t="shared" si="37"/>
        <v>0</v>
      </c>
      <c r="AO80" s="118"/>
      <c r="AP80" s="118"/>
      <c r="AQ80" s="118"/>
      <c r="AR80" s="118">
        <v>0</v>
      </c>
      <c r="AS80" s="118"/>
      <c r="AT80" s="118"/>
      <c r="AU80" s="117">
        <f t="shared" si="38"/>
        <v>0</v>
      </c>
      <c r="AV80" s="117"/>
      <c r="AW80" s="117"/>
      <c r="AX80" s="117">
        <f t="shared" si="39"/>
        <v>0</v>
      </c>
      <c r="AY80" s="120">
        <f t="shared" si="40"/>
        <v>0</v>
      </c>
      <c r="AZ80" s="120">
        <v>0</v>
      </c>
      <c r="BA80" s="120">
        <f t="shared" si="41"/>
        <v>0</v>
      </c>
      <c r="BB80" s="121">
        <v>0</v>
      </c>
    </row>
    <row r="81" spans="1:54" ht="15.75" customHeight="1">
      <c r="A81" s="80">
        <v>3251</v>
      </c>
      <c r="B81" s="81" t="s">
        <v>192</v>
      </c>
      <c r="C81" s="118"/>
      <c r="D81" s="117"/>
      <c r="E81" s="117"/>
      <c r="F81" s="117">
        <v>0</v>
      </c>
      <c r="G81" s="117"/>
      <c r="H81" s="117"/>
      <c r="I81" s="117">
        <v>0</v>
      </c>
      <c r="J81" s="117"/>
      <c r="K81" s="117"/>
      <c r="L81" s="117">
        <f t="shared" si="30"/>
        <v>0</v>
      </c>
      <c r="M81" s="117"/>
      <c r="N81" s="117"/>
      <c r="O81" s="117"/>
      <c r="P81" s="117">
        <f t="shared" si="31"/>
        <v>0</v>
      </c>
      <c r="Q81" s="117">
        <v>42000</v>
      </c>
      <c r="R81" s="117">
        <v>5000</v>
      </c>
      <c r="S81" s="117"/>
      <c r="T81" s="118">
        <v>37000</v>
      </c>
      <c r="U81" s="117"/>
      <c r="V81" s="117"/>
      <c r="W81" s="117">
        <f t="shared" si="32"/>
        <v>37000</v>
      </c>
      <c r="X81" s="117"/>
      <c r="Y81" s="117"/>
      <c r="Z81" s="117">
        <f t="shared" si="33"/>
        <v>37000</v>
      </c>
      <c r="AA81" s="118"/>
      <c r="AB81" s="117"/>
      <c r="AC81" s="117"/>
      <c r="AD81" s="117"/>
      <c r="AE81" s="117">
        <f t="shared" si="34"/>
        <v>37000</v>
      </c>
      <c r="AF81" s="117">
        <v>0</v>
      </c>
      <c r="AG81" s="117"/>
      <c r="AH81" s="117"/>
      <c r="AI81" s="117">
        <f t="shared" si="35"/>
        <v>0</v>
      </c>
      <c r="AJ81" s="117"/>
      <c r="AK81" s="117"/>
      <c r="AL81" s="117">
        <f t="shared" si="36"/>
        <v>0</v>
      </c>
      <c r="AM81" s="117"/>
      <c r="AN81" s="117">
        <f t="shared" si="37"/>
        <v>0</v>
      </c>
      <c r="AO81" s="118">
        <v>28000</v>
      </c>
      <c r="AP81" s="118"/>
      <c r="AQ81" s="118"/>
      <c r="AR81" s="118">
        <v>28000</v>
      </c>
      <c r="AS81" s="118"/>
      <c r="AT81" s="118"/>
      <c r="AU81" s="117">
        <f t="shared" si="38"/>
        <v>28000</v>
      </c>
      <c r="AV81" s="117"/>
      <c r="AW81" s="117"/>
      <c r="AX81" s="117">
        <f t="shared" si="39"/>
        <v>28000</v>
      </c>
      <c r="AY81" s="120">
        <f t="shared" si="40"/>
        <v>65000</v>
      </c>
      <c r="AZ81" s="120">
        <v>63952.21</v>
      </c>
      <c r="BA81" s="120">
        <f t="shared" si="41"/>
        <v>1047.7900000000009</v>
      </c>
      <c r="BB81" s="121">
        <f aca="true" t="shared" si="42" ref="BB81:BB87">AZ81/AY81</f>
        <v>0.9838801538461538</v>
      </c>
    </row>
    <row r="82" spans="1:54" ht="15.75">
      <c r="A82" s="80">
        <v>3261</v>
      </c>
      <c r="B82" s="81" t="s">
        <v>82</v>
      </c>
      <c r="C82" s="118"/>
      <c r="D82" s="117"/>
      <c r="E82" s="117"/>
      <c r="F82" s="117">
        <v>0</v>
      </c>
      <c r="G82" s="117"/>
      <c r="H82" s="117"/>
      <c r="I82" s="117">
        <v>0</v>
      </c>
      <c r="J82" s="117"/>
      <c r="K82" s="117"/>
      <c r="L82" s="117">
        <f t="shared" si="30"/>
        <v>0</v>
      </c>
      <c r="M82" s="117"/>
      <c r="N82" s="117"/>
      <c r="O82" s="117"/>
      <c r="P82" s="117">
        <f t="shared" si="31"/>
        <v>0</v>
      </c>
      <c r="Q82" s="117">
        <v>34000</v>
      </c>
      <c r="R82" s="117"/>
      <c r="S82" s="117"/>
      <c r="T82" s="118">
        <v>34000</v>
      </c>
      <c r="U82" s="117"/>
      <c r="V82" s="117"/>
      <c r="W82" s="117">
        <f t="shared" si="32"/>
        <v>34000</v>
      </c>
      <c r="X82" s="117"/>
      <c r="Y82" s="117"/>
      <c r="Z82" s="117">
        <f t="shared" si="33"/>
        <v>34000</v>
      </c>
      <c r="AA82" s="118"/>
      <c r="AB82" s="117"/>
      <c r="AC82" s="117"/>
      <c r="AD82" s="117"/>
      <c r="AE82" s="117">
        <f t="shared" si="34"/>
        <v>34000</v>
      </c>
      <c r="AF82" s="117">
        <v>0</v>
      </c>
      <c r="AG82" s="117"/>
      <c r="AH82" s="117"/>
      <c r="AI82" s="117">
        <f t="shared" si="35"/>
        <v>0</v>
      </c>
      <c r="AJ82" s="117"/>
      <c r="AK82" s="117"/>
      <c r="AL82" s="117">
        <f t="shared" si="36"/>
        <v>0</v>
      </c>
      <c r="AM82" s="117"/>
      <c r="AN82" s="117">
        <f t="shared" si="37"/>
        <v>0</v>
      </c>
      <c r="AO82" s="118">
        <v>36000</v>
      </c>
      <c r="AP82" s="118"/>
      <c r="AQ82" s="118"/>
      <c r="AR82" s="118">
        <v>36000</v>
      </c>
      <c r="AS82" s="118"/>
      <c r="AT82" s="118"/>
      <c r="AU82" s="117">
        <f t="shared" si="38"/>
        <v>36000</v>
      </c>
      <c r="AV82" s="117"/>
      <c r="AW82" s="117"/>
      <c r="AX82" s="117">
        <f t="shared" si="39"/>
        <v>36000</v>
      </c>
      <c r="AY82" s="120">
        <f t="shared" si="40"/>
        <v>70000</v>
      </c>
      <c r="AZ82" s="120">
        <v>69716</v>
      </c>
      <c r="BA82" s="120">
        <f t="shared" si="41"/>
        <v>284</v>
      </c>
      <c r="BB82" s="121">
        <f t="shared" si="42"/>
        <v>0.9959428571428571</v>
      </c>
    </row>
    <row r="83" spans="1:54" ht="15.75">
      <c r="A83" s="126">
        <v>3291</v>
      </c>
      <c r="B83" s="86" t="s">
        <v>83</v>
      </c>
      <c r="C83" s="119">
        <v>5000</v>
      </c>
      <c r="D83" s="117"/>
      <c r="E83" s="117"/>
      <c r="F83" s="117">
        <v>5000</v>
      </c>
      <c r="G83" s="117"/>
      <c r="H83" s="117"/>
      <c r="I83" s="117">
        <v>5000</v>
      </c>
      <c r="J83" s="117"/>
      <c r="K83" s="117"/>
      <c r="L83" s="117">
        <f t="shared" si="30"/>
        <v>5000</v>
      </c>
      <c r="M83" s="117"/>
      <c r="N83" s="117"/>
      <c r="O83" s="117"/>
      <c r="P83" s="117">
        <f t="shared" si="31"/>
        <v>5000</v>
      </c>
      <c r="Q83" s="117"/>
      <c r="R83" s="117"/>
      <c r="S83" s="117"/>
      <c r="T83" s="118">
        <v>0</v>
      </c>
      <c r="U83" s="117"/>
      <c r="V83" s="117"/>
      <c r="W83" s="117">
        <f t="shared" si="32"/>
        <v>0</v>
      </c>
      <c r="X83" s="117"/>
      <c r="Y83" s="117"/>
      <c r="Z83" s="117">
        <f t="shared" si="33"/>
        <v>0</v>
      </c>
      <c r="AA83" s="118"/>
      <c r="AB83" s="117"/>
      <c r="AC83" s="117"/>
      <c r="AD83" s="117"/>
      <c r="AE83" s="117">
        <f t="shared" si="34"/>
        <v>0</v>
      </c>
      <c r="AF83" s="117">
        <v>0</v>
      </c>
      <c r="AG83" s="117"/>
      <c r="AH83" s="117"/>
      <c r="AI83" s="117">
        <f t="shared" si="35"/>
        <v>0</v>
      </c>
      <c r="AJ83" s="117"/>
      <c r="AK83" s="117"/>
      <c r="AL83" s="117">
        <f t="shared" si="36"/>
        <v>0</v>
      </c>
      <c r="AM83" s="117"/>
      <c r="AN83" s="117">
        <f t="shared" si="37"/>
        <v>0</v>
      </c>
      <c r="AO83" s="118">
        <v>2000</v>
      </c>
      <c r="AP83" s="118"/>
      <c r="AQ83" s="118"/>
      <c r="AR83" s="118">
        <v>2000</v>
      </c>
      <c r="AS83" s="118"/>
      <c r="AT83" s="118"/>
      <c r="AU83" s="117">
        <f t="shared" si="38"/>
        <v>2000</v>
      </c>
      <c r="AV83" s="117"/>
      <c r="AW83" s="117"/>
      <c r="AX83" s="117">
        <f t="shared" si="39"/>
        <v>2000</v>
      </c>
      <c r="AY83" s="120">
        <f t="shared" si="40"/>
        <v>7000</v>
      </c>
      <c r="AZ83" s="120">
        <v>3480</v>
      </c>
      <c r="BA83" s="120">
        <f t="shared" si="41"/>
        <v>3520</v>
      </c>
      <c r="BB83" s="121">
        <f t="shared" si="42"/>
        <v>0.49714285714285716</v>
      </c>
    </row>
    <row r="84" spans="1:54" ht="15.75" customHeight="1">
      <c r="A84" s="126">
        <v>3311</v>
      </c>
      <c r="B84" s="86" t="s">
        <v>84</v>
      </c>
      <c r="C84" s="119">
        <v>100000</v>
      </c>
      <c r="D84" s="117"/>
      <c r="E84" s="117"/>
      <c r="F84" s="117">
        <v>100000</v>
      </c>
      <c r="G84" s="117"/>
      <c r="H84" s="117"/>
      <c r="I84" s="117">
        <v>100000</v>
      </c>
      <c r="J84" s="117"/>
      <c r="K84" s="117"/>
      <c r="L84" s="117">
        <f t="shared" si="30"/>
        <v>100000</v>
      </c>
      <c r="M84" s="117"/>
      <c r="N84" s="117"/>
      <c r="O84" s="117">
        <v>2000</v>
      </c>
      <c r="P84" s="117">
        <f t="shared" si="31"/>
        <v>102000</v>
      </c>
      <c r="Q84" s="117">
        <v>120000</v>
      </c>
      <c r="R84" s="117">
        <v>80000</v>
      </c>
      <c r="S84" s="117"/>
      <c r="T84" s="118">
        <v>40000</v>
      </c>
      <c r="U84" s="117"/>
      <c r="V84" s="117"/>
      <c r="W84" s="117">
        <f t="shared" si="32"/>
        <v>40000</v>
      </c>
      <c r="X84" s="117"/>
      <c r="Y84" s="117"/>
      <c r="Z84" s="117">
        <f t="shared" si="33"/>
        <v>40000</v>
      </c>
      <c r="AA84" s="118">
        <v>50000</v>
      </c>
      <c r="AB84" s="117"/>
      <c r="AC84" s="117"/>
      <c r="AD84" s="117"/>
      <c r="AE84" s="117">
        <f t="shared" si="34"/>
        <v>40000</v>
      </c>
      <c r="AF84" s="117">
        <v>50000</v>
      </c>
      <c r="AG84" s="117"/>
      <c r="AH84" s="117"/>
      <c r="AI84" s="117">
        <f t="shared" si="35"/>
        <v>50000</v>
      </c>
      <c r="AJ84" s="117"/>
      <c r="AK84" s="117"/>
      <c r="AL84" s="117">
        <f t="shared" si="36"/>
        <v>50000</v>
      </c>
      <c r="AM84" s="117"/>
      <c r="AN84" s="117">
        <f t="shared" si="37"/>
        <v>50000</v>
      </c>
      <c r="AO84" s="118">
        <v>130000</v>
      </c>
      <c r="AP84" s="118"/>
      <c r="AQ84" s="118"/>
      <c r="AR84" s="118">
        <v>130000</v>
      </c>
      <c r="AS84" s="118"/>
      <c r="AT84" s="118"/>
      <c r="AU84" s="117">
        <f t="shared" si="38"/>
        <v>130000</v>
      </c>
      <c r="AV84" s="117"/>
      <c r="AW84" s="117">
        <v>20000</v>
      </c>
      <c r="AX84" s="117">
        <f t="shared" si="39"/>
        <v>150000</v>
      </c>
      <c r="AY84" s="120">
        <f t="shared" si="40"/>
        <v>342000</v>
      </c>
      <c r="AZ84" s="120">
        <v>341428.14</v>
      </c>
      <c r="BA84" s="120">
        <f t="shared" si="41"/>
        <v>571.859999999986</v>
      </c>
      <c r="BB84" s="121">
        <f t="shared" si="42"/>
        <v>0.9983278947368421</v>
      </c>
    </row>
    <row r="85" spans="1:54" ht="15.75" customHeight="1">
      <c r="A85" s="126">
        <v>3331</v>
      </c>
      <c r="B85" s="86" t="s">
        <v>193</v>
      </c>
      <c r="C85" s="119"/>
      <c r="D85" s="117"/>
      <c r="E85" s="117"/>
      <c r="F85" s="117">
        <v>0</v>
      </c>
      <c r="G85" s="117"/>
      <c r="H85" s="117"/>
      <c r="I85" s="117">
        <v>0</v>
      </c>
      <c r="J85" s="117"/>
      <c r="K85" s="117"/>
      <c r="L85" s="117">
        <f t="shared" si="30"/>
        <v>0</v>
      </c>
      <c r="M85" s="117"/>
      <c r="N85" s="117"/>
      <c r="O85" s="117"/>
      <c r="P85" s="117">
        <f t="shared" si="31"/>
        <v>0</v>
      </c>
      <c r="Q85" s="117"/>
      <c r="R85" s="117"/>
      <c r="S85" s="117"/>
      <c r="T85" s="118">
        <v>0</v>
      </c>
      <c r="U85" s="117"/>
      <c r="V85" s="117"/>
      <c r="W85" s="117">
        <f t="shared" si="32"/>
        <v>0</v>
      </c>
      <c r="X85" s="117"/>
      <c r="Y85" s="117"/>
      <c r="Z85" s="117">
        <f t="shared" si="33"/>
        <v>0</v>
      </c>
      <c r="AA85" s="118"/>
      <c r="AB85" s="117"/>
      <c r="AC85" s="117"/>
      <c r="AD85" s="117"/>
      <c r="AE85" s="117">
        <f t="shared" si="34"/>
        <v>0</v>
      </c>
      <c r="AF85" s="117">
        <v>0</v>
      </c>
      <c r="AG85" s="117"/>
      <c r="AH85" s="117"/>
      <c r="AI85" s="117">
        <f t="shared" si="35"/>
        <v>0</v>
      </c>
      <c r="AJ85" s="117"/>
      <c r="AK85" s="117"/>
      <c r="AL85" s="117">
        <f t="shared" si="36"/>
        <v>0</v>
      </c>
      <c r="AM85" s="117"/>
      <c r="AN85" s="117">
        <f t="shared" si="37"/>
        <v>0</v>
      </c>
      <c r="AO85" s="118">
        <v>450000</v>
      </c>
      <c r="AP85" s="118"/>
      <c r="AQ85" s="118"/>
      <c r="AR85" s="118">
        <v>450000</v>
      </c>
      <c r="AS85" s="118"/>
      <c r="AT85" s="118"/>
      <c r="AU85" s="117">
        <f t="shared" si="38"/>
        <v>450000</v>
      </c>
      <c r="AV85" s="117"/>
      <c r="AW85" s="117"/>
      <c r="AX85" s="117">
        <f t="shared" si="39"/>
        <v>450000</v>
      </c>
      <c r="AY85" s="120">
        <f t="shared" si="40"/>
        <v>450000</v>
      </c>
      <c r="AZ85" s="120">
        <v>442247.49</v>
      </c>
      <c r="BA85" s="120">
        <f t="shared" si="41"/>
        <v>7752.510000000009</v>
      </c>
      <c r="BB85" s="121">
        <f t="shared" si="42"/>
        <v>0.9827722</v>
      </c>
    </row>
    <row r="86" spans="1:54" ht="15.75" customHeight="1">
      <c r="A86" s="126">
        <v>3341</v>
      </c>
      <c r="B86" s="86" t="s">
        <v>26</v>
      </c>
      <c r="C86" s="119">
        <v>35000</v>
      </c>
      <c r="D86" s="117"/>
      <c r="E86" s="117"/>
      <c r="F86" s="117">
        <v>35000</v>
      </c>
      <c r="G86" s="117"/>
      <c r="H86" s="117"/>
      <c r="I86" s="117">
        <v>35000</v>
      </c>
      <c r="J86" s="117"/>
      <c r="K86" s="117"/>
      <c r="L86" s="117">
        <f t="shared" si="30"/>
        <v>35000</v>
      </c>
      <c r="M86" s="117"/>
      <c r="N86" s="117"/>
      <c r="O86" s="117"/>
      <c r="P86" s="117">
        <f t="shared" si="31"/>
        <v>35000</v>
      </c>
      <c r="Q86" s="117">
        <v>50000</v>
      </c>
      <c r="R86" s="117"/>
      <c r="S86" s="117"/>
      <c r="T86" s="118">
        <v>50000</v>
      </c>
      <c r="U86" s="117"/>
      <c r="V86" s="117"/>
      <c r="W86" s="117">
        <f t="shared" si="32"/>
        <v>50000</v>
      </c>
      <c r="X86" s="117"/>
      <c r="Y86" s="117"/>
      <c r="Z86" s="117">
        <f t="shared" si="33"/>
        <v>50000</v>
      </c>
      <c r="AA86" s="118"/>
      <c r="AB86" s="117"/>
      <c r="AC86" s="117"/>
      <c r="AD86" s="117"/>
      <c r="AE86" s="117">
        <f t="shared" si="34"/>
        <v>50000</v>
      </c>
      <c r="AF86" s="117">
        <v>0</v>
      </c>
      <c r="AG86" s="117"/>
      <c r="AH86" s="117"/>
      <c r="AI86" s="117">
        <f t="shared" si="35"/>
        <v>0</v>
      </c>
      <c r="AJ86" s="117"/>
      <c r="AK86" s="117"/>
      <c r="AL86" s="117">
        <f t="shared" si="36"/>
        <v>0</v>
      </c>
      <c r="AM86" s="117"/>
      <c r="AN86" s="117">
        <f t="shared" si="37"/>
        <v>0</v>
      </c>
      <c r="AO86" s="118">
        <v>70000</v>
      </c>
      <c r="AP86" s="118"/>
      <c r="AQ86" s="118"/>
      <c r="AR86" s="118">
        <v>70000</v>
      </c>
      <c r="AS86" s="118"/>
      <c r="AT86" s="118"/>
      <c r="AU86" s="117">
        <f t="shared" si="38"/>
        <v>70000</v>
      </c>
      <c r="AV86" s="117"/>
      <c r="AW86" s="117"/>
      <c r="AX86" s="117">
        <f t="shared" si="39"/>
        <v>70000</v>
      </c>
      <c r="AY86" s="120">
        <f t="shared" si="40"/>
        <v>155000</v>
      </c>
      <c r="AZ86" s="120">
        <v>141414.05</v>
      </c>
      <c r="BA86" s="120">
        <f t="shared" si="41"/>
        <v>13585.950000000012</v>
      </c>
      <c r="BB86" s="121">
        <f t="shared" si="42"/>
        <v>0.9123487096774193</v>
      </c>
    </row>
    <row r="87" spans="1:54" ht="15.75" customHeight="1">
      <c r="A87" s="126">
        <v>3342</v>
      </c>
      <c r="B87" s="86" t="s">
        <v>85</v>
      </c>
      <c r="C87" s="119">
        <v>25000</v>
      </c>
      <c r="D87" s="117"/>
      <c r="E87" s="117"/>
      <c r="F87" s="117">
        <v>25000</v>
      </c>
      <c r="G87" s="117"/>
      <c r="H87" s="117"/>
      <c r="I87" s="117">
        <v>25000</v>
      </c>
      <c r="J87" s="117"/>
      <c r="K87" s="117"/>
      <c r="L87" s="117">
        <f t="shared" si="30"/>
        <v>25000</v>
      </c>
      <c r="M87" s="117"/>
      <c r="N87" s="117"/>
      <c r="O87" s="117"/>
      <c r="P87" s="117">
        <f t="shared" si="31"/>
        <v>25000</v>
      </c>
      <c r="Q87" s="117">
        <v>100000</v>
      </c>
      <c r="R87" s="117">
        <v>80000</v>
      </c>
      <c r="S87" s="117"/>
      <c r="T87" s="118">
        <v>20000</v>
      </c>
      <c r="U87" s="117"/>
      <c r="V87" s="117"/>
      <c r="W87" s="117">
        <f t="shared" si="32"/>
        <v>20000</v>
      </c>
      <c r="X87" s="117"/>
      <c r="Y87" s="117"/>
      <c r="Z87" s="117">
        <f t="shared" si="33"/>
        <v>20000</v>
      </c>
      <c r="AA87" s="118"/>
      <c r="AB87" s="117"/>
      <c r="AC87" s="117"/>
      <c r="AD87" s="117"/>
      <c r="AE87" s="117">
        <f t="shared" si="34"/>
        <v>20000</v>
      </c>
      <c r="AF87" s="117">
        <v>0</v>
      </c>
      <c r="AG87" s="117"/>
      <c r="AH87" s="117"/>
      <c r="AI87" s="117">
        <f t="shared" si="35"/>
        <v>0</v>
      </c>
      <c r="AJ87" s="117"/>
      <c r="AK87" s="117"/>
      <c r="AL87" s="117">
        <f t="shared" si="36"/>
        <v>0</v>
      </c>
      <c r="AM87" s="117"/>
      <c r="AN87" s="117">
        <f t="shared" si="37"/>
        <v>0</v>
      </c>
      <c r="AO87" s="118">
        <v>230000</v>
      </c>
      <c r="AP87" s="118"/>
      <c r="AQ87" s="118"/>
      <c r="AR87" s="118">
        <v>230000</v>
      </c>
      <c r="AS87" s="118"/>
      <c r="AT87" s="118"/>
      <c r="AU87" s="117">
        <f t="shared" si="38"/>
        <v>230000</v>
      </c>
      <c r="AV87" s="117"/>
      <c r="AW87" s="117"/>
      <c r="AX87" s="117">
        <f t="shared" si="39"/>
        <v>230000</v>
      </c>
      <c r="AY87" s="120">
        <f t="shared" si="40"/>
        <v>275000</v>
      </c>
      <c r="AZ87" s="120">
        <v>235474.89</v>
      </c>
      <c r="BA87" s="120">
        <f t="shared" si="41"/>
        <v>39525.109999999986</v>
      </c>
      <c r="BB87" s="121">
        <f t="shared" si="42"/>
        <v>0.8562723272727273</v>
      </c>
    </row>
    <row r="88" spans="1:54" ht="15.75" customHeight="1">
      <c r="A88" s="126">
        <v>3361</v>
      </c>
      <c r="B88" s="86" t="s">
        <v>194</v>
      </c>
      <c r="C88" s="119"/>
      <c r="D88" s="117"/>
      <c r="E88" s="117"/>
      <c r="F88" s="117">
        <v>0</v>
      </c>
      <c r="G88" s="117"/>
      <c r="H88" s="117"/>
      <c r="I88" s="117">
        <v>0</v>
      </c>
      <c r="J88" s="117"/>
      <c r="K88" s="117"/>
      <c r="L88" s="117">
        <f t="shared" si="30"/>
        <v>0</v>
      </c>
      <c r="M88" s="117"/>
      <c r="N88" s="117"/>
      <c r="O88" s="117"/>
      <c r="P88" s="117">
        <f t="shared" si="31"/>
        <v>0</v>
      </c>
      <c r="Q88" s="117"/>
      <c r="R88" s="117"/>
      <c r="S88" s="117"/>
      <c r="T88" s="118">
        <v>0</v>
      </c>
      <c r="U88" s="117"/>
      <c r="V88" s="117"/>
      <c r="W88" s="117">
        <f t="shared" si="32"/>
        <v>0</v>
      </c>
      <c r="X88" s="117"/>
      <c r="Y88" s="117"/>
      <c r="Z88" s="117">
        <f t="shared" si="33"/>
        <v>0</v>
      </c>
      <c r="AA88" s="118"/>
      <c r="AB88" s="117"/>
      <c r="AC88" s="117"/>
      <c r="AD88" s="117"/>
      <c r="AE88" s="117">
        <f t="shared" si="34"/>
        <v>0</v>
      </c>
      <c r="AF88" s="117">
        <v>0</v>
      </c>
      <c r="AG88" s="117"/>
      <c r="AH88" s="117"/>
      <c r="AI88" s="117">
        <f t="shared" si="35"/>
        <v>0</v>
      </c>
      <c r="AJ88" s="117"/>
      <c r="AK88" s="117"/>
      <c r="AL88" s="117">
        <f t="shared" si="36"/>
        <v>0</v>
      </c>
      <c r="AM88" s="117"/>
      <c r="AN88" s="117">
        <f t="shared" si="37"/>
        <v>0</v>
      </c>
      <c r="AO88" s="118"/>
      <c r="AP88" s="118"/>
      <c r="AQ88" s="118"/>
      <c r="AR88" s="118">
        <v>0</v>
      </c>
      <c r="AS88" s="118"/>
      <c r="AT88" s="118"/>
      <c r="AU88" s="117">
        <f t="shared" si="38"/>
        <v>0</v>
      </c>
      <c r="AV88" s="117"/>
      <c r="AW88" s="117"/>
      <c r="AX88" s="117">
        <f t="shared" si="39"/>
        <v>0</v>
      </c>
      <c r="AY88" s="120">
        <f t="shared" si="40"/>
        <v>0</v>
      </c>
      <c r="AZ88" s="120">
        <v>0</v>
      </c>
      <c r="BA88" s="120">
        <f t="shared" si="41"/>
        <v>0</v>
      </c>
      <c r="BB88" s="121">
        <v>0</v>
      </c>
    </row>
    <row r="89" spans="1:54" ht="15.75" customHeight="1">
      <c r="A89" s="126">
        <v>3362</v>
      </c>
      <c r="B89" s="86" t="s">
        <v>86</v>
      </c>
      <c r="C89" s="119"/>
      <c r="D89" s="117"/>
      <c r="E89" s="117"/>
      <c r="F89" s="117">
        <v>0</v>
      </c>
      <c r="G89" s="117"/>
      <c r="H89" s="117"/>
      <c r="I89" s="117">
        <v>0</v>
      </c>
      <c r="J89" s="117"/>
      <c r="K89" s="117"/>
      <c r="L89" s="117">
        <f t="shared" si="30"/>
        <v>0</v>
      </c>
      <c r="M89" s="117"/>
      <c r="N89" s="117"/>
      <c r="O89" s="117"/>
      <c r="P89" s="117">
        <f t="shared" si="31"/>
        <v>0</v>
      </c>
      <c r="Q89" s="117"/>
      <c r="R89" s="117"/>
      <c r="S89" s="117"/>
      <c r="T89" s="118">
        <v>0</v>
      </c>
      <c r="U89" s="117"/>
      <c r="V89" s="117"/>
      <c r="W89" s="117">
        <f t="shared" si="32"/>
        <v>0</v>
      </c>
      <c r="X89" s="117"/>
      <c r="Y89" s="117"/>
      <c r="Z89" s="117">
        <f t="shared" si="33"/>
        <v>0</v>
      </c>
      <c r="AA89" s="118"/>
      <c r="AB89" s="117"/>
      <c r="AC89" s="117"/>
      <c r="AD89" s="117"/>
      <c r="AE89" s="117">
        <f t="shared" si="34"/>
        <v>0</v>
      </c>
      <c r="AF89" s="117">
        <v>0</v>
      </c>
      <c r="AG89" s="117"/>
      <c r="AH89" s="117"/>
      <c r="AI89" s="117">
        <f t="shared" si="35"/>
        <v>0</v>
      </c>
      <c r="AJ89" s="117"/>
      <c r="AK89" s="117"/>
      <c r="AL89" s="117">
        <f t="shared" si="36"/>
        <v>0</v>
      </c>
      <c r="AM89" s="117"/>
      <c r="AN89" s="117">
        <f t="shared" si="37"/>
        <v>0</v>
      </c>
      <c r="AO89" s="118"/>
      <c r="AP89" s="118"/>
      <c r="AQ89" s="118"/>
      <c r="AR89" s="118">
        <v>0</v>
      </c>
      <c r="AS89" s="118"/>
      <c r="AT89" s="118"/>
      <c r="AU89" s="117">
        <f t="shared" si="38"/>
        <v>0</v>
      </c>
      <c r="AV89" s="117"/>
      <c r="AW89" s="117"/>
      <c r="AX89" s="117">
        <f t="shared" si="39"/>
        <v>0</v>
      </c>
      <c r="AY89" s="120">
        <f t="shared" si="40"/>
        <v>0</v>
      </c>
      <c r="AZ89" s="120">
        <v>0</v>
      </c>
      <c r="BA89" s="120">
        <f t="shared" si="41"/>
        <v>0</v>
      </c>
      <c r="BB89" s="121">
        <v>0</v>
      </c>
    </row>
    <row r="90" spans="1:54" ht="25.5">
      <c r="A90" s="80">
        <v>3363</v>
      </c>
      <c r="B90" s="81" t="s">
        <v>195</v>
      </c>
      <c r="C90" s="118"/>
      <c r="D90" s="117"/>
      <c r="E90" s="117"/>
      <c r="F90" s="117">
        <v>0</v>
      </c>
      <c r="G90" s="117"/>
      <c r="H90" s="117"/>
      <c r="I90" s="117">
        <v>0</v>
      </c>
      <c r="J90" s="117"/>
      <c r="K90" s="117"/>
      <c r="L90" s="117">
        <f t="shared" si="30"/>
        <v>0</v>
      </c>
      <c r="M90" s="117"/>
      <c r="N90" s="117"/>
      <c r="O90" s="117"/>
      <c r="P90" s="117">
        <f t="shared" si="31"/>
        <v>0</v>
      </c>
      <c r="Q90" s="117"/>
      <c r="R90" s="117"/>
      <c r="S90" s="117"/>
      <c r="T90" s="118">
        <v>0</v>
      </c>
      <c r="U90" s="117"/>
      <c r="V90" s="117"/>
      <c r="W90" s="117">
        <f t="shared" si="32"/>
        <v>0</v>
      </c>
      <c r="X90" s="117"/>
      <c r="Y90" s="117"/>
      <c r="Z90" s="117">
        <f t="shared" si="33"/>
        <v>0</v>
      </c>
      <c r="AA90" s="118"/>
      <c r="AB90" s="117"/>
      <c r="AC90" s="117"/>
      <c r="AD90" s="117"/>
      <c r="AE90" s="117">
        <f t="shared" si="34"/>
        <v>0</v>
      </c>
      <c r="AF90" s="117">
        <v>0</v>
      </c>
      <c r="AG90" s="117"/>
      <c r="AH90" s="117"/>
      <c r="AI90" s="117">
        <f t="shared" si="35"/>
        <v>0</v>
      </c>
      <c r="AJ90" s="117"/>
      <c r="AK90" s="117"/>
      <c r="AL90" s="117">
        <f t="shared" si="36"/>
        <v>0</v>
      </c>
      <c r="AM90" s="117"/>
      <c r="AN90" s="117">
        <f t="shared" si="37"/>
        <v>0</v>
      </c>
      <c r="AO90" s="118"/>
      <c r="AP90" s="118"/>
      <c r="AQ90" s="118"/>
      <c r="AR90" s="118">
        <v>0</v>
      </c>
      <c r="AS90" s="118"/>
      <c r="AT90" s="118"/>
      <c r="AU90" s="117">
        <f t="shared" si="38"/>
        <v>0</v>
      </c>
      <c r="AV90" s="117"/>
      <c r="AW90" s="117"/>
      <c r="AX90" s="117">
        <f t="shared" si="39"/>
        <v>0</v>
      </c>
      <c r="AY90" s="120">
        <f t="shared" si="40"/>
        <v>0</v>
      </c>
      <c r="AZ90" s="120">
        <v>0</v>
      </c>
      <c r="BA90" s="120">
        <f t="shared" si="41"/>
        <v>0</v>
      </c>
      <c r="BB90" s="121">
        <v>0</v>
      </c>
    </row>
    <row r="91" spans="1:54" ht="31.5" customHeight="1">
      <c r="A91" s="80">
        <v>3365</v>
      </c>
      <c r="B91" s="81" t="s">
        <v>196</v>
      </c>
      <c r="C91" s="118"/>
      <c r="D91" s="117"/>
      <c r="E91" s="117"/>
      <c r="F91" s="117">
        <v>0</v>
      </c>
      <c r="G91" s="117"/>
      <c r="H91" s="117"/>
      <c r="I91" s="117">
        <v>0</v>
      </c>
      <c r="J91" s="117"/>
      <c r="K91" s="117"/>
      <c r="L91" s="117">
        <f t="shared" si="30"/>
        <v>0</v>
      </c>
      <c r="M91" s="117"/>
      <c r="N91" s="117"/>
      <c r="O91" s="117"/>
      <c r="P91" s="117">
        <f t="shared" si="31"/>
        <v>0</v>
      </c>
      <c r="Q91" s="117"/>
      <c r="R91" s="117"/>
      <c r="S91" s="117"/>
      <c r="T91" s="118">
        <v>0</v>
      </c>
      <c r="U91" s="117"/>
      <c r="V91" s="117"/>
      <c r="W91" s="117">
        <f t="shared" si="32"/>
        <v>0</v>
      </c>
      <c r="X91" s="117"/>
      <c r="Y91" s="117"/>
      <c r="Z91" s="117">
        <f t="shared" si="33"/>
        <v>0</v>
      </c>
      <c r="AA91" s="118"/>
      <c r="AB91" s="117"/>
      <c r="AC91" s="117"/>
      <c r="AD91" s="117"/>
      <c r="AE91" s="117">
        <f t="shared" si="34"/>
        <v>0</v>
      </c>
      <c r="AF91" s="117">
        <v>0</v>
      </c>
      <c r="AG91" s="117"/>
      <c r="AH91" s="117"/>
      <c r="AI91" s="117">
        <f t="shared" si="35"/>
        <v>0</v>
      </c>
      <c r="AJ91" s="117"/>
      <c r="AK91" s="117"/>
      <c r="AL91" s="117">
        <f t="shared" si="36"/>
        <v>0</v>
      </c>
      <c r="AM91" s="117"/>
      <c r="AN91" s="117">
        <f t="shared" si="37"/>
        <v>0</v>
      </c>
      <c r="AO91" s="118"/>
      <c r="AP91" s="118"/>
      <c r="AQ91" s="118"/>
      <c r="AR91" s="118">
        <v>0</v>
      </c>
      <c r="AS91" s="118"/>
      <c r="AT91" s="118"/>
      <c r="AU91" s="117">
        <f t="shared" si="38"/>
        <v>0</v>
      </c>
      <c r="AV91" s="117"/>
      <c r="AW91" s="117"/>
      <c r="AX91" s="117">
        <f t="shared" si="39"/>
        <v>0</v>
      </c>
      <c r="AY91" s="120">
        <f t="shared" si="40"/>
        <v>0</v>
      </c>
      <c r="AZ91" s="120">
        <v>0</v>
      </c>
      <c r="BA91" s="120">
        <f t="shared" si="41"/>
        <v>0</v>
      </c>
      <c r="BB91" s="121">
        <v>0</v>
      </c>
    </row>
    <row r="92" spans="1:54" ht="15.75">
      <c r="A92" s="80">
        <v>3381</v>
      </c>
      <c r="B92" s="81" t="s">
        <v>27</v>
      </c>
      <c r="C92" s="118"/>
      <c r="D92" s="117"/>
      <c r="E92" s="117"/>
      <c r="F92" s="117">
        <v>0</v>
      </c>
      <c r="G92" s="117"/>
      <c r="H92" s="117"/>
      <c r="I92" s="117">
        <v>0</v>
      </c>
      <c r="J92" s="117"/>
      <c r="K92" s="117"/>
      <c r="L92" s="117">
        <f t="shared" si="30"/>
        <v>0</v>
      </c>
      <c r="M92" s="117"/>
      <c r="N92" s="117"/>
      <c r="O92" s="117"/>
      <c r="P92" s="117">
        <f t="shared" si="31"/>
        <v>0</v>
      </c>
      <c r="Q92" s="117"/>
      <c r="R92" s="117"/>
      <c r="S92" s="117"/>
      <c r="T92" s="118">
        <v>0</v>
      </c>
      <c r="U92" s="117"/>
      <c r="V92" s="117"/>
      <c r="W92" s="117">
        <f t="shared" si="32"/>
        <v>0</v>
      </c>
      <c r="X92" s="117"/>
      <c r="Y92" s="117"/>
      <c r="Z92" s="117">
        <f t="shared" si="33"/>
        <v>0</v>
      </c>
      <c r="AA92" s="118"/>
      <c r="AB92" s="117"/>
      <c r="AC92" s="117"/>
      <c r="AD92" s="117"/>
      <c r="AE92" s="117">
        <f t="shared" si="34"/>
        <v>0</v>
      </c>
      <c r="AF92" s="117">
        <v>0</v>
      </c>
      <c r="AG92" s="117"/>
      <c r="AH92" s="117"/>
      <c r="AI92" s="117">
        <f t="shared" si="35"/>
        <v>0</v>
      </c>
      <c r="AJ92" s="117"/>
      <c r="AK92" s="117"/>
      <c r="AL92" s="117">
        <f t="shared" si="36"/>
        <v>0</v>
      </c>
      <c r="AM92" s="117"/>
      <c r="AN92" s="117">
        <f t="shared" si="37"/>
        <v>0</v>
      </c>
      <c r="AO92" s="118"/>
      <c r="AP92" s="118"/>
      <c r="AQ92" s="118"/>
      <c r="AR92" s="118">
        <v>0</v>
      </c>
      <c r="AS92" s="118"/>
      <c r="AT92" s="118"/>
      <c r="AU92" s="117">
        <f t="shared" si="38"/>
        <v>0</v>
      </c>
      <c r="AV92" s="117"/>
      <c r="AW92" s="117"/>
      <c r="AX92" s="117">
        <f t="shared" si="39"/>
        <v>0</v>
      </c>
      <c r="AY92" s="120">
        <f t="shared" si="40"/>
        <v>0</v>
      </c>
      <c r="AZ92" s="120">
        <v>0</v>
      </c>
      <c r="BA92" s="120">
        <f t="shared" si="41"/>
        <v>0</v>
      </c>
      <c r="BB92" s="121">
        <v>0</v>
      </c>
    </row>
    <row r="93" spans="1:54" ht="18.75" customHeight="1">
      <c r="A93" s="80">
        <v>3391</v>
      </c>
      <c r="B93" s="81" t="s">
        <v>87</v>
      </c>
      <c r="C93" s="118">
        <v>6040</v>
      </c>
      <c r="D93" s="117"/>
      <c r="E93" s="117"/>
      <c r="F93" s="117">
        <v>6040</v>
      </c>
      <c r="G93" s="117"/>
      <c r="H93" s="117"/>
      <c r="I93" s="117">
        <v>6040</v>
      </c>
      <c r="J93" s="117"/>
      <c r="K93" s="117"/>
      <c r="L93" s="117">
        <f t="shared" si="30"/>
        <v>6040</v>
      </c>
      <c r="M93" s="117"/>
      <c r="N93" s="117"/>
      <c r="O93" s="117"/>
      <c r="P93" s="117">
        <f t="shared" si="31"/>
        <v>6040</v>
      </c>
      <c r="Q93" s="117">
        <v>8960</v>
      </c>
      <c r="R93" s="117"/>
      <c r="S93" s="117"/>
      <c r="T93" s="118">
        <v>8960</v>
      </c>
      <c r="U93" s="117"/>
      <c r="V93" s="117"/>
      <c r="W93" s="117">
        <f t="shared" si="32"/>
        <v>8960</v>
      </c>
      <c r="X93" s="117"/>
      <c r="Y93" s="117"/>
      <c r="Z93" s="117">
        <f t="shared" si="33"/>
        <v>8960</v>
      </c>
      <c r="AA93" s="118"/>
      <c r="AB93" s="117"/>
      <c r="AC93" s="117"/>
      <c r="AD93" s="117"/>
      <c r="AE93" s="117">
        <f t="shared" si="34"/>
        <v>8960</v>
      </c>
      <c r="AF93" s="117">
        <v>0</v>
      </c>
      <c r="AG93" s="117"/>
      <c r="AH93" s="117"/>
      <c r="AI93" s="117">
        <f t="shared" si="35"/>
        <v>0</v>
      </c>
      <c r="AJ93" s="117"/>
      <c r="AK93" s="117"/>
      <c r="AL93" s="117">
        <f t="shared" si="36"/>
        <v>0</v>
      </c>
      <c r="AM93" s="117"/>
      <c r="AN93" s="117">
        <f t="shared" si="37"/>
        <v>0</v>
      </c>
      <c r="AO93" s="118">
        <v>15000</v>
      </c>
      <c r="AP93" s="118"/>
      <c r="AQ93" s="118"/>
      <c r="AR93" s="118">
        <v>15000</v>
      </c>
      <c r="AS93" s="118"/>
      <c r="AT93" s="118"/>
      <c r="AU93" s="117">
        <f t="shared" si="38"/>
        <v>15000</v>
      </c>
      <c r="AV93" s="117"/>
      <c r="AW93" s="117"/>
      <c r="AX93" s="117">
        <f t="shared" si="39"/>
        <v>15000</v>
      </c>
      <c r="AY93" s="120">
        <f t="shared" si="40"/>
        <v>30000</v>
      </c>
      <c r="AZ93" s="120">
        <v>0</v>
      </c>
      <c r="BA93" s="120">
        <f t="shared" si="41"/>
        <v>30000</v>
      </c>
      <c r="BB93" s="121">
        <f>AZ93/AY93</f>
        <v>0</v>
      </c>
    </row>
    <row r="94" spans="1:54" ht="18.75" customHeight="1">
      <c r="A94" s="80">
        <v>3411</v>
      </c>
      <c r="B94" s="81" t="s">
        <v>28</v>
      </c>
      <c r="C94" s="118">
        <v>10000</v>
      </c>
      <c r="D94" s="117"/>
      <c r="E94" s="117"/>
      <c r="F94" s="117">
        <v>10000</v>
      </c>
      <c r="G94" s="117"/>
      <c r="H94" s="117"/>
      <c r="I94" s="117">
        <v>10000</v>
      </c>
      <c r="J94" s="117"/>
      <c r="K94" s="117"/>
      <c r="L94" s="117">
        <f t="shared" si="30"/>
        <v>10000</v>
      </c>
      <c r="M94" s="117"/>
      <c r="N94" s="117"/>
      <c r="O94" s="117"/>
      <c r="P94" s="117">
        <f t="shared" si="31"/>
        <v>10000</v>
      </c>
      <c r="Q94" s="117">
        <v>15000</v>
      </c>
      <c r="R94" s="117"/>
      <c r="S94" s="117"/>
      <c r="T94" s="118">
        <v>15000</v>
      </c>
      <c r="U94" s="117"/>
      <c r="V94" s="117"/>
      <c r="W94" s="117">
        <f t="shared" si="32"/>
        <v>15000</v>
      </c>
      <c r="X94" s="117"/>
      <c r="Y94" s="117"/>
      <c r="Z94" s="117">
        <f t="shared" si="33"/>
        <v>15000</v>
      </c>
      <c r="AA94" s="118"/>
      <c r="AB94" s="117"/>
      <c r="AC94" s="117"/>
      <c r="AD94" s="117"/>
      <c r="AE94" s="117">
        <f t="shared" si="34"/>
        <v>15000</v>
      </c>
      <c r="AF94" s="117">
        <v>0</v>
      </c>
      <c r="AG94" s="117"/>
      <c r="AH94" s="117"/>
      <c r="AI94" s="117">
        <f t="shared" si="35"/>
        <v>0</v>
      </c>
      <c r="AJ94" s="117"/>
      <c r="AK94" s="117"/>
      <c r="AL94" s="117">
        <f t="shared" si="36"/>
        <v>0</v>
      </c>
      <c r="AM94" s="117"/>
      <c r="AN94" s="117">
        <f t="shared" si="37"/>
        <v>0</v>
      </c>
      <c r="AO94" s="118"/>
      <c r="AP94" s="118"/>
      <c r="AQ94" s="118"/>
      <c r="AR94" s="118">
        <v>0</v>
      </c>
      <c r="AS94" s="118"/>
      <c r="AT94" s="118"/>
      <c r="AU94" s="117">
        <f t="shared" si="38"/>
        <v>0</v>
      </c>
      <c r="AV94" s="117"/>
      <c r="AW94" s="117"/>
      <c r="AX94" s="117">
        <f t="shared" si="39"/>
        <v>0</v>
      </c>
      <c r="AY94" s="120">
        <f t="shared" si="40"/>
        <v>25000</v>
      </c>
      <c r="AZ94" s="120">
        <v>19289.920000000002</v>
      </c>
      <c r="BA94" s="120">
        <f t="shared" si="41"/>
        <v>5710.079999999998</v>
      </c>
      <c r="BB94" s="121">
        <f>AZ94/AY94</f>
        <v>0.7715968000000001</v>
      </c>
    </row>
    <row r="95" spans="1:54" ht="17.25" customHeight="1">
      <c r="A95" s="80">
        <v>3451</v>
      </c>
      <c r="B95" s="81" t="s">
        <v>197</v>
      </c>
      <c r="C95" s="118">
        <v>45000</v>
      </c>
      <c r="D95" s="117"/>
      <c r="E95" s="117"/>
      <c r="F95" s="117">
        <v>45000</v>
      </c>
      <c r="G95" s="117"/>
      <c r="H95" s="117"/>
      <c r="I95" s="117">
        <v>45000</v>
      </c>
      <c r="J95" s="117"/>
      <c r="K95" s="117"/>
      <c r="L95" s="117">
        <f t="shared" si="30"/>
        <v>45000</v>
      </c>
      <c r="M95" s="117"/>
      <c r="N95" s="117"/>
      <c r="O95" s="117"/>
      <c r="P95" s="117">
        <f t="shared" si="31"/>
        <v>45000</v>
      </c>
      <c r="Q95" s="117">
        <v>175000</v>
      </c>
      <c r="R95" s="117">
        <v>50000</v>
      </c>
      <c r="S95" s="117"/>
      <c r="T95" s="118">
        <v>125000</v>
      </c>
      <c r="U95" s="117"/>
      <c r="V95" s="117"/>
      <c r="W95" s="117">
        <f t="shared" si="32"/>
        <v>125000</v>
      </c>
      <c r="X95" s="117"/>
      <c r="Y95" s="117"/>
      <c r="Z95" s="117">
        <f t="shared" si="33"/>
        <v>125000</v>
      </c>
      <c r="AA95" s="118"/>
      <c r="AB95" s="117"/>
      <c r="AC95" s="117"/>
      <c r="AD95" s="117"/>
      <c r="AE95" s="117">
        <f t="shared" si="34"/>
        <v>125000</v>
      </c>
      <c r="AF95" s="117">
        <v>0</v>
      </c>
      <c r="AG95" s="117"/>
      <c r="AH95" s="117"/>
      <c r="AI95" s="117">
        <f t="shared" si="35"/>
        <v>0</v>
      </c>
      <c r="AJ95" s="117"/>
      <c r="AK95" s="117"/>
      <c r="AL95" s="117">
        <f t="shared" si="36"/>
        <v>0</v>
      </c>
      <c r="AM95" s="117"/>
      <c r="AN95" s="117">
        <f t="shared" si="37"/>
        <v>0</v>
      </c>
      <c r="AO95" s="118"/>
      <c r="AP95" s="118"/>
      <c r="AQ95" s="118"/>
      <c r="AR95" s="118">
        <v>0</v>
      </c>
      <c r="AS95" s="118"/>
      <c r="AT95" s="118"/>
      <c r="AU95" s="117">
        <f t="shared" si="38"/>
        <v>0</v>
      </c>
      <c r="AV95" s="117"/>
      <c r="AW95" s="117"/>
      <c r="AX95" s="117">
        <f t="shared" si="39"/>
        <v>0</v>
      </c>
      <c r="AY95" s="120">
        <f t="shared" si="40"/>
        <v>170000</v>
      </c>
      <c r="AZ95" s="120">
        <v>101414.64</v>
      </c>
      <c r="BA95" s="120">
        <f t="shared" si="41"/>
        <v>68585.36</v>
      </c>
      <c r="BB95" s="121">
        <f>AZ95/AY95</f>
        <v>0.596556705882353</v>
      </c>
    </row>
    <row r="96" spans="1:54" ht="15.75">
      <c r="A96" s="80">
        <v>3471</v>
      </c>
      <c r="B96" s="81" t="s">
        <v>29</v>
      </c>
      <c r="C96" s="118"/>
      <c r="D96" s="117"/>
      <c r="E96" s="117"/>
      <c r="F96" s="117">
        <v>0</v>
      </c>
      <c r="G96" s="117"/>
      <c r="H96" s="117"/>
      <c r="I96" s="117">
        <v>0</v>
      </c>
      <c r="J96" s="117"/>
      <c r="K96" s="117"/>
      <c r="L96" s="117">
        <f t="shared" si="30"/>
        <v>0</v>
      </c>
      <c r="M96" s="117"/>
      <c r="N96" s="117"/>
      <c r="O96" s="117"/>
      <c r="P96" s="117">
        <f t="shared" si="31"/>
        <v>0</v>
      </c>
      <c r="Q96" s="117"/>
      <c r="R96" s="117"/>
      <c r="S96" s="117"/>
      <c r="T96" s="118">
        <v>0</v>
      </c>
      <c r="U96" s="117"/>
      <c r="V96" s="117"/>
      <c r="W96" s="117">
        <f t="shared" si="32"/>
        <v>0</v>
      </c>
      <c r="X96" s="117"/>
      <c r="Y96" s="117"/>
      <c r="Z96" s="117">
        <f t="shared" si="33"/>
        <v>0</v>
      </c>
      <c r="AA96" s="118"/>
      <c r="AB96" s="117"/>
      <c r="AC96" s="117"/>
      <c r="AD96" s="117"/>
      <c r="AE96" s="117">
        <f t="shared" si="34"/>
        <v>0</v>
      </c>
      <c r="AF96" s="117">
        <v>0</v>
      </c>
      <c r="AG96" s="117"/>
      <c r="AH96" s="117"/>
      <c r="AI96" s="117">
        <f t="shared" si="35"/>
        <v>0</v>
      </c>
      <c r="AJ96" s="117"/>
      <c r="AK96" s="117"/>
      <c r="AL96" s="117">
        <f t="shared" si="36"/>
        <v>0</v>
      </c>
      <c r="AM96" s="117"/>
      <c r="AN96" s="117">
        <f t="shared" si="37"/>
        <v>0</v>
      </c>
      <c r="AO96" s="118"/>
      <c r="AP96" s="118"/>
      <c r="AQ96" s="118"/>
      <c r="AR96" s="118">
        <v>0</v>
      </c>
      <c r="AS96" s="118"/>
      <c r="AT96" s="118"/>
      <c r="AU96" s="117">
        <f t="shared" si="38"/>
        <v>0</v>
      </c>
      <c r="AV96" s="117"/>
      <c r="AW96" s="117"/>
      <c r="AX96" s="117">
        <f t="shared" si="39"/>
        <v>0</v>
      </c>
      <c r="AY96" s="120">
        <f t="shared" si="40"/>
        <v>0</v>
      </c>
      <c r="AZ96" s="120">
        <v>0</v>
      </c>
      <c r="BA96" s="120">
        <f t="shared" si="41"/>
        <v>0</v>
      </c>
      <c r="BB96" s="121">
        <v>0</v>
      </c>
    </row>
    <row r="97" spans="1:54" ht="15.75" customHeight="1">
      <c r="A97" s="80">
        <v>3511</v>
      </c>
      <c r="B97" s="81" t="s">
        <v>198</v>
      </c>
      <c r="C97" s="118">
        <v>25000</v>
      </c>
      <c r="D97" s="117"/>
      <c r="E97" s="117"/>
      <c r="F97" s="117">
        <v>25000</v>
      </c>
      <c r="G97" s="117"/>
      <c r="H97" s="117"/>
      <c r="I97" s="117">
        <v>25000</v>
      </c>
      <c r="J97" s="117"/>
      <c r="K97" s="117"/>
      <c r="L97" s="117">
        <f t="shared" si="30"/>
        <v>25000</v>
      </c>
      <c r="M97" s="117"/>
      <c r="N97" s="117"/>
      <c r="O97" s="117"/>
      <c r="P97" s="117">
        <f t="shared" si="31"/>
        <v>25000</v>
      </c>
      <c r="Q97" s="117">
        <v>25000</v>
      </c>
      <c r="R97" s="117"/>
      <c r="S97" s="117">
        <v>500000</v>
      </c>
      <c r="T97" s="118">
        <v>525000</v>
      </c>
      <c r="U97" s="117"/>
      <c r="V97" s="117">
        <v>10000</v>
      </c>
      <c r="W97" s="117">
        <f t="shared" si="32"/>
        <v>535000</v>
      </c>
      <c r="X97" s="117"/>
      <c r="Y97" s="117"/>
      <c r="Z97" s="117">
        <f t="shared" si="33"/>
        <v>535000</v>
      </c>
      <c r="AA97" s="118"/>
      <c r="AB97" s="117"/>
      <c r="AC97" s="117"/>
      <c r="AD97" s="117"/>
      <c r="AE97" s="117">
        <f t="shared" si="34"/>
        <v>535000</v>
      </c>
      <c r="AF97" s="117">
        <v>0</v>
      </c>
      <c r="AG97" s="117"/>
      <c r="AH97" s="117">
        <v>10000</v>
      </c>
      <c r="AI97" s="117">
        <f t="shared" si="35"/>
        <v>10000</v>
      </c>
      <c r="AJ97" s="117"/>
      <c r="AK97" s="117"/>
      <c r="AL97" s="117">
        <f t="shared" si="36"/>
        <v>10000</v>
      </c>
      <c r="AM97" s="117"/>
      <c r="AN97" s="117">
        <f t="shared" si="37"/>
        <v>10000</v>
      </c>
      <c r="AO97" s="118">
        <v>150000</v>
      </c>
      <c r="AP97" s="118"/>
      <c r="AQ97" s="118"/>
      <c r="AR97" s="118">
        <v>150000</v>
      </c>
      <c r="AS97" s="118"/>
      <c r="AT97" s="118"/>
      <c r="AU97" s="117">
        <f t="shared" si="38"/>
        <v>150000</v>
      </c>
      <c r="AV97" s="117"/>
      <c r="AW97" s="117"/>
      <c r="AX97" s="117">
        <f t="shared" si="39"/>
        <v>150000</v>
      </c>
      <c r="AY97" s="120">
        <f t="shared" si="40"/>
        <v>720000</v>
      </c>
      <c r="AZ97" s="120">
        <v>709902.4600000001</v>
      </c>
      <c r="BA97" s="120">
        <f t="shared" si="41"/>
        <v>10097.53999999992</v>
      </c>
      <c r="BB97" s="121">
        <f aca="true" t="shared" si="43" ref="BB97:BB102">AZ97/AY97</f>
        <v>0.985975638888889</v>
      </c>
    </row>
    <row r="98" spans="1:54" ht="25.5">
      <c r="A98" s="80">
        <v>3521</v>
      </c>
      <c r="B98" s="81" t="s">
        <v>199</v>
      </c>
      <c r="C98" s="118">
        <v>5000</v>
      </c>
      <c r="D98" s="117"/>
      <c r="E98" s="117"/>
      <c r="F98" s="117">
        <v>5000</v>
      </c>
      <c r="G98" s="117"/>
      <c r="H98" s="117"/>
      <c r="I98" s="117">
        <v>5000</v>
      </c>
      <c r="J98" s="117"/>
      <c r="K98" s="117"/>
      <c r="L98" s="117">
        <f t="shared" si="30"/>
        <v>5000</v>
      </c>
      <c r="M98" s="117"/>
      <c r="N98" s="117"/>
      <c r="O98" s="117"/>
      <c r="P98" s="117">
        <f t="shared" si="31"/>
        <v>5000</v>
      </c>
      <c r="Q98" s="117">
        <v>5000</v>
      </c>
      <c r="R98" s="117"/>
      <c r="S98" s="117"/>
      <c r="T98" s="118">
        <v>5000</v>
      </c>
      <c r="U98" s="117"/>
      <c r="V98" s="117"/>
      <c r="W98" s="117">
        <f t="shared" si="32"/>
        <v>5000</v>
      </c>
      <c r="X98" s="117"/>
      <c r="Y98" s="117"/>
      <c r="Z98" s="117">
        <f t="shared" si="33"/>
        <v>5000</v>
      </c>
      <c r="AA98" s="118"/>
      <c r="AB98" s="117"/>
      <c r="AC98" s="117"/>
      <c r="AD98" s="117"/>
      <c r="AE98" s="117">
        <f t="shared" si="34"/>
        <v>5000</v>
      </c>
      <c r="AF98" s="117">
        <v>0</v>
      </c>
      <c r="AG98" s="117"/>
      <c r="AH98" s="117"/>
      <c r="AI98" s="117">
        <f t="shared" si="35"/>
        <v>0</v>
      </c>
      <c r="AJ98" s="117"/>
      <c r="AK98" s="117"/>
      <c r="AL98" s="117">
        <f t="shared" si="36"/>
        <v>0</v>
      </c>
      <c r="AM98" s="117"/>
      <c r="AN98" s="117">
        <f t="shared" si="37"/>
        <v>0</v>
      </c>
      <c r="AO98" s="118">
        <v>20000</v>
      </c>
      <c r="AP98" s="118"/>
      <c r="AQ98" s="118"/>
      <c r="AR98" s="118">
        <v>20000</v>
      </c>
      <c r="AS98" s="118"/>
      <c r="AT98" s="118"/>
      <c r="AU98" s="117">
        <f t="shared" si="38"/>
        <v>20000</v>
      </c>
      <c r="AV98" s="117">
        <v>3000</v>
      </c>
      <c r="AW98" s="117"/>
      <c r="AX98" s="117">
        <f t="shared" si="39"/>
        <v>17000</v>
      </c>
      <c r="AY98" s="120">
        <f t="shared" si="40"/>
        <v>27000</v>
      </c>
      <c r="AZ98" s="120">
        <v>16214.419999999998</v>
      </c>
      <c r="BA98" s="120">
        <f t="shared" si="41"/>
        <v>10785.580000000002</v>
      </c>
      <c r="BB98" s="121">
        <f t="shared" si="43"/>
        <v>0.600534074074074</v>
      </c>
    </row>
    <row r="99" spans="1:54" ht="25.5">
      <c r="A99" s="80">
        <v>3531</v>
      </c>
      <c r="B99" s="81" t="s">
        <v>88</v>
      </c>
      <c r="C99" s="118">
        <v>17000</v>
      </c>
      <c r="D99" s="117"/>
      <c r="E99" s="117"/>
      <c r="F99" s="117">
        <v>17000</v>
      </c>
      <c r="G99" s="117"/>
      <c r="H99" s="117"/>
      <c r="I99" s="117">
        <v>17000</v>
      </c>
      <c r="J99" s="117"/>
      <c r="K99" s="117"/>
      <c r="L99" s="117">
        <f t="shared" si="30"/>
        <v>17000</v>
      </c>
      <c r="M99" s="117"/>
      <c r="N99" s="117"/>
      <c r="O99" s="117"/>
      <c r="P99" s="117">
        <f t="shared" si="31"/>
        <v>17000</v>
      </c>
      <c r="Q99" s="117">
        <v>55000</v>
      </c>
      <c r="R99" s="117"/>
      <c r="S99" s="117"/>
      <c r="T99" s="118">
        <v>55000</v>
      </c>
      <c r="U99" s="117"/>
      <c r="V99" s="117"/>
      <c r="W99" s="117">
        <f t="shared" si="32"/>
        <v>55000</v>
      </c>
      <c r="X99" s="117"/>
      <c r="Y99" s="117"/>
      <c r="Z99" s="117">
        <f t="shared" si="33"/>
        <v>55000</v>
      </c>
      <c r="AA99" s="118"/>
      <c r="AB99" s="117"/>
      <c r="AC99" s="117"/>
      <c r="AD99" s="117"/>
      <c r="AE99" s="117">
        <f t="shared" si="34"/>
        <v>55000</v>
      </c>
      <c r="AF99" s="117">
        <v>0</v>
      </c>
      <c r="AG99" s="117"/>
      <c r="AH99" s="117"/>
      <c r="AI99" s="117">
        <f t="shared" si="35"/>
        <v>0</v>
      </c>
      <c r="AJ99" s="117"/>
      <c r="AK99" s="117"/>
      <c r="AL99" s="117">
        <f t="shared" si="36"/>
        <v>0</v>
      </c>
      <c r="AM99" s="117"/>
      <c r="AN99" s="117">
        <f t="shared" si="37"/>
        <v>0</v>
      </c>
      <c r="AO99" s="118"/>
      <c r="AP99" s="118"/>
      <c r="AQ99" s="118"/>
      <c r="AR99" s="118">
        <v>0</v>
      </c>
      <c r="AS99" s="118"/>
      <c r="AT99" s="118"/>
      <c r="AU99" s="117">
        <f t="shared" si="38"/>
        <v>0</v>
      </c>
      <c r="AV99" s="117"/>
      <c r="AW99" s="117"/>
      <c r="AX99" s="117">
        <f t="shared" si="39"/>
        <v>0</v>
      </c>
      <c r="AY99" s="120">
        <f t="shared" si="40"/>
        <v>72000</v>
      </c>
      <c r="AZ99" s="120">
        <v>69200.90000000001</v>
      </c>
      <c r="BA99" s="120">
        <f t="shared" si="41"/>
        <v>2799.0999999999913</v>
      </c>
      <c r="BB99" s="121">
        <f t="shared" si="43"/>
        <v>0.9611236111111112</v>
      </c>
    </row>
    <row r="100" spans="1:54" ht="15.75" customHeight="1">
      <c r="A100" s="80">
        <v>3551</v>
      </c>
      <c r="B100" s="81" t="s">
        <v>48</v>
      </c>
      <c r="C100" s="118">
        <v>20000</v>
      </c>
      <c r="D100" s="117"/>
      <c r="E100" s="117"/>
      <c r="F100" s="117">
        <v>20000</v>
      </c>
      <c r="G100" s="117"/>
      <c r="H100" s="117"/>
      <c r="I100" s="117">
        <v>20000</v>
      </c>
      <c r="J100" s="117"/>
      <c r="K100" s="117"/>
      <c r="L100" s="117">
        <f t="shared" si="30"/>
        <v>20000</v>
      </c>
      <c r="M100" s="117"/>
      <c r="N100" s="117"/>
      <c r="O100" s="117"/>
      <c r="P100" s="117">
        <f t="shared" si="31"/>
        <v>20000</v>
      </c>
      <c r="Q100" s="117">
        <v>40000</v>
      </c>
      <c r="R100" s="117"/>
      <c r="S100" s="117"/>
      <c r="T100" s="118">
        <v>40000</v>
      </c>
      <c r="U100" s="117"/>
      <c r="V100" s="117"/>
      <c r="W100" s="117">
        <f t="shared" si="32"/>
        <v>40000</v>
      </c>
      <c r="X100" s="117"/>
      <c r="Y100" s="117"/>
      <c r="Z100" s="117">
        <f t="shared" si="33"/>
        <v>40000</v>
      </c>
      <c r="AA100" s="118"/>
      <c r="AB100" s="117"/>
      <c r="AC100" s="117"/>
      <c r="AD100" s="117"/>
      <c r="AE100" s="117">
        <f t="shared" si="34"/>
        <v>40000</v>
      </c>
      <c r="AF100" s="117">
        <v>0</v>
      </c>
      <c r="AG100" s="117"/>
      <c r="AH100" s="117">
        <v>20000</v>
      </c>
      <c r="AI100" s="117">
        <f t="shared" si="35"/>
        <v>20000</v>
      </c>
      <c r="AJ100" s="117"/>
      <c r="AK100" s="117"/>
      <c r="AL100" s="117">
        <f t="shared" si="36"/>
        <v>20000</v>
      </c>
      <c r="AM100" s="117"/>
      <c r="AN100" s="117">
        <f t="shared" si="37"/>
        <v>20000</v>
      </c>
      <c r="AO100" s="118">
        <v>30000</v>
      </c>
      <c r="AP100" s="118"/>
      <c r="AQ100" s="118"/>
      <c r="AR100" s="118">
        <v>30000</v>
      </c>
      <c r="AS100" s="118"/>
      <c r="AT100" s="118"/>
      <c r="AU100" s="117">
        <f t="shared" si="38"/>
        <v>30000</v>
      </c>
      <c r="AV100" s="117"/>
      <c r="AW100" s="117"/>
      <c r="AX100" s="117">
        <f t="shared" si="39"/>
        <v>30000</v>
      </c>
      <c r="AY100" s="120">
        <f t="shared" si="40"/>
        <v>110000</v>
      </c>
      <c r="AZ100" s="120">
        <v>107265.46</v>
      </c>
      <c r="BA100" s="120">
        <f t="shared" si="41"/>
        <v>2734.5399999999936</v>
      </c>
      <c r="BB100" s="121">
        <f t="shared" si="43"/>
        <v>0.9751405454545455</v>
      </c>
    </row>
    <row r="101" spans="1:54" ht="25.5">
      <c r="A101" s="80">
        <v>3571</v>
      </c>
      <c r="B101" s="81" t="s">
        <v>200</v>
      </c>
      <c r="C101" s="118"/>
      <c r="D101" s="117"/>
      <c r="E101" s="117"/>
      <c r="F101" s="117">
        <v>0</v>
      </c>
      <c r="G101" s="117"/>
      <c r="H101" s="117"/>
      <c r="I101" s="117">
        <v>0</v>
      </c>
      <c r="J101" s="117"/>
      <c r="K101" s="117"/>
      <c r="L101" s="117">
        <f t="shared" si="30"/>
        <v>0</v>
      </c>
      <c r="M101" s="117"/>
      <c r="N101" s="117"/>
      <c r="O101" s="117"/>
      <c r="P101" s="117">
        <f t="shared" si="31"/>
        <v>0</v>
      </c>
      <c r="Q101" s="117">
        <v>5000</v>
      </c>
      <c r="R101" s="117"/>
      <c r="S101" s="117"/>
      <c r="T101" s="118">
        <v>5000</v>
      </c>
      <c r="U101" s="117"/>
      <c r="V101" s="117"/>
      <c r="W101" s="117">
        <f t="shared" si="32"/>
        <v>5000</v>
      </c>
      <c r="X101" s="117"/>
      <c r="Y101" s="117"/>
      <c r="Z101" s="117">
        <f t="shared" si="33"/>
        <v>5000</v>
      </c>
      <c r="AA101" s="118"/>
      <c r="AB101" s="117"/>
      <c r="AC101" s="117"/>
      <c r="AD101" s="117"/>
      <c r="AE101" s="117">
        <f t="shared" si="34"/>
        <v>5000</v>
      </c>
      <c r="AF101" s="117">
        <v>0</v>
      </c>
      <c r="AG101" s="117"/>
      <c r="AH101" s="117"/>
      <c r="AI101" s="117">
        <f t="shared" si="35"/>
        <v>0</v>
      </c>
      <c r="AJ101" s="117"/>
      <c r="AK101" s="117"/>
      <c r="AL101" s="117">
        <f t="shared" si="36"/>
        <v>0</v>
      </c>
      <c r="AM101" s="117"/>
      <c r="AN101" s="117">
        <f t="shared" si="37"/>
        <v>0</v>
      </c>
      <c r="AO101" s="118">
        <v>5000</v>
      </c>
      <c r="AP101" s="118"/>
      <c r="AQ101" s="118"/>
      <c r="AR101" s="118">
        <v>5000</v>
      </c>
      <c r="AS101" s="118"/>
      <c r="AT101" s="118"/>
      <c r="AU101" s="117">
        <f t="shared" si="38"/>
        <v>5000</v>
      </c>
      <c r="AV101" s="117"/>
      <c r="AW101" s="117"/>
      <c r="AX101" s="117">
        <f t="shared" si="39"/>
        <v>5000</v>
      </c>
      <c r="AY101" s="120">
        <f t="shared" si="40"/>
        <v>10000</v>
      </c>
      <c r="AZ101" s="120">
        <v>9976.490000000002</v>
      </c>
      <c r="BA101" s="120">
        <f t="shared" si="41"/>
        <v>23.5099999999984</v>
      </c>
      <c r="BB101" s="121">
        <f t="shared" si="43"/>
        <v>0.9976490000000001</v>
      </c>
    </row>
    <row r="102" spans="1:54" ht="26.25" customHeight="1">
      <c r="A102" s="80">
        <v>3572</v>
      </c>
      <c r="B102" s="81" t="s">
        <v>201</v>
      </c>
      <c r="C102" s="118"/>
      <c r="D102" s="117"/>
      <c r="E102" s="117"/>
      <c r="F102" s="117">
        <v>0</v>
      </c>
      <c r="G102" s="117"/>
      <c r="H102" s="117"/>
      <c r="I102" s="117">
        <v>0</v>
      </c>
      <c r="J102" s="117"/>
      <c r="K102" s="117"/>
      <c r="L102" s="117">
        <f t="shared" si="30"/>
        <v>0</v>
      </c>
      <c r="M102" s="117"/>
      <c r="N102" s="117"/>
      <c r="O102" s="117"/>
      <c r="P102" s="117">
        <f t="shared" si="31"/>
        <v>0</v>
      </c>
      <c r="Q102" s="117">
        <v>5000</v>
      </c>
      <c r="R102" s="117"/>
      <c r="S102" s="117"/>
      <c r="T102" s="118">
        <v>5000</v>
      </c>
      <c r="U102" s="117"/>
      <c r="V102" s="117"/>
      <c r="W102" s="117">
        <f t="shared" si="32"/>
        <v>5000</v>
      </c>
      <c r="X102" s="117"/>
      <c r="Y102" s="117"/>
      <c r="Z102" s="117">
        <f t="shared" si="33"/>
        <v>5000</v>
      </c>
      <c r="AA102" s="118"/>
      <c r="AB102" s="117"/>
      <c r="AC102" s="117"/>
      <c r="AD102" s="117"/>
      <c r="AE102" s="117">
        <f t="shared" si="34"/>
        <v>5000</v>
      </c>
      <c r="AF102" s="117">
        <v>0</v>
      </c>
      <c r="AG102" s="117"/>
      <c r="AH102" s="117"/>
      <c r="AI102" s="117">
        <f t="shared" si="35"/>
        <v>0</v>
      </c>
      <c r="AJ102" s="117"/>
      <c r="AK102" s="117"/>
      <c r="AL102" s="117">
        <f t="shared" si="36"/>
        <v>0</v>
      </c>
      <c r="AM102" s="117"/>
      <c r="AN102" s="117">
        <f t="shared" si="37"/>
        <v>0</v>
      </c>
      <c r="AO102" s="118">
        <v>15000</v>
      </c>
      <c r="AP102" s="118"/>
      <c r="AQ102" s="118"/>
      <c r="AR102" s="118">
        <v>15000</v>
      </c>
      <c r="AS102" s="118"/>
      <c r="AT102" s="118"/>
      <c r="AU102" s="117">
        <f t="shared" si="38"/>
        <v>15000</v>
      </c>
      <c r="AV102" s="117"/>
      <c r="AW102" s="117"/>
      <c r="AX102" s="117">
        <f t="shared" si="39"/>
        <v>15000</v>
      </c>
      <c r="AY102" s="120">
        <f t="shared" si="40"/>
        <v>20000</v>
      </c>
      <c r="AZ102" s="120">
        <v>19700</v>
      </c>
      <c r="BA102" s="120">
        <f t="shared" si="41"/>
        <v>300</v>
      </c>
      <c r="BB102" s="121">
        <f t="shared" si="43"/>
        <v>0.985</v>
      </c>
    </row>
    <row r="103" spans="1:54" ht="15.75" customHeight="1">
      <c r="A103" s="80">
        <v>3581</v>
      </c>
      <c r="B103" s="81" t="s">
        <v>39</v>
      </c>
      <c r="C103" s="118"/>
      <c r="D103" s="117"/>
      <c r="E103" s="117"/>
      <c r="F103" s="117">
        <v>0</v>
      </c>
      <c r="G103" s="117"/>
      <c r="H103" s="117"/>
      <c r="I103" s="117">
        <v>0</v>
      </c>
      <c r="J103" s="117"/>
      <c r="K103" s="117"/>
      <c r="L103" s="117">
        <f t="shared" si="30"/>
        <v>0</v>
      </c>
      <c r="M103" s="117"/>
      <c r="N103" s="117"/>
      <c r="O103" s="117"/>
      <c r="P103" s="117">
        <f t="shared" si="31"/>
        <v>0</v>
      </c>
      <c r="Q103" s="117"/>
      <c r="R103" s="117"/>
      <c r="S103" s="117"/>
      <c r="T103" s="118">
        <v>0</v>
      </c>
      <c r="U103" s="117"/>
      <c r="V103" s="117"/>
      <c r="W103" s="117">
        <f t="shared" si="32"/>
        <v>0</v>
      </c>
      <c r="X103" s="117"/>
      <c r="Y103" s="117"/>
      <c r="Z103" s="117">
        <f t="shared" si="33"/>
        <v>0</v>
      </c>
      <c r="AA103" s="118"/>
      <c r="AB103" s="117"/>
      <c r="AC103" s="117"/>
      <c r="AD103" s="117"/>
      <c r="AE103" s="117">
        <f t="shared" si="34"/>
        <v>0</v>
      </c>
      <c r="AF103" s="117">
        <v>0</v>
      </c>
      <c r="AG103" s="117"/>
      <c r="AH103" s="117"/>
      <c r="AI103" s="117">
        <f t="shared" si="35"/>
        <v>0</v>
      </c>
      <c r="AJ103" s="117"/>
      <c r="AK103" s="117"/>
      <c r="AL103" s="117">
        <f t="shared" si="36"/>
        <v>0</v>
      </c>
      <c r="AM103" s="117"/>
      <c r="AN103" s="117">
        <f t="shared" si="37"/>
        <v>0</v>
      </c>
      <c r="AO103" s="118"/>
      <c r="AP103" s="118"/>
      <c r="AQ103" s="118"/>
      <c r="AR103" s="118">
        <v>0</v>
      </c>
      <c r="AS103" s="118"/>
      <c r="AT103" s="118"/>
      <c r="AU103" s="117">
        <f t="shared" si="38"/>
        <v>0</v>
      </c>
      <c r="AV103" s="117"/>
      <c r="AW103" s="117"/>
      <c r="AX103" s="117">
        <f t="shared" si="39"/>
        <v>0</v>
      </c>
      <c r="AY103" s="120">
        <f t="shared" si="40"/>
        <v>0</v>
      </c>
      <c r="AZ103" s="120">
        <v>0</v>
      </c>
      <c r="BA103" s="120">
        <f t="shared" si="41"/>
        <v>0</v>
      </c>
      <c r="BB103" s="121">
        <v>0</v>
      </c>
    </row>
    <row r="104" spans="1:54" ht="15.75">
      <c r="A104" s="80">
        <v>3591</v>
      </c>
      <c r="B104" s="81" t="s">
        <v>49</v>
      </c>
      <c r="C104" s="118"/>
      <c r="D104" s="117"/>
      <c r="E104" s="117"/>
      <c r="F104" s="117">
        <v>0</v>
      </c>
      <c r="G104" s="117"/>
      <c r="H104" s="117"/>
      <c r="I104" s="117">
        <v>0</v>
      </c>
      <c r="J104" s="117"/>
      <c r="K104" s="117"/>
      <c r="L104" s="117">
        <f t="shared" si="30"/>
        <v>0</v>
      </c>
      <c r="M104" s="117"/>
      <c r="N104" s="117"/>
      <c r="O104" s="117"/>
      <c r="P104" s="117">
        <f t="shared" si="31"/>
        <v>0</v>
      </c>
      <c r="Q104" s="117"/>
      <c r="R104" s="117"/>
      <c r="S104" s="117"/>
      <c r="T104" s="118">
        <v>0</v>
      </c>
      <c r="U104" s="117"/>
      <c r="V104" s="117"/>
      <c r="W104" s="117">
        <f t="shared" si="32"/>
        <v>0</v>
      </c>
      <c r="X104" s="117"/>
      <c r="Y104" s="117"/>
      <c r="Z104" s="117">
        <f t="shared" si="33"/>
        <v>0</v>
      </c>
      <c r="AA104" s="118"/>
      <c r="AB104" s="117"/>
      <c r="AC104" s="117"/>
      <c r="AD104" s="117"/>
      <c r="AE104" s="117">
        <f t="shared" si="34"/>
        <v>0</v>
      </c>
      <c r="AF104" s="117">
        <v>0</v>
      </c>
      <c r="AG104" s="117"/>
      <c r="AH104" s="117"/>
      <c r="AI104" s="117">
        <f t="shared" si="35"/>
        <v>0</v>
      </c>
      <c r="AJ104" s="117"/>
      <c r="AK104" s="117"/>
      <c r="AL104" s="117">
        <f t="shared" si="36"/>
        <v>0</v>
      </c>
      <c r="AM104" s="117"/>
      <c r="AN104" s="117">
        <f t="shared" si="37"/>
        <v>0</v>
      </c>
      <c r="AO104" s="118"/>
      <c r="AP104" s="118"/>
      <c r="AQ104" s="118"/>
      <c r="AR104" s="118">
        <v>0</v>
      </c>
      <c r="AS104" s="118"/>
      <c r="AT104" s="118"/>
      <c r="AU104" s="117">
        <f t="shared" si="38"/>
        <v>0</v>
      </c>
      <c r="AV104" s="117"/>
      <c r="AW104" s="117"/>
      <c r="AX104" s="117">
        <f t="shared" si="39"/>
        <v>0</v>
      </c>
      <c r="AY104" s="120">
        <f t="shared" si="40"/>
        <v>0</v>
      </c>
      <c r="AZ104" s="120">
        <v>0</v>
      </c>
      <c r="BA104" s="120">
        <f t="shared" si="41"/>
        <v>0</v>
      </c>
      <c r="BB104" s="121">
        <v>0</v>
      </c>
    </row>
    <row r="105" spans="1:54" ht="25.5">
      <c r="A105" s="80">
        <v>3611</v>
      </c>
      <c r="B105" s="81" t="s">
        <v>202</v>
      </c>
      <c r="C105" s="118">
        <v>100000</v>
      </c>
      <c r="D105" s="117"/>
      <c r="E105" s="117"/>
      <c r="F105" s="117">
        <v>100000</v>
      </c>
      <c r="G105" s="117"/>
      <c r="H105" s="117"/>
      <c r="I105" s="117">
        <v>100000</v>
      </c>
      <c r="J105" s="117"/>
      <c r="K105" s="117"/>
      <c r="L105" s="117">
        <f t="shared" si="30"/>
        <v>100000</v>
      </c>
      <c r="M105" s="117"/>
      <c r="N105" s="117"/>
      <c r="O105" s="117"/>
      <c r="P105" s="117">
        <f t="shared" si="31"/>
        <v>100000</v>
      </c>
      <c r="Q105" s="117">
        <v>20000</v>
      </c>
      <c r="R105" s="117"/>
      <c r="S105" s="117"/>
      <c r="T105" s="118">
        <v>20000</v>
      </c>
      <c r="U105" s="117"/>
      <c r="V105" s="117"/>
      <c r="W105" s="117">
        <f t="shared" si="32"/>
        <v>20000</v>
      </c>
      <c r="X105" s="117"/>
      <c r="Y105" s="117"/>
      <c r="Z105" s="117">
        <f t="shared" si="33"/>
        <v>20000</v>
      </c>
      <c r="AA105" s="118"/>
      <c r="AB105" s="117"/>
      <c r="AC105" s="117"/>
      <c r="AD105" s="117"/>
      <c r="AE105" s="117">
        <f t="shared" si="34"/>
        <v>20000</v>
      </c>
      <c r="AF105" s="117">
        <v>0</v>
      </c>
      <c r="AG105" s="117"/>
      <c r="AH105" s="117"/>
      <c r="AI105" s="117">
        <f t="shared" si="35"/>
        <v>0</v>
      </c>
      <c r="AJ105" s="117"/>
      <c r="AK105" s="117"/>
      <c r="AL105" s="117">
        <f t="shared" si="36"/>
        <v>0</v>
      </c>
      <c r="AM105" s="117"/>
      <c r="AN105" s="117">
        <f t="shared" si="37"/>
        <v>0</v>
      </c>
      <c r="AO105" s="118">
        <v>100000</v>
      </c>
      <c r="AP105" s="118"/>
      <c r="AQ105" s="118"/>
      <c r="AR105" s="118">
        <v>100000</v>
      </c>
      <c r="AS105" s="118"/>
      <c r="AT105" s="118"/>
      <c r="AU105" s="117">
        <f t="shared" si="38"/>
        <v>100000</v>
      </c>
      <c r="AV105" s="117">
        <v>17000</v>
      </c>
      <c r="AW105" s="117"/>
      <c r="AX105" s="117">
        <f t="shared" si="39"/>
        <v>83000</v>
      </c>
      <c r="AY105" s="120">
        <f t="shared" si="40"/>
        <v>203000</v>
      </c>
      <c r="AZ105" s="120">
        <v>202409.12</v>
      </c>
      <c r="BA105" s="120">
        <f t="shared" si="41"/>
        <v>590.8800000000047</v>
      </c>
      <c r="BB105" s="121">
        <f>AZ105/AY105</f>
        <v>0.9970892610837438</v>
      </c>
    </row>
    <row r="106" spans="1:54" ht="25.5" customHeight="1">
      <c r="A106" s="80">
        <v>3621</v>
      </c>
      <c r="B106" s="81" t="s">
        <v>89</v>
      </c>
      <c r="C106" s="118"/>
      <c r="D106" s="117"/>
      <c r="E106" s="117"/>
      <c r="F106" s="117">
        <v>0</v>
      </c>
      <c r="G106" s="117"/>
      <c r="H106" s="117"/>
      <c r="I106" s="117">
        <v>0</v>
      </c>
      <c r="J106" s="117"/>
      <c r="K106" s="117"/>
      <c r="L106" s="117">
        <f t="shared" si="30"/>
        <v>0</v>
      </c>
      <c r="M106" s="117"/>
      <c r="N106" s="117"/>
      <c r="O106" s="117"/>
      <c r="P106" s="117">
        <f t="shared" si="31"/>
        <v>0</v>
      </c>
      <c r="Q106" s="117"/>
      <c r="R106" s="117"/>
      <c r="S106" s="117"/>
      <c r="T106" s="118">
        <v>0</v>
      </c>
      <c r="U106" s="117"/>
      <c r="V106" s="117"/>
      <c r="W106" s="117">
        <f t="shared" si="32"/>
        <v>0</v>
      </c>
      <c r="X106" s="117"/>
      <c r="Y106" s="117"/>
      <c r="Z106" s="117">
        <f t="shared" si="33"/>
        <v>0</v>
      </c>
      <c r="AA106" s="118"/>
      <c r="AB106" s="117"/>
      <c r="AC106" s="117"/>
      <c r="AD106" s="117"/>
      <c r="AE106" s="117">
        <f t="shared" si="34"/>
        <v>0</v>
      </c>
      <c r="AF106" s="117">
        <v>0</v>
      </c>
      <c r="AG106" s="117"/>
      <c r="AH106" s="117"/>
      <c r="AI106" s="117">
        <f t="shared" si="35"/>
        <v>0</v>
      </c>
      <c r="AJ106" s="117"/>
      <c r="AK106" s="117"/>
      <c r="AL106" s="117">
        <f t="shared" si="36"/>
        <v>0</v>
      </c>
      <c r="AM106" s="117"/>
      <c r="AN106" s="117">
        <f t="shared" si="37"/>
        <v>0</v>
      </c>
      <c r="AO106" s="118"/>
      <c r="AP106" s="118"/>
      <c r="AQ106" s="118"/>
      <c r="AR106" s="118">
        <v>0</v>
      </c>
      <c r="AS106" s="118"/>
      <c r="AT106" s="118"/>
      <c r="AU106" s="117">
        <f t="shared" si="38"/>
        <v>0</v>
      </c>
      <c r="AV106" s="117"/>
      <c r="AW106" s="117"/>
      <c r="AX106" s="117">
        <f t="shared" si="39"/>
        <v>0</v>
      </c>
      <c r="AY106" s="120">
        <f t="shared" si="40"/>
        <v>0</v>
      </c>
      <c r="AZ106" s="120">
        <v>0</v>
      </c>
      <c r="BA106" s="120">
        <f t="shared" si="41"/>
        <v>0</v>
      </c>
      <c r="BB106" s="121" t="e">
        <f>AZ106/AY106</f>
        <v>#DIV/0!</v>
      </c>
    </row>
    <row r="107" spans="1:54" ht="25.5">
      <c r="A107" s="80">
        <v>3631</v>
      </c>
      <c r="B107" s="81" t="s">
        <v>203</v>
      </c>
      <c r="C107" s="118">
        <v>30950</v>
      </c>
      <c r="D107" s="117"/>
      <c r="E107" s="117"/>
      <c r="F107" s="117">
        <v>30950</v>
      </c>
      <c r="G107" s="117"/>
      <c r="H107" s="117"/>
      <c r="I107" s="117">
        <v>30950</v>
      </c>
      <c r="J107" s="117"/>
      <c r="K107" s="117"/>
      <c r="L107" s="117">
        <f t="shared" si="30"/>
        <v>30950</v>
      </c>
      <c r="M107" s="117"/>
      <c r="N107" s="117">
        <v>5500</v>
      </c>
      <c r="O107" s="117"/>
      <c r="P107" s="117">
        <f t="shared" si="31"/>
        <v>25450</v>
      </c>
      <c r="Q107" s="117">
        <v>20000</v>
      </c>
      <c r="R107" s="117"/>
      <c r="S107" s="117"/>
      <c r="T107" s="118">
        <v>20000</v>
      </c>
      <c r="U107" s="117"/>
      <c r="V107" s="117"/>
      <c r="W107" s="117">
        <f t="shared" si="32"/>
        <v>20000</v>
      </c>
      <c r="X107" s="117"/>
      <c r="Y107" s="117"/>
      <c r="Z107" s="117">
        <f t="shared" si="33"/>
        <v>20000</v>
      </c>
      <c r="AA107" s="118"/>
      <c r="AB107" s="117"/>
      <c r="AC107" s="117"/>
      <c r="AD107" s="117"/>
      <c r="AE107" s="117">
        <f t="shared" si="34"/>
        <v>20000</v>
      </c>
      <c r="AF107" s="117">
        <v>0</v>
      </c>
      <c r="AG107" s="117"/>
      <c r="AH107" s="117"/>
      <c r="AI107" s="117">
        <f t="shared" si="35"/>
        <v>0</v>
      </c>
      <c r="AJ107" s="117"/>
      <c r="AK107" s="117"/>
      <c r="AL107" s="117">
        <f t="shared" si="36"/>
        <v>0</v>
      </c>
      <c r="AM107" s="117"/>
      <c r="AN107" s="117">
        <f t="shared" si="37"/>
        <v>0</v>
      </c>
      <c r="AO107" s="118">
        <v>4050</v>
      </c>
      <c r="AP107" s="118"/>
      <c r="AQ107" s="118"/>
      <c r="AR107" s="118">
        <v>4050</v>
      </c>
      <c r="AS107" s="118"/>
      <c r="AT107" s="118"/>
      <c r="AU107" s="117">
        <f t="shared" si="38"/>
        <v>4050</v>
      </c>
      <c r="AV107" s="117"/>
      <c r="AW107" s="117"/>
      <c r="AX107" s="117">
        <f t="shared" si="39"/>
        <v>4050</v>
      </c>
      <c r="AY107" s="120">
        <f t="shared" si="40"/>
        <v>49500</v>
      </c>
      <c r="AZ107" s="120">
        <v>0</v>
      </c>
      <c r="BA107" s="120">
        <f t="shared" si="41"/>
        <v>49500</v>
      </c>
      <c r="BB107" s="121">
        <f>AZ107/AY107</f>
        <v>0</v>
      </c>
    </row>
    <row r="108" spans="1:54" ht="15.75" customHeight="1">
      <c r="A108" s="80">
        <v>3651</v>
      </c>
      <c r="B108" s="81" t="s">
        <v>204</v>
      </c>
      <c r="C108" s="118">
        <v>5000</v>
      </c>
      <c r="D108" s="117"/>
      <c r="E108" s="117"/>
      <c r="F108" s="117">
        <v>5000</v>
      </c>
      <c r="G108" s="117"/>
      <c r="H108" s="117"/>
      <c r="I108" s="117">
        <v>5000</v>
      </c>
      <c r="J108" s="117"/>
      <c r="K108" s="117"/>
      <c r="L108" s="117">
        <f t="shared" si="30"/>
        <v>5000</v>
      </c>
      <c r="M108" s="117"/>
      <c r="N108" s="117"/>
      <c r="O108" s="117"/>
      <c r="P108" s="117">
        <f t="shared" si="31"/>
        <v>5000</v>
      </c>
      <c r="Q108" s="117"/>
      <c r="R108" s="117"/>
      <c r="S108" s="117"/>
      <c r="T108" s="118">
        <v>0</v>
      </c>
      <c r="U108" s="117"/>
      <c r="V108" s="117">
        <v>6500</v>
      </c>
      <c r="W108" s="117">
        <f t="shared" si="32"/>
        <v>6500</v>
      </c>
      <c r="X108" s="117"/>
      <c r="Y108" s="117"/>
      <c r="Z108" s="117">
        <f t="shared" si="33"/>
        <v>6500</v>
      </c>
      <c r="AA108" s="118"/>
      <c r="AB108" s="117"/>
      <c r="AC108" s="117"/>
      <c r="AD108" s="117"/>
      <c r="AE108" s="117">
        <f t="shared" si="34"/>
        <v>6500</v>
      </c>
      <c r="AF108" s="117">
        <v>0</v>
      </c>
      <c r="AG108" s="117"/>
      <c r="AH108" s="117"/>
      <c r="AI108" s="117">
        <f t="shared" si="35"/>
        <v>0</v>
      </c>
      <c r="AJ108" s="117"/>
      <c r="AK108" s="117"/>
      <c r="AL108" s="117">
        <f t="shared" si="36"/>
        <v>0</v>
      </c>
      <c r="AM108" s="117"/>
      <c r="AN108" s="117">
        <f t="shared" si="37"/>
        <v>0</v>
      </c>
      <c r="AO108" s="118">
        <v>10000</v>
      </c>
      <c r="AP108" s="118"/>
      <c r="AQ108" s="118"/>
      <c r="AR108" s="118">
        <v>10000</v>
      </c>
      <c r="AS108" s="118"/>
      <c r="AT108" s="118"/>
      <c r="AU108" s="117">
        <f t="shared" si="38"/>
        <v>10000</v>
      </c>
      <c r="AV108" s="117"/>
      <c r="AW108" s="117"/>
      <c r="AX108" s="117">
        <f t="shared" si="39"/>
        <v>10000</v>
      </c>
      <c r="AY108" s="120">
        <f t="shared" si="40"/>
        <v>21500</v>
      </c>
      <c r="AZ108" s="120">
        <v>6148</v>
      </c>
      <c r="BA108" s="120">
        <f t="shared" si="41"/>
        <v>15352</v>
      </c>
      <c r="BB108" s="121">
        <f>AZ108/AY108</f>
        <v>0.285953488372093</v>
      </c>
    </row>
    <row r="109" spans="1:54" ht="25.5">
      <c r="A109" s="80">
        <v>3661</v>
      </c>
      <c r="B109" s="81" t="s">
        <v>205</v>
      </c>
      <c r="C109" s="118"/>
      <c r="D109" s="117"/>
      <c r="E109" s="117"/>
      <c r="F109" s="117">
        <v>0</v>
      </c>
      <c r="G109" s="117"/>
      <c r="H109" s="117"/>
      <c r="I109" s="117">
        <v>0</v>
      </c>
      <c r="J109" s="117"/>
      <c r="K109" s="117"/>
      <c r="L109" s="117">
        <f t="shared" si="30"/>
        <v>0</v>
      </c>
      <c r="M109" s="117"/>
      <c r="N109" s="117"/>
      <c r="O109" s="117"/>
      <c r="P109" s="117">
        <f t="shared" si="31"/>
        <v>0</v>
      </c>
      <c r="Q109" s="117"/>
      <c r="R109" s="117"/>
      <c r="S109" s="117"/>
      <c r="T109" s="118">
        <v>0</v>
      </c>
      <c r="U109" s="117"/>
      <c r="V109" s="117"/>
      <c r="W109" s="117">
        <f t="shared" si="32"/>
        <v>0</v>
      </c>
      <c r="X109" s="117"/>
      <c r="Y109" s="117"/>
      <c r="Z109" s="117">
        <f t="shared" si="33"/>
        <v>0</v>
      </c>
      <c r="AA109" s="118"/>
      <c r="AB109" s="117"/>
      <c r="AC109" s="117"/>
      <c r="AD109" s="117"/>
      <c r="AE109" s="117">
        <f t="shared" si="34"/>
        <v>0</v>
      </c>
      <c r="AF109" s="117">
        <v>0</v>
      </c>
      <c r="AG109" s="117"/>
      <c r="AH109" s="117"/>
      <c r="AI109" s="117">
        <f t="shared" si="35"/>
        <v>0</v>
      </c>
      <c r="AJ109" s="117"/>
      <c r="AK109" s="117"/>
      <c r="AL109" s="117">
        <f t="shared" si="36"/>
        <v>0</v>
      </c>
      <c r="AM109" s="117"/>
      <c r="AN109" s="117">
        <f t="shared" si="37"/>
        <v>0</v>
      </c>
      <c r="AO109" s="118"/>
      <c r="AP109" s="118"/>
      <c r="AQ109" s="118"/>
      <c r="AR109" s="118">
        <v>0</v>
      </c>
      <c r="AS109" s="118"/>
      <c r="AT109" s="118"/>
      <c r="AU109" s="117">
        <f t="shared" si="38"/>
        <v>0</v>
      </c>
      <c r="AV109" s="117"/>
      <c r="AW109" s="117"/>
      <c r="AX109" s="117">
        <f t="shared" si="39"/>
        <v>0</v>
      </c>
      <c r="AY109" s="120">
        <f t="shared" si="40"/>
        <v>0</v>
      </c>
      <c r="AZ109" s="120">
        <v>0</v>
      </c>
      <c r="BA109" s="120">
        <f t="shared" si="41"/>
        <v>0</v>
      </c>
      <c r="BB109" s="121">
        <v>0</v>
      </c>
    </row>
    <row r="110" spans="1:54" ht="18" customHeight="1">
      <c r="A110" s="80">
        <v>3711</v>
      </c>
      <c r="B110" s="81" t="s">
        <v>206</v>
      </c>
      <c r="C110" s="118">
        <v>20000</v>
      </c>
      <c r="D110" s="117"/>
      <c r="E110" s="117"/>
      <c r="F110" s="117">
        <v>20000</v>
      </c>
      <c r="G110" s="117"/>
      <c r="H110" s="117"/>
      <c r="I110" s="117">
        <v>20000</v>
      </c>
      <c r="J110" s="117"/>
      <c r="K110" s="117"/>
      <c r="L110" s="117">
        <f t="shared" si="30"/>
        <v>20000</v>
      </c>
      <c r="M110" s="117"/>
      <c r="N110" s="117"/>
      <c r="O110" s="117"/>
      <c r="P110" s="117">
        <f t="shared" si="31"/>
        <v>20000</v>
      </c>
      <c r="Q110" s="117">
        <v>60000</v>
      </c>
      <c r="R110" s="117">
        <v>20000</v>
      </c>
      <c r="S110" s="117"/>
      <c r="T110" s="118">
        <v>40000</v>
      </c>
      <c r="U110" s="117"/>
      <c r="V110" s="117"/>
      <c r="W110" s="117">
        <f t="shared" si="32"/>
        <v>40000</v>
      </c>
      <c r="X110" s="117"/>
      <c r="Y110" s="117"/>
      <c r="Z110" s="117">
        <f t="shared" si="33"/>
        <v>40000</v>
      </c>
      <c r="AA110" s="118"/>
      <c r="AB110" s="117"/>
      <c r="AC110" s="117"/>
      <c r="AD110" s="117"/>
      <c r="AE110" s="117">
        <f t="shared" si="34"/>
        <v>40000</v>
      </c>
      <c r="AF110" s="117">
        <v>0</v>
      </c>
      <c r="AG110" s="117"/>
      <c r="AH110" s="117"/>
      <c r="AI110" s="117">
        <f t="shared" si="35"/>
        <v>0</v>
      </c>
      <c r="AJ110" s="117"/>
      <c r="AK110" s="117"/>
      <c r="AL110" s="117">
        <f t="shared" si="36"/>
        <v>0</v>
      </c>
      <c r="AM110" s="117"/>
      <c r="AN110" s="117">
        <f t="shared" si="37"/>
        <v>0</v>
      </c>
      <c r="AO110" s="118">
        <v>40000</v>
      </c>
      <c r="AP110" s="118"/>
      <c r="AQ110" s="118"/>
      <c r="AR110" s="118">
        <v>40000</v>
      </c>
      <c r="AS110" s="118"/>
      <c r="AT110" s="118"/>
      <c r="AU110" s="117">
        <f t="shared" si="38"/>
        <v>40000</v>
      </c>
      <c r="AV110" s="117"/>
      <c r="AW110" s="117"/>
      <c r="AX110" s="117">
        <f t="shared" si="39"/>
        <v>40000</v>
      </c>
      <c r="AY110" s="120">
        <f t="shared" si="40"/>
        <v>100000</v>
      </c>
      <c r="AZ110" s="120">
        <v>83877.63</v>
      </c>
      <c r="BA110" s="120">
        <f t="shared" si="41"/>
        <v>16122.369999999995</v>
      </c>
      <c r="BB110" s="121">
        <f>AZ110/AY110</f>
        <v>0.8387763</v>
      </c>
    </row>
    <row r="111" spans="1:54" ht="17.25" customHeight="1">
      <c r="A111" s="80">
        <v>3721</v>
      </c>
      <c r="B111" s="81" t="s">
        <v>207</v>
      </c>
      <c r="C111" s="118"/>
      <c r="D111" s="117"/>
      <c r="E111" s="117"/>
      <c r="F111" s="117">
        <v>0</v>
      </c>
      <c r="G111" s="117"/>
      <c r="H111" s="117"/>
      <c r="I111" s="117">
        <v>0</v>
      </c>
      <c r="J111" s="117"/>
      <c r="K111" s="117"/>
      <c r="L111" s="117">
        <f t="shared" si="30"/>
        <v>0</v>
      </c>
      <c r="M111" s="117"/>
      <c r="N111" s="117"/>
      <c r="O111" s="117"/>
      <c r="P111" s="117">
        <f t="shared" si="31"/>
        <v>0</v>
      </c>
      <c r="Q111" s="117">
        <v>30000</v>
      </c>
      <c r="R111" s="117"/>
      <c r="S111" s="117"/>
      <c r="T111" s="118">
        <v>30000</v>
      </c>
      <c r="U111" s="117"/>
      <c r="V111" s="117"/>
      <c r="W111" s="117">
        <f t="shared" si="32"/>
        <v>30000</v>
      </c>
      <c r="X111" s="117"/>
      <c r="Y111" s="117"/>
      <c r="Z111" s="117">
        <f t="shared" si="33"/>
        <v>30000</v>
      </c>
      <c r="AA111" s="118"/>
      <c r="AB111" s="117"/>
      <c r="AC111" s="117"/>
      <c r="AD111" s="117"/>
      <c r="AE111" s="117">
        <f t="shared" si="34"/>
        <v>30000</v>
      </c>
      <c r="AF111" s="117">
        <v>0</v>
      </c>
      <c r="AG111" s="117"/>
      <c r="AH111" s="117"/>
      <c r="AI111" s="117">
        <f t="shared" si="35"/>
        <v>0</v>
      </c>
      <c r="AJ111" s="117"/>
      <c r="AK111" s="117"/>
      <c r="AL111" s="117">
        <f t="shared" si="36"/>
        <v>0</v>
      </c>
      <c r="AM111" s="117"/>
      <c r="AN111" s="117">
        <f t="shared" si="37"/>
        <v>0</v>
      </c>
      <c r="AO111" s="118">
        <v>20000</v>
      </c>
      <c r="AP111" s="118"/>
      <c r="AQ111" s="118"/>
      <c r="AR111" s="118">
        <v>20000</v>
      </c>
      <c r="AS111" s="118"/>
      <c r="AT111" s="118"/>
      <c r="AU111" s="117">
        <f t="shared" si="38"/>
        <v>20000</v>
      </c>
      <c r="AV111" s="117">
        <v>5000</v>
      </c>
      <c r="AW111" s="117"/>
      <c r="AX111" s="117">
        <f t="shared" si="39"/>
        <v>15000</v>
      </c>
      <c r="AY111" s="120">
        <f t="shared" si="40"/>
        <v>45000</v>
      </c>
      <c r="AZ111" s="120">
        <v>25285</v>
      </c>
      <c r="BA111" s="120">
        <f t="shared" si="41"/>
        <v>19715</v>
      </c>
      <c r="BB111" s="121">
        <f>AZ111/AY111</f>
        <v>0.5618888888888889</v>
      </c>
    </row>
    <row r="112" spans="1:54" ht="15.75" customHeight="1">
      <c r="A112" s="80">
        <v>3751</v>
      </c>
      <c r="B112" s="81" t="s">
        <v>50</v>
      </c>
      <c r="C112" s="118">
        <v>41000</v>
      </c>
      <c r="D112" s="117"/>
      <c r="E112" s="117"/>
      <c r="F112" s="117">
        <v>41000</v>
      </c>
      <c r="G112" s="117"/>
      <c r="H112" s="117"/>
      <c r="I112" s="117">
        <v>41000</v>
      </c>
      <c r="J112" s="117"/>
      <c r="K112" s="117"/>
      <c r="L112" s="117">
        <f t="shared" si="30"/>
        <v>41000</v>
      </c>
      <c r="M112" s="117"/>
      <c r="N112" s="117"/>
      <c r="O112" s="117"/>
      <c r="P112" s="117">
        <f t="shared" si="31"/>
        <v>41000</v>
      </c>
      <c r="Q112" s="117">
        <v>191234</v>
      </c>
      <c r="R112" s="117">
        <v>52756</v>
      </c>
      <c r="S112" s="117"/>
      <c r="T112" s="118">
        <v>138478</v>
      </c>
      <c r="U112" s="117"/>
      <c r="V112" s="117"/>
      <c r="W112" s="117">
        <f t="shared" si="32"/>
        <v>138478</v>
      </c>
      <c r="X112" s="117"/>
      <c r="Y112" s="117"/>
      <c r="Z112" s="117">
        <f t="shared" si="33"/>
        <v>138478</v>
      </c>
      <c r="AA112" s="118"/>
      <c r="AB112" s="117"/>
      <c r="AC112" s="117"/>
      <c r="AD112" s="117"/>
      <c r="AE112" s="117">
        <f t="shared" si="34"/>
        <v>138478</v>
      </c>
      <c r="AF112" s="117">
        <v>0</v>
      </c>
      <c r="AG112" s="117"/>
      <c r="AH112" s="117"/>
      <c r="AI112" s="117">
        <f t="shared" si="35"/>
        <v>0</v>
      </c>
      <c r="AJ112" s="117"/>
      <c r="AK112" s="117"/>
      <c r="AL112" s="117">
        <f t="shared" si="36"/>
        <v>0</v>
      </c>
      <c r="AM112" s="117">
        <f>3500+1540.97</f>
        <v>5040.97</v>
      </c>
      <c r="AN112" s="117">
        <f t="shared" si="37"/>
        <v>5040.97</v>
      </c>
      <c r="AO112" s="118">
        <f>40000+100000</f>
        <v>140000</v>
      </c>
      <c r="AP112" s="118"/>
      <c r="AQ112" s="118"/>
      <c r="AR112" s="118">
        <v>140000</v>
      </c>
      <c r="AS112" s="118"/>
      <c r="AT112" s="118"/>
      <c r="AU112" s="117">
        <f t="shared" si="38"/>
        <v>140000</v>
      </c>
      <c r="AV112" s="117"/>
      <c r="AW112" s="117">
        <v>2800</v>
      </c>
      <c r="AX112" s="117">
        <f t="shared" si="39"/>
        <v>142800</v>
      </c>
      <c r="AY112" s="120">
        <f t="shared" si="40"/>
        <v>327318.97</v>
      </c>
      <c r="AZ112" s="120">
        <v>324563.78</v>
      </c>
      <c r="BA112" s="120">
        <f t="shared" si="41"/>
        <v>2755.189999999944</v>
      </c>
      <c r="BB112" s="121">
        <f>AZ112/AY112</f>
        <v>0.991582553250733</v>
      </c>
    </row>
    <row r="113" spans="1:54" ht="15.75">
      <c r="A113" s="80">
        <v>3761</v>
      </c>
      <c r="B113" s="81" t="s">
        <v>208</v>
      </c>
      <c r="C113" s="118"/>
      <c r="D113" s="117"/>
      <c r="E113" s="117"/>
      <c r="F113" s="117">
        <v>0</v>
      </c>
      <c r="G113" s="117"/>
      <c r="H113" s="117"/>
      <c r="I113" s="117">
        <v>0</v>
      </c>
      <c r="J113" s="117"/>
      <c r="K113" s="117"/>
      <c r="L113" s="117">
        <f t="shared" si="30"/>
        <v>0</v>
      </c>
      <c r="M113" s="117"/>
      <c r="N113" s="117"/>
      <c r="O113" s="117"/>
      <c r="P113" s="117">
        <f t="shared" si="31"/>
        <v>0</v>
      </c>
      <c r="Q113" s="117"/>
      <c r="R113" s="117"/>
      <c r="S113" s="117"/>
      <c r="T113" s="118">
        <v>0</v>
      </c>
      <c r="U113" s="117"/>
      <c r="V113" s="117"/>
      <c r="W113" s="117">
        <f t="shared" si="32"/>
        <v>0</v>
      </c>
      <c r="X113" s="117"/>
      <c r="Y113" s="117"/>
      <c r="Z113" s="117">
        <f t="shared" si="33"/>
        <v>0</v>
      </c>
      <c r="AA113" s="118"/>
      <c r="AB113" s="117"/>
      <c r="AC113" s="117"/>
      <c r="AD113" s="117"/>
      <c r="AE113" s="117">
        <f t="shared" si="34"/>
        <v>0</v>
      </c>
      <c r="AF113" s="117">
        <v>0</v>
      </c>
      <c r="AG113" s="117"/>
      <c r="AH113" s="117"/>
      <c r="AI113" s="117">
        <f t="shared" si="35"/>
        <v>0</v>
      </c>
      <c r="AJ113" s="117"/>
      <c r="AK113" s="117"/>
      <c r="AL113" s="117">
        <f t="shared" si="36"/>
        <v>0</v>
      </c>
      <c r="AM113" s="117"/>
      <c r="AN113" s="117">
        <f t="shared" si="37"/>
        <v>0</v>
      </c>
      <c r="AO113" s="118"/>
      <c r="AP113" s="118"/>
      <c r="AQ113" s="118"/>
      <c r="AR113" s="118">
        <v>0</v>
      </c>
      <c r="AS113" s="118"/>
      <c r="AT113" s="118"/>
      <c r="AU113" s="117">
        <f t="shared" si="38"/>
        <v>0</v>
      </c>
      <c r="AV113" s="117"/>
      <c r="AW113" s="117"/>
      <c r="AX113" s="117">
        <f t="shared" si="39"/>
        <v>0</v>
      </c>
      <c r="AY113" s="120">
        <f t="shared" si="40"/>
        <v>0</v>
      </c>
      <c r="AZ113" s="120">
        <v>0</v>
      </c>
      <c r="BA113" s="120">
        <f t="shared" si="41"/>
        <v>0</v>
      </c>
      <c r="BB113" s="121">
        <v>0</v>
      </c>
    </row>
    <row r="114" spans="1:54" ht="15.75">
      <c r="A114" s="80">
        <v>3791</v>
      </c>
      <c r="B114" s="81" t="s">
        <v>90</v>
      </c>
      <c r="C114" s="118"/>
      <c r="D114" s="117"/>
      <c r="E114" s="117"/>
      <c r="F114" s="117">
        <v>0</v>
      </c>
      <c r="G114" s="117"/>
      <c r="H114" s="117"/>
      <c r="I114" s="117">
        <v>0</v>
      </c>
      <c r="J114" s="117"/>
      <c r="K114" s="117"/>
      <c r="L114" s="117">
        <f t="shared" si="30"/>
        <v>0</v>
      </c>
      <c r="M114" s="117"/>
      <c r="N114" s="117"/>
      <c r="O114" s="117"/>
      <c r="P114" s="117">
        <f t="shared" si="31"/>
        <v>0</v>
      </c>
      <c r="Q114" s="117">
        <v>10000</v>
      </c>
      <c r="R114" s="117"/>
      <c r="S114" s="117"/>
      <c r="T114" s="118">
        <v>10000</v>
      </c>
      <c r="U114" s="117"/>
      <c r="V114" s="117"/>
      <c r="W114" s="117">
        <f t="shared" si="32"/>
        <v>10000</v>
      </c>
      <c r="X114" s="117"/>
      <c r="Y114" s="117"/>
      <c r="Z114" s="117">
        <f t="shared" si="33"/>
        <v>10000</v>
      </c>
      <c r="AA114" s="118"/>
      <c r="AB114" s="117"/>
      <c r="AC114" s="117"/>
      <c r="AD114" s="117"/>
      <c r="AE114" s="117">
        <f t="shared" si="34"/>
        <v>10000</v>
      </c>
      <c r="AF114" s="117">
        <v>0</v>
      </c>
      <c r="AG114" s="117"/>
      <c r="AH114" s="117"/>
      <c r="AI114" s="117">
        <f t="shared" si="35"/>
        <v>0</v>
      </c>
      <c r="AJ114" s="117"/>
      <c r="AK114" s="117"/>
      <c r="AL114" s="117">
        <f t="shared" si="36"/>
        <v>0</v>
      </c>
      <c r="AM114" s="117"/>
      <c r="AN114" s="117">
        <f t="shared" si="37"/>
        <v>0</v>
      </c>
      <c r="AO114" s="118">
        <v>5000</v>
      </c>
      <c r="AP114" s="118"/>
      <c r="AQ114" s="118"/>
      <c r="AR114" s="118">
        <v>5000</v>
      </c>
      <c r="AS114" s="118"/>
      <c r="AT114" s="118"/>
      <c r="AU114" s="117">
        <f t="shared" si="38"/>
        <v>5000</v>
      </c>
      <c r="AV114" s="117"/>
      <c r="AW114" s="117"/>
      <c r="AX114" s="117">
        <f t="shared" si="39"/>
        <v>5000</v>
      </c>
      <c r="AY114" s="120">
        <f t="shared" si="40"/>
        <v>15000</v>
      </c>
      <c r="AZ114" s="120">
        <v>5556.77</v>
      </c>
      <c r="BA114" s="120">
        <f t="shared" si="41"/>
        <v>9443.23</v>
      </c>
      <c r="BB114" s="121">
        <f>AZ114/AY114</f>
        <v>0.37045133333333335</v>
      </c>
    </row>
    <row r="115" spans="1:54" ht="15.75">
      <c r="A115" s="80">
        <v>3811</v>
      </c>
      <c r="B115" s="81" t="s">
        <v>209</v>
      </c>
      <c r="C115" s="118"/>
      <c r="D115" s="117"/>
      <c r="E115" s="117"/>
      <c r="F115" s="117">
        <v>0</v>
      </c>
      <c r="G115" s="117"/>
      <c r="H115" s="117"/>
      <c r="I115" s="117">
        <v>0</v>
      </c>
      <c r="J115" s="117"/>
      <c r="K115" s="117"/>
      <c r="L115" s="117">
        <f t="shared" si="30"/>
        <v>0</v>
      </c>
      <c r="M115" s="117"/>
      <c r="N115" s="117"/>
      <c r="O115" s="117"/>
      <c r="P115" s="117">
        <f t="shared" si="31"/>
        <v>0</v>
      </c>
      <c r="Q115" s="117"/>
      <c r="R115" s="117"/>
      <c r="S115" s="117"/>
      <c r="T115" s="118">
        <v>0</v>
      </c>
      <c r="U115" s="117"/>
      <c r="V115" s="117"/>
      <c r="W115" s="117">
        <f t="shared" si="32"/>
        <v>0</v>
      </c>
      <c r="X115" s="117"/>
      <c r="Y115" s="117"/>
      <c r="Z115" s="117">
        <f t="shared" si="33"/>
        <v>0</v>
      </c>
      <c r="AA115" s="118"/>
      <c r="AB115" s="117"/>
      <c r="AC115" s="117"/>
      <c r="AD115" s="117"/>
      <c r="AE115" s="117">
        <f t="shared" si="34"/>
        <v>0</v>
      </c>
      <c r="AF115" s="117">
        <v>0</v>
      </c>
      <c r="AG115" s="117"/>
      <c r="AH115" s="117"/>
      <c r="AI115" s="117">
        <f t="shared" si="35"/>
        <v>0</v>
      </c>
      <c r="AJ115" s="117"/>
      <c r="AK115" s="117"/>
      <c r="AL115" s="117">
        <f t="shared" si="36"/>
        <v>0</v>
      </c>
      <c r="AM115" s="117"/>
      <c r="AN115" s="117">
        <f t="shared" si="37"/>
        <v>0</v>
      </c>
      <c r="AO115" s="118"/>
      <c r="AP115" s="118"/>
      <c r="AQ115" s="118"/>
      <c r="AR115" s="118">
        <v>0</v>
      </c>
      <c r="AS115" s="118"/>
      <c r="AT115" s="118"/>
      <c r="AU115" s="117">
        <f t="shared" si="38"/>
        <v>0</v>
      </c>
      <c r="AV115" s="117"/>
      <c r="AW115" s="117"/>
      <c r="AX115" s="117">
        <f t="shared" si="39"/>
        <v>0</v>
      </c>
      <c r="AY115" s="120">
        <f t="shared" si="40"/>
        <v>0</v>
      </c>
      <c r="AZ115" s="120">
        <v>0</v>
      </c>
      <c r="BA115" s="120">
        <f t="shared" si="41"/>
        <v>0</v>
      </c>
      <c r="BB115" s="121">
        <v>0</v>
      </c>
    </row>
    <row r="116" spans="1:54" ht="15.75" customHeight="1">
      <c r="A116" s="80">
        <v>3821</v>
      </c>
      <c r="B116" s="81" t="s">
        <v>210</v>
      </c>
      <c r="C116" s="118">
        <v>30000</v>
      </c>
      <c r="D116" s="117"/>
      <c r="E116" s="117"/>
      <c r="F116" s="117">
        <v>30000</v>
      </c>
      <c r="G116" s="117"/>
      <c r="H116" s="117"/>
      <c r="I116" s="117">
        <v>30000</v>
      </c>
      <c r="J116" s="117"/>
      <c r="K116" s="117"/>
      <c r="L116" s="117">
        <f t="shared" si="30"/>
        <v>30000</v>
      </c>
      <c r="M116" s="117"/>
      <c r="N116" s="117"/>
      <c r="O116" s="117">
        <v>3500</v>
      </c>
      <c r="P116" s="117">
        <f t="shared" si="31"/>
        <v>33500</v>
      </c>
      <c r="Q116" s="117">
        <v>81490</v>
      </c>
      <c r="R116" s="117">
        <v>30000</v>
      </c>
      <c r="S116" s="117"/>
      <c r="T116" s="118">
        <v>51490</v>
      </c>
      <c r="U116" s="117"/>
      <c r="V116" s="117">
        <v>20000</v>
      </c>
      <c r="W116" s="117">
        <f t="shared" si="32"/>
        <v>71490</v>
      </c>
      <c r="X116" s="117"/>
      <c r="Y116" s="117"/>
      <c r="Z116" s="117">
        <f t="shared" si="33"/>
        <v>71490</v>
      </c>
      <c r="AA116" s="118"/>
      <c r="AB116" s="117"/>
      <c r="AC116" s="117"/>
      <c r="AD116" s="117"/>
      <c r="AE116" s="117">
        <f t="shared" si="34"/>
        <v>71490</v>
      </c>
      <c r="AF116" s="117">
        <v>0</v>
      </c>
      <c r="AG116" s="117"/>
      <c r="AH116" s="117"/>
      <c r="AI116" s="117">
        <f t="shared" si="35"/>
        <v>0</v>
      </c>
      <c r="AJ116" s="117"/>
      <c r="AK116" s="117"/>
      <c r="AL116" s="117">
        <f t="shared" si="36"/>
        <v>0</v>
      </c>
      <c r="AM116" s="117"/>
      <c r="AN116" s="117">
        <f t="shared" si="37"/>
        <v>0</v>
      </c>
      <c r="AO116" s="118">
        <v>8510</v>
      </c>
      <c r="AP116" s="118"/>
      <c r="AQ116" s="118"/>
      <c r="AR116" s="118">
        <v>8510</v>
      </c>
      <c r="AS116" s="118"/>
      <c r="AT116" s="118"/>
      <c r="AU116" s="117">
        <f t="shared" si="38"/>
        <v>8510</v>
      </c>
      <c r="AV116" s="117"/>
      <c r="AW116" s="117">
        <v>200</v>
      </c>
      <c r="AX116" s="117">
        <f t="shared" si="39"/>
        <v>8710</v>
      </c>
      <c r="AY116" s="120">
        <f t="shared" si="40"/>
        <v>113700</v>
      </c>
      <c r="AZ116" s="120">
        <v>113503.23</v>
      </c>
      <c r="BA116" s="120">
        <f t="shared" si="41"/>
        <v>196.77000000000407</v>
      </c>
      <c r="BB116" s="121">
        <f aca="true" t="shared" si="44" ref="BB116:BB124">AZ116/AY116</f>
        <v>0.9982693931398416</v>
      </c>
    </row>
    <row r="117" spans="1:54" ht="15.75" customHeight="1">
      <c r="A117" s="80">
        <v>3822</v>
      </c>
      <c r="B117" s="81" t="s">
        <v>91</v>
      </c>
      <c r="C117" s="118">
        <v>10000</v>
      </c>
      <c r="D117" s="117"/>
      <c r="E117" s="117"/>
      <c r="F117" s="117">
        <v>10000</v>
      </c>
      <c r="G117" s="117"/>
      <c r="H117" s="117"/>
      <c r="I117" s="117">
        <v>10000</v>
      </c>
      <c r="J117" s="117"/>
      <c r="K117" s="117"/>
      <c r="L117" s="117">
        <f t="shared" si="30"/>
        <v>10000</v>
      </c>
      <c r="M117" s="117"/>
      <c r="N117" s="117"/>
      <c r="O117" s="117"/>
      <c r="P117" s="117">
        <f t="shared" si="31"/>
        <v>10000</v>
      </c>
      <c r="Q117" s="117">
        <v>60000</v>
      </c>
      <c r="R117" s="117"/>
      <c r="S117" s="117"/>
      <c r="T117" s="118">
        <v>60000</v>
      </c>
      <c r="U117" s="117"/>
      <c r="V117" s="117">
        <v>60000</v>
      </c>
      <c r="W117" s="117">
        <f t="shared" si="32"/>
        <v>120000</v>
      </c>
      <c r="X117" s="117"/>
      <c r="Y117" s="117"/>
      <c r="Z117" s="117">
        <f t="shared" si="33"/>
        <v>120000</v>
      </c>
      <c r="AA117" s="118"/>
      <c r="AB117" s="117"/>
      <c r="AC117" s="117"/>
      <c r="AD117" s="117"/>
      <c r="AE117" s="117">
        <f t="shared" si="34"/>
        <v>120000</v>
      </c>
      <c r="AF117" s="117">
        <v>0</v>
      </c>
      <c r="AG117" s="117"/>
      <c r="AH117" s="117"/>
      <c r="AI117" s="117">
        <f t="shared" si="35"/>
        <v>0</v>
      </c>
      <c r="AJ117" s="117"/>
      <c r="AK117" s="117"/>
      <c r="AL117" s="117">
        <f t="shared" si="36"/>
        <v>0</v>
      </c>
      <c r="AM117" s="117"/>
      <c r="AN117" s="117">
        <f t="shared" si="37"/>
        <v>0</v>
      </c>
      <c r="AO117" s="118">
        <v>30000</v>
      </c>
      <c r="AP117" s="118"/>
      <c r="AQ117" s="118"/>
      <c r="AR117" s="118">
        <v>30000</v>
      </c>
      <c r="AS117" s="118"/>
      <c r="AT117" s="118"/>
      <c r="AU117" s="117">
        <f t="shared" si="38"/>
        <v>30000</v>
      </c>
      <c r="AV117" s="117"/>
      <c r="AW117" s="117"/>
      <c r="AX117" s="117">
        <f t="shared" si="39"/>
        <v>30000</v>
      </c>
      <c r="AY117" s="120">
        <f t="shared" si="40"/>
        <v>160000</v>
      </c>
      <c r="AZ117" s="120">
        <v>159807.25999999998</v>
      </c>
      <c r="BA117" s="120">
        <f t="shared" si="41"/>
        <v>192.7400000000198</v>
      </c>
      <c r="BB117" s="121">
        <f t="shared" si="44"/>
        <v>0.9987953749999999</v>
      </c>
    </row>
    <row r="118" spans="1:54" ht="15.75" customHeight="1">
      <c r="A118" s="80">
        <v>3831</v>
      </c>
      <c r="B118" s="81" t="s">
        <v>211</v>
      </c>
      <c r="C118" s="118"/>
      <c r="D118" s="117"/>
      <c r="E118" s="117"/>
      <c r="F118" s="117">
        <v>0</v>
      </c>
      <c r="G118" s="117"/>
      <c r="H118" s="117"/>
      <c r="I118" s="117">
        <v>0</v>
      </c>
      <c r="J118" s="117"/>
      <c r="K118" s="117"/>
      <c r="L118" s="117">
        <f t="shared" si="30"/>
        <v>0</v>
      </c>
      <c r="M118" s="117"/>
      <c r="N118" s="117"/>
      <c r="O118" s="117"/>
      <c r="P118" s="117">
        <f t="shared" si="31"/>
        <v>0</v>
      </c>
      <c r="Q118" s="117">
        <v>70000</v>
      </c>
      <c r="R118" s="117">
        <v>20000</v>
      </c>
      <c r="S118" s="117"/>
      <c r="T118" s="118">
        <v>50000</v>
      </c>
      <c r="U118" s="117"/>
      <c r="V118" s="117">
        <v>25000</v>
      </c>
      <c r="W118" s="117">
        <f t="shared" si="32"/>
        <v>75000</v>
      </c>
      <c r="X118" s="117"/>
      <c r="Y118" s="117"/>
      <c r="Z118" s="117">
        <f t="shared" si="33"/>
        <v>75000</v>
      </c>
      <c r="AA118" s="118"/>
      <c r="AB118" s="117"/>
      <c r="AC118" s="117"/>
      <c r="AD118" s="117"/>
      <c r="AE118" s="117">
        <f t="shared" si="34"/>
        <v>75000</v>
      </c>
      <c r="AF118" s="117">
        <v>0</v>
      </c>
      <c r="AG118" s="117"/>
      <c r="AH118" s="117"/>
      <c r="AI118" s="117">
        <f t="shared" si="35"/>
        <v>0</v>
      </c>
      <c r="AJ118" s="117"/>
      <c r="AK118" s="117"/>
      <c r="AL118" s="117">
        <f t="shared" si="36"/>
        <v>0</v>
      </c>
      <c r="AM118" s="117">
        <v>25600</v>
      </c>
      <c r="AN118" s="117">
        <f t="shared" si="37"/>
        <v>25600</v>
      </c>
      <c r="AO118" s="118">
        <v>70000</v>
      </c>
      <c r="AP118" s="118"/>
      <c r="AQ118" s="118"/>
      <c r="AR118" s="118">
        <v>70000</v>
      </c>
      <c r="AS118" s="118"/>
      <c r="AT118" s="118"/>
      <c r="AU118" s="117">
        <f t="shared" si="38"/>
        <v>70000</v>
      </c>
      <c r="AV118" s="117"/>
      <c r="AW118" s="117">
        <v>2000</v>
      </c>
      <c r="AX118" s="117">
        <f t="shared" si="39"/>
        <v>72000</v>
      </c>
      <c r="AY118" s="120">
        <f t="shared" si="40"/>
        <v>172600</v>
      </c>
      <c r="AZ118" s="120">
        <v>124235.31</v>
      </c>
      <c r="BA118" s="120">
        <f t="shared" si="41"/>
        <v>48364.69</v>
      </c>
      <c r="BB118" s="121">
        <f t="shared" si="44"/>
        <v>0.7197874275782156</v>
      </c>
    </row>
    <row r="119" spans="1:54" ht="15.75">
      <c r="A119" s="80">
        <v>3841</v>
      </c>
      <c r="B119" s="81" t="s">
        <v>212</v>
      </c>
      <c r="C119" s="118"/>
      <c r="D119" s="117"/>
      <c r="E119" s="117"/>
      <c r="F119" s="117">
        <v>0</v>
      </c>
      <c r="G119" s="117"/>
      <c r="H119" s="117"/>
      <c r="I119" s="117">
        <v>0</v>
      </c>
      <c r="J119" s="117"/>
      <c r="K119" s="117"/>
      <c r="L119" s="117">
        <f t="shared" si="30"/>
        <v>0</v>
      </c>
      <c r="M119" s="117"/>
      <c r="N119" s="117"/>
      <c r="O119" s="117"/>
      <c r="P119" s="117">
        <f t="shared" si="31"/>
        <v>0</v>
      </c>
      <c r="Q119" s="117">
        <v>60000</v>
      </c>
      <c r="R119" s="117">
        <v>10000</v>
      </c>
      <c r="S119" s="117"/>
      <c r="T119" s="118">
        <v>50000</v>
      </c>
      <c r="U119" s="117"/>
      <c r="V119" s="117">
        <v>25529.03</v>
      </c>
      <c r="W119" s="117">
        <f t="shared" si="32"/>
        <v>75529.03</v>
      </c>
      <c r="X119" s="117"/>
      <c r="Y119" s="117"/>
      <c r="Z119" s="117">
        <f t="shared" si="33"/>
        <v>75529.03</v>
      </c>
      <c r="AA119" s="118"/>
      <c r="AB119" s="117"/>
      <c r="AC119" s="117"/>
      <c r="AD119" s="117"/>
      <c r="AE119" s="117">
        <f t="shared" si="34"/>
        <v>75529.03</v>
      </c>
      <c r="AF119" s="117">
        <v>0</v>
      </c>
      <c r="AG119" s="117"/>
      <c r="AH119" s="117"/>
      <c r="AI119" s="117">
        <f t="shared" si="35"/>
        <v>0</v>
      </c>
      <c r="AJ119" s="117"/>
      <c r="AK119" s="117"/>
      <c r="AL119" s="117">
        <f t="shared" si="36"/>
        <v>0</v>
      </c>
      <c r="AM119" s="117">
        <v>22500</v>
      </c>
      <c r="AN119" s="117">
        <f t="shared" si="37"/>
        <v>22500</v>
      </c>
      <c r="AO119" s="118">
        <v>20000</v>
      </c>
      <c r="AP119" s="118"/>
      <c r="AQ119" s="118"/>
      <c r="AR119" s="118">
        <v>20000</v>
      </c>
      <c r="AS119" s="118"/>
      <c r="AT119" s="118"/>
      <c r="AU119" s="117">
        <f t="shared" si="38"/>
        <v>20000</v>
      </c>
      <c r="AV119" s="117"/>
      <c r="AW119" s="117"/>
      <c r="AX119" s="117">
        <f t="shared" si="39"/>
        <v>20000</v>
      </c>
      <c r="AY119" s="120">
        <f t="shared" si="40"/>
        <v>118029.03</v>
      </c>
      <c r="AZ119" s="120">
        <v>85895.90000000001</v>
      </c>
      <c r="BA119" s="120">
        <f t="shared" si="41"/>
        <v>32133.12999999999</v>
      </c>
      <c r="BB119" s="121">
        <f t="shared" si="44"/>
        <v>0.7277523165275527</v>
      </c>
    </row>
    <row r="120" spans="1:54" ht="15.75" customHeight="1">
      <c r="A120" s="80">
        <v>3921</v>
      </c>
      <c r="B120" s="81" t="s">
        <v>92</v>
      </c>
      <c r="C120" s="118"/>
      <c r="D120" s="117"/>
      <c r="E120" s="117"/>
      <c r="F120" s="117">
        <v>0</v>
      </c>
      <c r="G120" s="117"/>
      <c r="H120" s="117"/>
      <c r="I120" s="117">
        <v>0</v>
      </c>
      <c r="J120" s="117"/>
      <c r="K120" s="117"/>
      <c r="L120" s="117">
        <f t="shared" si="30"/>
        <v>0</v>
      </c>
      <c r="M120" s="117"/>
      <c r="N120" s="117"/>
      <c r="O120" s="117"/>
      <c r="P120" s="117">
        <f t="shared" si="31"/>
        <v>0</v>
      </c>
      <c r="Q120" s="117">
        <v>20000</v>
      </c>
      <c r="R120" s="117">
        <v>10000</v>
      </c>
      <c r="S120" s="117"/>
      <c r="T120" s="118">
        <v>10000</v>
      </c>
      <c r="U120" s="117"/>
      <c r="V120" s="117"/>
      <c r="W120" s="117">
        <f t="shared" si="32"/>
        <v>10000</v>
      </c>
      <c r="X120" s="117"/>
      <c r="Y120" s="117"/>
      <c r="Z120" s="117">
        <f t="shared" si="33"/>
        <v>10000</v>
      </c>
      <c r="AA120" s="118"/>
      <c r="AB120" s="117"/>
      <c r="AC120" s="117"/>
      <c r="AD120" s="117"/>
      <c r="AE120" s="117">
        <f t="shared" si="34"/>
        <v>10000</v>
      </c>
      <c r="AF120" s="117">
        <v>0</v>
      </c>
      <c r="AG120" s="117"/>
      <c r="AH120" s="117">
        <v>35000</v>
      </c>
      <c r="AI120" s="117">
        <f t="shared" si="35"/>
        <v>35000</v>
      </c>
      <c r="AJ120" s="117"/>
      <c r="AK120" s="117"/>
      <c r="AL120" s="117">
        <f t="shared" si="36"/>
        <v>35000</v>
      </c>
      <c r="AM120" s="117"/>
      <c r="AN120" s="117">
        <f t="shared" si="37"/>
        <v>35000</v>
      </c>
      <c r="AO120" s="118"/>
      <c r="AP120" s="118"/>
      <c r="AQ120" s="118"/>
      <c r="AR120" s="118">
        <v>0</v>
      </c>
      <c r="AS120" s="118"/>
      <c r="AT120" s="118"/>
      <c r="AU120" s="117">
        <f t="shared" si="38"/>
        <v>0</v>
      </c>
      <c r="AV120" s="117"/>
      <c r="AW120" s="117"/>
      <c r="AX120" s="117">
        <f t="shared" si="39"/>
        <v>0</v>
      </c>
      <c r="AY120" s="120">
        <f t="shared" si="40"/>
        <v>45000</v>
      </c>
      <c r="AZ120" s="120">
        <v>42287</v>
      </c>
      <c r="BA120" s="120">
        <f t="shared" si="41"/>
        <v>2713</v>
      </c>
      <c r="BB120" s="121">
        <f t="shared" si="44"/>
        <v>0.9397111111111112</v>
      </c>
    </row>
    <row r="121" spans="1:54" ht="15.75" customHeight="1">
      <c r="A121" s="80">
        <v>3941</v>
      </c>
      <c r="B121" s="81" t="s">
        <v>259</v>
      </c>
      <c r="C121" s="118"/>
      <c r="D121" s="117"/>
      <c r="E121" s="117"/>
      <c r="F121" s="117">
        <v>0</v>
      </c>
      <c r="G121" s="117"/>
      <c r="H121" s="117"/>
      <c r="I121" s="117">
        <v>0</v>
      </c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8"/>
      <c r="U121" s="117"/>
      <c r="V121" s="117"/>
      <c r="W121" s="117">
        <v>0</v>
      </c>
      <c r="X121" s="117"/>
      <c r="Y121" s="117"/>
      <c r="Z121" s="117"/>
      <c r="AA121" s="118"/>
      <c r="AB121" s="117"/>
      <c r="AC121" s="117"/>
      <c r="AD121" s="117"/>
      <c r="AE121" s="117"/>
      <c r="AF121" s="117">
        <v>0</v>
      </c>
      <c r="AG121" s="117"/>
      <c r="AH121" s="117"/>
      <c r="AI121" s="117"/>
      <c r="AJ121" s="117"/>
      <c r="AK121" s="117"/>
      <c r="AL121" s="117"/>
      <c r="AM121" s="117"/>
      <c r="AN121" s="117"/>
      <c r="AO121" s="118"/>
      <c r="AP121" s="118"/>
      <c r="AQ121" s="118"/>
      <c r="AR121" s="118"/>
      <c r="AS121" s="118"/>
      <c r="AT121" s="118"/>
      <c r="AU121" s="117">
        <v>0</v>
      </c>
      <c r="AV121" s="117"/>
      <c r="AW121" s="117"/>
      <c r="AX121" s="117"/>
      <c r="AY121" s="120">
        <v>0</v>
      </c>
      <c r="AZ121" s="120"/>
      <c r="BA121" s="120">
        <v>0</v>
      </c>
      <c r="BB121" s="121" t="e">
        <f t="shared" si="44"/>
        <v>#DIV/0!</v>
      </c>
    </row>
    <row r="122" spans="1:54" ht="15.75" customHeight="1">
      <c r="A122" s="80">
        <v>3951</v>
      </c>
      <c r="B122" s="81" t="s">
        <v>260</v>
      </c>
      <c r="C122" s="118"/>
      <c r="D122" s="117"/>
      <c r="E122" s="117"/>
      <c r="F122" s="117">
        <v>0</v>
      </c>
      <c r="G122" s="117"/>
      <c r="H122" s="117"/>
      <c r="I122" s="117">
        <v>0</v>
      </c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8"/>
      <c r="U122" s="117"/>
      <c r="V122" s="117"/>
      <c r="W122" s="117">
        <v>0</v>
      </c>
      <c r="X122" s="117"/>
      <c r="Y122" s="117"/>
      <c r="Z122" s="117"/>
      <c r="AA122" s="118"/>
      <c r="AB122" s="117"/>
      <c r="AC122" s="117"/>
      <c r="AD122" s="117"/>
      <c r="AE122" s="117"/>
      <c r="AF122" s="117">
        <v>0</v>
      </c>
      <c r="AG122" s="117"/>
      <c r="AH122" s="117"/>
      <c r="AI122" s="117"/>
      <c r="AJ122" s="117"/>
      <c r="AK122" s="117"/>
      <c r="AL122" s="117"/>
      <c r="AM122" s="117"/>
      <c r="AN122" s="117"/>
      <c r="AO122" s="118"/>
      <c r="AP122" s="118"/>
      <c r="AQ122" s="118"/>
      <c r="AR122" s="118"/>
      <c r="AS122" s="118"/>
      <c r="AT122" s="118"/>
      <c r="AU122" s="117">
        <v>0</v>
      </c>
      <c r="AV122" s="117"/>
      <c r="AW122" s="117"/>
      <c r="AX122" s="117"/>
      <c r="AY122" s="120">
        <v>0</v>
      </c>
      <c r="AZ122" s="120"/>
      <c r="BA122" s="120">
        <v>0</v>
      </c>
      <c r="BB122" s="121" t="e">
        <f t="shared" si="44"/>
        <v>#DIV/0!</v>
      </c>
    </row>
    <row r="123" spans="1:54" ht="15.75" customHeight="1">
      <c r="A123" s="80">
        <v>3994</v>
      </c>
      <c r="B123" s="81" t="s">
        <v>261</v>
      </c>
      <c r="C123" s="118"/>
      <c r="D123" s="117"/>
      <c r="E123" s="117"/>
      <c r="F123" s="117">
        <v>0</v>
      </c>
      <c r="G123" s="117"/>
      <c r="H123" s="117"/>
      <c r="I123" s="117">
        <v>0</v>
      </c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8"/>
      <c r="U123" s="117"/>
      <c r="V123" s="117"/>
      <c r="W123" s="117">
        <v>0</v>
      </c>
      <c r="X123" s="117"/>
      <c r="Y123" s="117"/>
      <c r="Z123" s="117"/>
      <c r="AA123" s="118"/>
      <c r="AB123" s="117"/>
      <c r="AC123" s="117"/>
      <c r="AD123" s="117"/>
      <c r="AE123" s="117"/>
      <c r="AF123" s="117">
        <v>0</v>
      </c>
      <c r="AG123" s="117"/>
      <c r="AH123" s="117"/>
      <c r="AI123" s="117"/>
      <c r="AJ123" s="117"/>
      <c r="AK123" s="117"/>
      <c r="AL123" s="117"/>
      <c r="AM123" s="117"/>
      <c r="AN123" s="117"/>
      <c r="AO123" s="118"/>
      <c r="AP123" s="118"/>
      <c r="AQ123" s="118"/>
      <c r="AR123" s="118"/>
      <c r="AS123" s="118"/>
      <c r="AT123" s="118"/>
      <c r="AU123" s="117">
        <v>0</v>
      </c>
      <c r="AV123" s="117"/>
      <c r="AW123" s="117"/>
      <c r="AX123" s="117"/>
      <c r="AY123" s="120">
        <v>0</v>
      </c>
      <c r="AZ123" s="120"/>
      <c r="BA123" s="120">
        <v>0</v>
      </c>
      <c r="BB123" s="121" t="e">
        <f t="shared" si="44"/>
        <v>#DIV/0!</v>
      </c>
    </row>
    <row r="124" spans="1:54" ht="15">
      <c r="A124" s="122"/>
      <c r="B124" s="83" t="s">
        <v>51</v>
      </c>
      <c r="C124" s="122">
        <v>683440</v>
      </c>
      <c r="D124" s="122">
        <v>0</v>
      </c>
      <c r="E124" s="122">
        <v>0</v>
      </c>
      <c r="F124" s="122">
        <v>683440</v>
      </c>
      <c r="G124" s="122">
        <v>0</v>
      </c>
      <c r="H124" s="122">
        <v>0</v>
      </c>
      <c r="I124" s="122">
        <f aca="true" t="shared" si="45" ref="I124:BA124">SUM(I74:I123)</f>
        <v>683440</v>
      </c>
      <c r="J124" s="122">
        <f t="shared" si="45"/>
        <v>0</v>
      </c>
      <c r="K124" s="122">
        <f t="shared" si="45"/>
        <v>0</v>
      </c>
      <c r="L124" s="122">
        <f t="shared" si="45"/>
        <v>683440</v>
      </c>
      <c r="M124" s="122">
        <f t="shared" si="45"/>
        <v>0</v>
      </c>
      <c r="N124" s="122">
        <f t="shared" si="45"/>
        <v>5500</v>
      </c>
      <c r="O124" s="122">
        <f t="shared" si="45"/>
        <v>5500</v>
      </c>
      <c r="P124" s="122">
        <f t="shared" si="45"/>
        <v>683440</v>
      </c>
      <c r="Q124" s="122">
        <f t="shared" si="45"/>
        <v>1610807</v>
      </c>
      <c r="R124" s="122">
        <f t="shared" si="45"/>
        <v>397756</v>
      </c>
      <c r="S124" s="122">
        <f t="shared" si="45"/>
        <v>500000</v>
      </c>
      <c r="T124" s="122">
        <f t="shared" si="45"/>
        <v>1713051</v>
      </c>
      <c r="U124" s="122">
        <f t="shared" si="45"/>
        <v>0</v>
      </c>
      <c r="V124" s="122">
        <f t="shared" si="45"/>
        <v>180029.03</v>
      </c>
      <c r="W124" s="122">
        <f t="shared" si="45"/>
        <v>1893080.03</v>
      </c>
      <c r="X124" s="122">
        <f t="shared" si="45"/>
        <v>0</v>
      </c>
      <c r="Y124" s="122">
        <f t="shared" si="45"/>
        <v>0</v>
      </c>
      <c r="Z124" s="122">
        <f t="shared" si="45"/>
        <v>1893080.03</v>
      </c>
      <c r="AA124" s="122">
        <f t="shared" si="45"/>
        <v>50000</v>
      </c>
      <c r="AB124" s="122">
        <f t="shared" si="45"/>
        <v>0</v>
      </c>
      <c r="AC124" s="122">
        <f t="shared" si="45"/>
        <v>0</v>
      </c>
      <c r="AD124" s="122">
        <f t="shared" si="45"/>
        <v>0</v>
      </c>
      <c r="AE124" s="122">
        <f t="shared" si="45"/>
        <v>1893080.03</v>
      </c>
      <c r="AF124" s="122">
        <f t="shared" si="45"/>
        <v>50000</v>
      </c>
      <c r="AG124" s="122">
        <f t="shared" si="45"/>
        <v>0</v>
      </c>
      <c r="AH124" s="122">
        <f t="shared" si="45"/>
        <v>65000</v>
      </c>
      <c r="AI124" s="122">
        <f t="shared" si="45"/>
        <v>115000</v>
      </c>
      <c r="AJ124" s="122">
        <f t="shared" si="45"/>
        <v>0</v>
      </c>
      <c r="AK124" s="122">
        <f t="shared" si="45"/>
        <v>0</v>
      </c>
      <c r="AL124" s="122">
        <f t="shared" si="45"/>
        <v>115000</v>
      </c>
      <c r="AM124" s="122">
        <f t="shared" si="45"/>
        <v>53140.97</v>
      </c>
      <c r="AN124" s="122">
        <f t="shared" si="45"/>
        <v>168140.97</v>
      </c>
      <c r="AO124" s="122">
        <f t="shared" si="45"/>
        <v>1669560</v>
      </c>
      <c r="AP124" s="122">
        <f t="shared" si="45"/>
        <v>0</v>
      </c>
      <c r="AQ124" s="122">
        <f t="shared" si="45"/>
        <v>0</v>
      </c>
      <c r="AR124" s="122">
        <f t="shared" si="45"/>
        <v>1669560</v>
      </c>
      <c r="AS124" s="122">
        <f t="shared" si="45"/>
        <v>0</v>
      </c>
      <c r="AT124" s="122">
        <f t="shared" si="45"/>
        <v>0</v>
      </c>
      <c r="AU124" s="122">
        <f t="shared" si="45"/>
        <v>1669560</v>
      </c>
      <c r="AV124" s="122">
        <f t="shared" si="45"/>
        <v>25000</v>
      </c>
      <c r="AW124" s="122">
        <f t="shared" si="45"/>
        <v>25000</v>
      </c>
      <c r="AX124" s="122">
        <f t="shared" si="45"/>
        <v>1669560</v>
      </c>
      <c r="AY124" s="122">
        <f t="shared" si="45"/>
        <v>4414221</v>
      </c>
      <c r="AZ124" s="122">
        <f t="shared" si="45"/>
        <v>3981205.3099999996</v>
      </c>
      <c r="BA124" s="122">
        <f t="shared" si="45"/>
        <v>433015.6899999999</v>
      </c>
      <c r="BB124" s="123">
        <f t="shared" si="44"/>
        <v>0.9019043926436849</v>
      </c>
    </row>
    <row r="125" spans="1:54" ht="33" customHeight="1">
      <c r="A125" s="198" t="s">
        <v>213</v>
      </c>
      <c r="B125" s="198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24"/>
      <c r="AS125" s="124"/>
      <c r="AT125" s="124"/>
      <c r="AU125" s="124"/>
      <c r="AV125" s="124"/>
      <c r="AW125" s="124"/>
      <c r="AX125" s="124"/>
      <c r="AY125" s="120"/>
      <c r="AZ125" s="120"/>
      <c r="BA125" s="120"/>
      <c r="BB125" s="121"/>
    </row>
    <row r="126" spans="1:54" ht="15.75" customHeight="1">
      <c r="A126" s="80">
        <v>4246</v>
      </c>
      <c r="B126" s="81" t="s">
        <v>214</v>
      </c>
      <c r="C126" s="118"/>
      <c r="D126" s="117"/>
      <c r="E126" s="117">
        <v>241027.93</v>
      </c>
      <c r="F126" s="117">
        <v>241027.93</v>
      </c>
      <c r="G126" s="117"/>
      <c r="H126" s="117"/>
      <c r="I126" s="117">
        <v>241027.93</v>
      </c>
      <c r="J126" s="117"/>
      <c r="K126" s="117"/>
      <c r="L126" s="117">
        <f>+I126-J126+K126</f>
        <v>241027.93</v>
      </c>
      <c r="M126" s="117"/>
      <c r="N126" s="117"/>
      <c r="O126" s="117"/>
      <c r="P126" s="117">
        <f>+L126+M126-N126+O126</f>
        <v>241027.93</v>
      </c>
      <c r="Q126" s="117"/>
      <c r="R126" s="117"/>
      <c r="S126" s="117"/>
      <c r="T126" s="117"/>
      <c r="U126" s="117"/>
      <c r="V126" s="117"/>
      <c r="W126" s="117">
        <f>+T126+V126-U126</f>
        <v>0</v>
      </c>
      <c r="X126" s="117"/>
      <c r="Y126" s="117"/>
      <c r="Z126" s="117">
        <f>+W126-X126+Y126</f>
        <v>0</v>
      </c>
      <c r="AA126" s="117"/>
      <c r="AB126" s="117"/>
      <c r="AC126" s="117"/>
      <c r="AD126" s="117"/>
      <c r="AE126" s="117">
        <f>+W126+AD126</f>
        <v>0</v>
      </c>
      <c r="AF126" s="117">
        <v>0</v>
      </c>
      <c r="AG126" s="117"/>
      <c r="AH126" s="117"/>
      <c r="AI126" s="117">
        <f>+AF126-AG126+AH126</f>
        <v>0</v>
      </c>
      <c r="AJ126" s="117"/>
      <c r="AK126" s="117"/>
      <c r="AL126" s="117">
        <f>+AI126-AJ126+AK126</f>
        <v>0</v>
      </c>
      <c r="AM126" s="117"/>
      <c r="AN126" s="117">
        <f>+AL126+AM126</f>
        <v>0</v>
      </c>
      <c r="AO126" s="118"/>
      <c r="AP126" s="118"/>
      <c r="AQ126" s="118">
        <v>10000</v>
      </c>
      <c r="AR126" s="118">
        <v>10000</v>
      </c>
      <c r="AS126" s="118"/>
      <c r="AT126" s="118"/>
      <c r="AU126" s="117">
        <f>+AR126-AS126+AT126</f>
        <v>10000</v>
      </c>
      <c r="AV126" s="117"/>
      <c r="AW126" s="117"/>
      <c r="AX126" s="117">
        <f>+AU126-AV126+AW126</f>
        <v>10000</v>
      </c>
      <c r="AY126" s="120">
        <f>+L126+Z126+AL126+AU126</f>
        <v>251027.93</v>
      </c>
      <c r="AZ126" s="120">
        <v>251027.79</v>
      </c>
      <c r="BA126" s="120">
        <f>+AY126-AZ126</f>
        <v>0.139999999984866</v>
      </c>
      <c r="BB126" s="121">
        <f>AZ126/AY126</f>
        <v>0.9999994422931345</v>
      </c>
    </row>
    <row r="127" spans="1:54" ht="15.75" customHeight="1">
      <c r="A127" s="80">
        <v>4419</v>
      </c>
      <c r="B127" s="81" t="s">
        <v>215</v>
      </c>
      <c r="C127" s="118">
        <v>15000</v>
      </c>
      <c r="D127" s="117"/>
      <c r="E127" s="117"/>
      <c r="F127" s="117">
        <v>15000</v>
      </c>
      <c r="G127" s="117"/>
      <c r="H127" s="117"/>
      <c r="I127" s="117">
        <v>15000</v>
      </c>
      <c r="J127" s="117"/>
      <c r="K127" s="117"/>
      <c r="L127" s="117">
        <f>+I127-J127+K127</f>
        <v>15000</v>
      </c>
      <c r="M127" s="117"/>
      <c r="N127" s="117"/>
      <c r="O127" s="117"/>
      <c r="P127" s="117">
        <f>+L127+M127-N127+O127</f>
        <v>15000</v>
      </c>
      <c r="Q127" s="117"/>
      <c r="R127" s="117"/>
      <c r="S127" s="117"/>
      <c r="T127" s="117"/>
      <c r="U127" s="117"/>
      <c r="V127" s="117"/>
      <c r="W127" s="117">
        <f>+T127+V127-U127</f>
        <v>0</v>
      </c>
      <c r="X127" s="117"/>
      <c r="Y127" s="117"/>
      <c r="Z127" s="117">
        <f>+W127-X127+Y127</f>
        <v>0</v>
      </c>
      <c r="AA127" s="117"/>
      <c r="AB127" s="117"/>
      <c r="AC127" s="117"/>
      <c r="AD127" s="117"/>
      <c r="AE127" s="117">
        <f>+W127+AD127</f>
        <v>0</v>
      </c>
      <c r="AF127" s="117">
        <v>0</v>
      </c>
      <c r="AG127" s="117"/>
      <c r="AH127" s="117"/>
      <c r="AI127" s="117">
        <f>+AF127-AG127+AH127</f>
        <v>0</v>
      </c>
      <c r="AJ127" s="117"/>
      <c r="AK127" s="117"/>
      <c r="AL127" s="117">
        <f>+AI127-AJ127+AK127</f>
        <v>0</v>
      </c>
      <c r="AM127" s="117"/>
      <c r="AN127" s="117">
        <f>+AL127+AM127</f>
        <v>0</v>
      </c>
      <c r="AO127" s="118">
        <v>0</v>
      </c>
      <c r="AP127" s="118"/>
      <c r="AQ127" s="118"/>
      <c r="AR127" s="118">
        <v>0</v>
      </c>
      <c r="AS127" s="118"/>
      <c r="AT127" s="118"/>
      <c r="AU127" s="117">
        <f>+AR127-AS127+AT127</f>
        <v>0</v>
      </c>
      <c r="AV127" s="117"/>
      <c r="AW127" s="117"/>
      <c r="AX127" s="117">
        <f>+AU127-AV127+AW127</f>
        <v>0</v>
      </c>
      <c r="AY127" s="120">
        <f>+L127+Z127+AL127+AU127</f>
        <v>15000</v>
      </c>
      <c r="AZ127" s="120">
        <v>0</v>
      </c>
      <c r="BA127" s="120">
        <f>+AY127-AZ127</f>
        <v>15000</v>
      </c>
      <c r="BB127" s="121">
        <f>AZ127/AY127</f>
        <v>0</v>
      </c>
    </row>
    <row r="128" spans="1:54" ht="15.75" customHeight="1">
      <c r="A128" s="80">
        <v>4422</v>
      </c>
      <c r="B128" s="81" t="s">
        <v>216</v>
      </c>
      <c r="C128" s="118">
        <v>50000</v>
      </c>
      <c r="D128" s="117"/>
      <c r="E128" s="117"/>
      <c r="F128" s="117">
        <v>50000</v>
      </c>
      <c r="G128" s="117"/>
      <c r="H128" s="117"/>
      <c r="I128" s="117">
        <v>50000</v>
      </c>
      <c r="J128" s="117"/>
      <c r="K128" s="117"/>
      <c r="L128" s="117">
        <f>+I128-J128+K128</f>
        <v>50000</v>
      </c>
      <c r="M128" s="117"/>
      <c r="N128" s="117"/>
      <c r="O128" s="117"/>
      <c r="P128" s="117">
        <f>+L128+M128-N128+O128</f>
        <v>50000</v>
      </c>
      <c r="Q128" s="117"/>
      <c r="R128" s="117"/>
      <c r="S128" s="117"/>
      <c r="T128" s="117"/>
      <c r="U128" s="117"/>
      <c r="V128" s="117"/>
      <c r="W128" s="117">
        <f>+T128+V128-U128</f>
        <v>0</v>
      </c>
      <c r="X128" s="117"/>
      <c r="Y128" s="117"/>
      <c r="Z128" s="117">
        <f>+W128-X128+Y128</f>
        <v>0</v>
      </c>
      <c r="AA128" s="117"/>
      <c r="AB128" s="117"/>
      <c r="AC128" s="117"/>
      <c r="AD128" s="117"/>
      <c r="AE128" s="117">
        <f>+W128+AD128</f>
        <v>0</v>
      </c>
      <c r="AF128" s="117">
        <v>0</v>
      </c>
      <c r="AG128" s="117"/>
      <c r="AH128" s="117"/>
      <c r="AI128" s="117">
        <f>+AF128-AG128+AH128</f>
        <v>0</v>
      </c>
      <c r="AJ128" s="117"/>
      <c r="AK128" s="117"/>
      <c r="AL128" s="117">
        <f>+AI128-AJ128+AK128</f>
        <v>0</v>
      </c>
      <c r="AM128" s="117"/>
      <c r="AN128" s="117">
        <f>+AL128+AM128</f>
        <v>0</v>
      </c>
      <c r="AO128" s="117"/>
      <c r="AP128" s="117"/>
      <c r="AQ128" s="117"/>
      <c r="AR128" s="117">
        <v>0</v>
      </c>
      <c r="AS128" s="117"/>
      <c r="AT128" s="117"/>
      <c r="AU128" s="117">
        <f>+AR128-AS128+AT128</f>
        <v>0</v>
      </c>
      <c r="AV128" s="117"/>
      <c r="AW128" s="117"/>
      <c r="AX128" s="117">
        <f>+AU128-AV128+AW128</f>
        <v>0</v>
      </c>
      <c r="AY128" s="120">
        <f>+L128+Z128+AL128+AU128</f>
        <v>50000</v>
      </c>
      <c r="AZ128" s="120">
        <v>34185.75</v>
      </c>
      <c r="BA128" s="120">
        <f>+AY128-AZ128</f>
        <v>15814.25</v>
      </c>
      <c r="BB128" s="121">
        <f>AZ128/AY128</f>
        <v>0.683715</v>
      </c>
    </row>
    <row r="129" spans="1:54" ht="15.75">
      <c r="A129" s="80">
        <v>4451</v>
      </c>
      <c r="B129" s="81" t="s">
        <v>217</v>
      </c>
      <c r="C129" s="118">
        <v>36000</v>
      </c>
      <c r="D129" s="117"/>
      <c r="E129" s="117"/>
      <c r="F129" s="117">
        <v>36000</v>
      </c>
      <c r="G129" s="117"/>
      <c r="H129" s="117"/>
      <c r="I129" s="117">
        <v>36000</v>
      </c>
      <c r="J129" s="117"/>
      <c r="K129" s="117"/>
      <c r="L129" s="117">
        <f>+I129-J129+K129</f>
        <v>36000</v>
      </c>
      <c r="M129" s="117"/>
      <c r="N129" s="117"/>
      <c r="O129" s="117"/>
      <c r="P129" s="117">
        <f>+L129+M129-N129+O129</f>
        <v>36000</v>
      </c>
      <c r="Q129" s="117"/>
      <c r="R129" s="117"/>
      <c r="S129" s="117"/>
      <c r="T129" s="117"/>
      <c r="U129" s="117"/>
      <c r="V129" s="117"/>
      <c r="W129" s="117">
        <f>+T129+V129-U129</f>
        <v>0</v>
      </c>
      <c r="X129" s="117"/>
      <c r="Y129" s="117"/>
      <c r="Z129" s="117">
        <f>+W129-X129+Y129</f>
        <v>0</v>
      </c>
      <c r="AA129" s="117"/>
      <c r="AB129" s="117"/>
      <c r="AC129" s="117"/>
      <c r="AD129" s="117"/>
      <c r="AE129" s="117">
        <f>+W129+AD129</f>
        <v>0</v>
      </c>
      <c r="AF129" s="117">
        <v>0</v>
      </c>
      <c r="AG129" s="117"/>
      <c r="AH129" s="117"/>
      <c r="AI129" s="117">
        <f>+AF129-AG129+AH129</f>
        <v>0</v>
      </c>
      <c r="AJ129" s="117"/>
      <c r="AK129" s="117"/>
      <c r="AL129" s="117">
        <f>+AI129-AJ129+AK129</f>
        <v>0</v>
      </c>
      <c r="AM129" s="117"/>
      <c r="AN129" s="117">
        <f>+AL129+AM129</f>
        <v>0</v>
      </c>
      <c r="AO129" s="117"/>
      <c r="AP129" s="117"/>
      <c r="AQ129" s="117"/>
      <c r="AR129" s="117">
        <v>0</v>
      </c>
      <c r="AS129" s="117"/>
      <c r="AT129" s="117"/>
      <c r="AU129" s="117">
        <f>+AR129-AS129+AT129</f>
        <v>0</v>
      </c>
      <c r="AV129" s="117"/>
      <c r="AW129" s="117"/>
      <c r="AX129" s="117">
        <f>+AU129-AV129+AW129</f>
        <v>0</v>
      </c>
      <c r="AY129" s="120">
        <f>+L129+Z129+AL129+AU129</f>
        <v>36000</v>
      </c>
      <c r="AZ129" s="120">
        <v>30000</v>
      </c>
      <c r="BA129" s="120">
        <f>+AY129-AZ129</f>
        <v>6000</v>
      </c>
      <c r="BB129" s="121">
        <f>AZ129/AY129</f>
        <v>0.8333333333333334</v>
      </c>
    </row>
    <row r="130" spans="1:54" ht="26.25">
      <c r="A130" s="122"/>
      <c r="B130" s="92" t="s">
        <v>52</v>
      </c>
      <c r="C130" s="122">
        <v>101000</v>
      </c>
      <c r="D130" s="122">
        <v>0</v>
      </c>
      <c r="E130" s="122">
        <v>241027.93</v>
      </c>
      <c r="F130" s="122">
        <v>342027.93</v>
      </c>
      <c r="G130" s="122">
        <v>0</v>
      </c>
      <c r="H130" s="122">
        <v>0</v>
      </c>
      <c r="I130" s="122">
        <f aca="true" t="shared" si="46" ref="I130:BA130">SUM(I126:I129)</f>
        <v>342027.93</v>
      </c>
      <c r="J130" s="122">
        <f t="shared" si="46"/>
        <v>0</v>
      </c>
      <c r="K130" s="122">
        <f t="shared" si="46"/>
        <v>0</v>
      </c>
      <c r="L130" s="122">
        <f t="shared" si="46"/>
        <v>342027.93</v>
      </c>
      <c r="M130" s="122">
        <f t="shared" si="46"/>
        <v>0</v>
      </c>
      <c r="N130" s="122">
        <f t="shared" si="46"/>
        <v>0</v>
      </c>
      <c r="O130" s="122">
        <f t="shared" si="46"/>
        <v>0</v>
      </c>
      <c r="P130" s="122">
        <f t="shared" si="46"/>
        <v>342027.93</v>
      </c>
      <c r="Q130" s="122">
        <f t="shared" si="46"/>
        <v>0</v>
      </c>
      <c r="R130" s="122">
        <f t="shared" si="46"/>
        <v>0</v>
      </c>
      <c r="S130" s="122">
        <f t="shared" si="46"/>
        <v>0</v>
      </c>
      <c r="T130" s="122">
        <f t="shared" si="46"/>
        <v>0</v>
      </c>
      <c r="U130" s="122">
        <f t="shared" si="46"/>
        <v>0</v>
      </c>
      <c r="V130" s="122">
        <f t="shared" si="46"/>
        <v>0</v>
      </c>
      <c r="W130" s="122">
        <f t="shared" si="46"/>
        <v>0</v>
      </c>
      <c r="X130" s="122">
        <f t="shared" si="46"/>
        <v>0</v>
      </c>
      <c r="Y130" s="122">
        <f t="shared" si="46"/>
        <v>0</v>
      </c>
      <c r="Z130" s="122">
        <f t="shared" si="46"/>
        <v>0</v>
      </c>
      <c r="AA130" s="122">
        <f t="shared" si="46"/>
        <v>0</v>
      </c>
      <c r="AB130" s="122">
        <f t="shared" si="46"/>
        <v>0</v>
      </c>
      <c r="AC130" s="122">
        <f t="shared" si="46"/>
        <v>0</v>
      </c>
      <c r="AD130" s="122">
        <f t="shared" si="46"/>
        <v>0</v>
      </c>
      <c r="AE130" s="122">
        <f t="shared" si="46"/>
        <v>0</v>
      </c>
      <c r="AF130" s="122">
        <f t="shared" si="46"/>
        <v>0</v>
      </c>
      <c r="AG130" s="122">
        <f t="shared" si="46"/>
        <v>0</v>
      </c>
      <c r="AH130" s="122">
        <f t="shared" si="46"/>
        <v>0</v>
      </c>
      <c r="AI130" s="122">
        <f t="shared" si="46"/>
        <v>0</v>
      </c>
      <c r="AJ130" s="122">
        <f t="shared" si="46"/>
        <v>0</v>
      </c>
      <c r="AK130" s="122">
        <f t="shared" si="46"/>
        <v>0</v>
      </c>
      <c r="AL130" s="122">
        <f t="shared" si="46"/>
        <v>0</v>
      </c>
      <c r="AM130" s="122">
        <f t="shared" si="46"/>
        <v>0</v>
      </c>
      <c r="AN130" s="122">
        <f t="shared" si="46"/>
        <v>0</v>
      </c>
      <c r="AO130" s="122">
        <f t="shared" si="46"/>
        <v>0</v>
      </c>
      <c r="AP130" s="122">
        <f t="shared" si="46"/>
        <v>0</v>
      </c>
      <c r="AQ130" s="122">
        <f t="shared" si="46"/>
        <v>10000</v>
      </c>
      <c r="AR130" s="122">
        <f t="shared" si="46"/>
        <v>10000</v>
      </c>
      <c r="AS130" s="122">
        <f t="shared" si="46"/>
        <v>0</v>
      </c>
      <c r="AT130" s="122">
        <f t="shared" si="46"/>
        <v>0</v>
      </c>
      <c r="AU130" s="122">
        <f t="shared" si="46"/>
        <v>10000</v>
      </c>
      <c r="AV130" s="122">
        <f t="shared" si="46"/>
        <v>0</v>
      </c>
      <c r="AW130" s="122">
        <f t="shared" si="46"/>
        <v>0</v>
      </c>
      <c r="AX130" s="122">
        <f t="shared" si="46"/>
        <v>10000</v>
      </c>
      <c r="AY130" s="122">
        <f t="shared" si="46"/>
        <v>352027.93</v>
      </c>
      <c r="AZ130" s="122">
        <f t="shared" si="46"/>
        <v>315213.54000000004</v>
      </c>
      <c r="BA130" s="122">
        <f t="shared" si="46"/>
        <v>36814.389999999985</v>
      </c>
      <c r="BB130" s="123">
        <f>AZ130/AY130</f>
        <v>0.8954219626834724</v>
      </c>
    </row>
    <row r="131" spans="1:54" ht="15.75">
      <c r="A131" s="197" t="s">
        <v>61</v>
      </c>
      <c r="B131" s="197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24"/>
      <c r="AS131" s="124"/>
      <c r="AT131" s="124"/>
      <c r="AU131" s="124"/>
      <c r="AV131" s="124"/>
      <c r="AW131" s="124"/>
      <c r="AX131" s="124"/>
      <c r="AY131" s="120"/>
      <c r="AZ131" s="120"/>
      <c r="BA131" s="120"/>
      <c r="BB131" s="121"/>
    </row>
    <row r="132" spans="1:54" ht="15.75">
      <c r="A132" s="80">
        <v>5111</v>
      </c>
      <c r="B132" s="81" t="s">
        <v>93</v>
      </c>
      <c r="C132" s="117"/>
      <c r="D132" s="117"/>
      <c r="E132" s="117"/>
      <c r="F132" s="117">
        <v>0</v>
      </c>
      <c r="G132" s="117"/>
      <c r="H132" s="117"/>
      <c r="I132" s="117">
        <v>0</v>
      </c>
      <c r="J132" s="117"/>
      <c r="K132" s="117"/>
      <c r="L132" s="117">
        <f aca="true" t="shared" si="47" ref="L132:L145">+I132-J132+K132</f>
        <v>0</v>
      </c>
      <c r="M132" s="117"/>
      <c r="N132" s="117"/>
      <c r="O132" s="117"/>
      <c r="P132" s="117">
        <f aca="true" t="shared" si="48" ref="P132:P145">+L132+M132-N132+O132</f>
        <v>0</v>
      </c>
      <c r="Q132" s="117"/>
      <c r="R132" s="117"/>
      <c r="S132" s="117"/>
      <c r="T132" s="117"/>
      <c r="U132" s="117"/>
      <c r="V132" s="117"/>
      <c r="W132" s="117">
        <f aca="true" t="shared" si="49" ref="W132:W145">+T132+V132-U132</f>
        <v>0</v>
      </c>
      <c r="X132" s="117"/>
      <c r="Y132" s="117"/>
      <c r="Z132" s="117">
        <f aca="true" t="shared" si="50" ref="Z132:Z145">+W132-X132+Y132</f>
        <v>0</v>
      </c>
      <c r="AA132" s="117"/>
      <c r="AB132" s="117"/>
      <c r="AC132" s="117"/>
      <c r="AD132" s="117"/>
      <c r="AE132" s="117">
        <f aca="true" t="shared" si="51" ref="AE132:AE145">+W132+AD132</f>
        <v>0</v>
      </c>
      <c r="AF132" s="117">
        <v>0</v>
      </c>
      <c r="AG132" s="117"/>
      <c r="AH132" s="117"/>
      <c r="AI132" s="117">
        <f aca="true" t="shared" si="52" ref="AI132:AI145">+AF132-AG132+AH132</f>
        <v>0</v>
      </c>
      <c r="AJ132" s="117"/>
      <c r="AK132" s="117"/>
      <c r="AL132" s="117">
        <f aca="true" t="shared" si="53" ref="AL132:AL145">+AI132-AJ132+AK132</f>
        <v>0</v>
      </c>
      <c r="AM132" s="117"/>
      <c r="AN132" s="117">
        <f aca="true" t="shared" si="54" ref="AN132:AN145">+AL132+AM132</f>
        <v>0</v>
      </c>
      <c r="AO132" s="118">
        <v>100000</v>
      </c>
      <c r="AP132" s="118"/>
      <c r="AQ132" s="118"/>
      <c r="AR132" s="118">
        <v>100000</v>
      </c>
      <c r="AS132" s="118"/>
      <c r="AT132" s="118"/>
      <c r="AU132" s="117">
        <f aca="true" t="shared" si="55" ref="AU132:AU145">+AR132-AS132+AT132</f>
        <v>100000</v>
      </c>
      <c r="AV132" s="117"/>
      <c r="AW132" s="117"/>
      <c r="AX132" s="117">
        <f aca="true" t="shared" si="56" ref="AX132:AX145">+AU132-AV132+AW132</f>
        <v>100000</v>
      </c>
      <c r="AY132" s="120">
        <f aca="true" t="shared" si="57" ref="AY132:AY145">+L132+Z132+AL132+AU132</f>
        <v>100000</v>
      </c>
      <c r="AZ132" s="120">
        <v>95295.93</v>
      </c>
      <c r="BA132" s="120">
        <f aca="true" t="shared" si="58" ref="BA132:BA146">+AY132-AZ132</f>
        <v>4704.070000000007</v>
      </c>
      <c r="BB132" s="121">
        <f aca="true" t="shared" si="59" ref="BB132:BB138">AZ132/AY132</f>
        <v>0.9529593</v>
      </c>
    </row>
    <row r="133" spans="1:54" ht="15.75" customHeight="1">
      <c r="A133" s="80">
        <v>5151</v>
      </c>
      <c r="B133" s="81" t="s">
        <v>94</v>
      </c>
      <c r="C133" s="117"/>
      <c r="D133" s="117"/>
      <c r="E133" s="117"/>
      <c r="F133" s="117">
        <v>0</v>
      </c>
      <c r="G133" s="117"/>
      <c r="H133" s="117"/>
      <c r="I133" s="117">
        <v>0</v>
      </c>
      <c r="J133" s="117"/>
      <c r="K133" s="117"/>
      <c r="L133" s="117">
        <f t="shared" si="47"/>
        <v>0</v>
      </c>
      <c r="M133" s="117"/>
      <c r="N133" s="117"/>
      <c r="O133" s="117"/>
      <c r="P133" s="117">
        <f t="shared" si="48"/>
        <v>0</v>
      </c>
      <c r="Q133" s="117"/>
      <c r="R133" s="117"/>
      <c r="S133" s="117"/>
      <c r="T133" s="117"/>
      <c r="U133" s="117"/>
      <c r="V133" s="117"/>
      <c r="W133" s="117">
        <f t="shared" si="49"/>
        <v>0</v>
      </c>
      <c r="X133" s="117"/>
      <c r="Y133" s="117"/>
      <c r="Z133" s="117">
        <f t="shared" si="50"/>
        <v>0</v>
      </c>
      <c r="AA133" s="117"/>
      <c r="AB133" s="117"/>
      <c r="AC133" s="117"/>
      <c r="AD133" s="117"/>
      <c r="AE133" s="117">
        <f t="shared" si="51"/>
        <v>0</v>
      </c>
      <c r="AF133" s="117">
        <v>0</v>
      </c>
      <c r="AG133" s="117"/>
      <c r="AH133" s="117"/>
      <c r="AI133" s="117">
        <f t="shared" si="52"/>
        <v>0</v>
      </c>
      <c r="AJ133" s="117"/>
      <c r="AK133" s="117"/>
      <c r="AL133" s="117">
        <f t="shared" si="53"/>
        <v>0</v>
      </c>
      <c r="AM133" s="117"/>
      <c r="AN133" s="117">
        <f t="shared" si="54"/>
        <v>0</v>
      </c>
      <c r="AO133" s="118">
        <f>200000+200000-50000</f>
        <v>350000</v>
      </c>
      <c r="AP133" s="118"/>
      <c r="AQ133" s="118"/>
      <c r="AR133" s="118">
        <v>350000</v>
      </c>
      <c r="AS133" s="118"/>
      <c r="AT133" s="118"/>
      <c r="AU133" s="117">
        <f t="shared" si="55"/>
        <v>350000</v>
      </c>
      <c r="AV133" s="117"/>
      <c r="AW133" s="117"/>
      <c r="AX133" s="117">
        <f t="shared" si="56"/>
        <v>350000</v>
      </c>
      <c r="AY133" s="120">
        <f t="shared" si="57"/>
        <v>350000</v>
      </c>
      <c r="AZ133" s="120">
        <v>349755.30000000005</v>
      </c>
      <c r="BA133" s="120">
        <f t="shared" si="58"/>
        <v>244.69999999995343</v>
      </c>
      <c r="BB133" s="121">
        <f t="shared" si="59"/>
        <v>0.9993008571428573</v>
      </c>
    </row>
    <row r="134" spans="1:54" ht="15.75" customHeight="1">
      <c r="A134" s="80">
        <v>5191</v>
      </c>
      <c r="B134" s="81" t="s">
        <v>95</v>
      </c>
      <c r="C134" s="117"/>
      <c r="D134" s="117"/>
      <c r="E134" s="117"/>
      <c r="F134" s="117">
        <v>0</v>
      </c>
      <c r="G134" s="117"/>
      <c r="H134" s="117"/>
      <c r="I134" s="117">
        <v>0</v>
      </c>
      <c r="J134" s="117"/>
      <c r="K134" s="117"/>
      <c r="L134" s="117">
        <f t="shared" si="47"/>
        <v>0</v>
      </c>
      <c r="M134" s="117"/>
      <c r="N134" s="117"/>
      <c r="O134" s="117"/>
      <c r="P134" s="117">
        <f t="shared" si="48"/>
        <v>0</v>
      </c>
      <c r="Q134" s="117"/>
      <c r="R134" s="117"/>
      <c r="S134" s="117"/>
      <c r="T134" s="117"/>
      <c r="U134" s="117"/>
      <c r="V134" s="117"/>
      <c r="W134" s="117">
        <f t="shared" si="49"/>
        <v>0</v>
      </c>
      <c r="X134" s="117"/>
      <c r="Y134" s="117"/>
      <c r="Z134" s="117">
        <f t="shared" si="50"/>
        <v>0</v>
      </c>
      <c r="AA134" s="117"/>
      <c r="AB134" s="117"/>
      <c r="AC134" s="117"/>
      <c r="AD134" s="117"/>
      <c r="AE134" s="117">
        <f t="shared" si="51"/>
        <v>0</v>
      </c>
      <c r="AF134" s="117">
        <v>0</v>
      </c>
      <c r="AG134" s="117"/>
      <c r="AH134" s="117"/>
      <c r="AI134" s="117">
        <f t="shared" si="52"/>
        <v>0</v>
      </c>
      <c r="AJ134" s="117"/>
      <c r="AK134" s="117"/>
      <c r="AL134" s="117">
        <f t="shared" si="53"/>
        <v>0</v>
      </c>
      <c r="AM134" s="117"/>
      <c r="AN134" s="117">
        <f t="shared" si="54"/>
        <v>0</v>
      </c>
      <c r="AO134" s="118">
        <v>100000</v>
      </c>
      <c r="AP134" s="118"/>
      <c r="AQ134" s="118"/>
      <c r="AR134" s="118">
        <v>100000</v>
      </c>
      <c r="AS134" s="118"/>
      <c r="AT134" s="118"/>
      <c r="AU134" s="117">
        <f t="shared" si="55"/>
        <v>100000</v>
      </c>
      <c r="AV134" s="117"/>
      <c r="AW134" s="117"/>
      <c r="AX134" s="117">
        <f t="shared" si="56"/>
        <v>100000</v>
      </c>
      <c r="AY134" s="120">
        <f t="shared" si="57"/>
        <v>100000</v>
      </c>
      <c r="AZ134" s="120">
        <v>99214.8</v>
      </c>
      <c r="BA134" s="120">
        <f t="shared" si="58"/>
        <v>785.1999999999971</v>
      </c>
      <c r="BB134" s="121">
        <f t="shared" si="59"/>
        <v>0.992148</v>
      </c>
    </row>
    <row r="135" spans="1:54" ht="15.75">
      <c r="A135" s="80">
        <v>5211</v>
      </c>
      <c r="B135" s="81" t="s">
        <v>53</v>
      </c>
      <c r="C135" s="117"/>
      <c r="D135" s="117"/>
      <c r="E135" s="117"/>
      <c r="F135" s="117">
        <v>0</v>
      </c>
      <c r="G135" s="117"/>
      <c r="H135" s="117"/>
      <c r="I135" s="117">
        <v>0</v>
      </c>
      <c r="J135" s="117"/>
      <c r="K135" s="117"/>
      <c r="L135" s="117">
        <f t="shared" si="47"/>
        <v>0</v>
      </c>
      <c r="M135" s="117"/>
      <c r="N135" s="117"/>
      <c r="O135" s="117"/>
      <c r="P135" s="117">
        <f t="shared" si="48"/>
        <v>0</v>
      </c>
      <c r="Q135" s="117"/>
      <c r="R135" s="117"/>
      <c r="S135" s="117"/>
      <c r="T135" s="117"/>
      <c r="U135" s="117"/>
      <c r="V135" s="117"/>
      <c r="W135" s="117">
        <f t="shared" si="49"/>
        <v>0</v>
      </c>
      <c r="X135" s="117"/>
      <c r="Y135" s="117"/>
      <c r="Z135" s="117">
        <f t="shared" si="50"/>
        <v>0</v>
      </c>
      <c r="AA135" s="117"/>
      <c r="AB135" s="117"/>
      <c r="AC135" s="117"/>
      <c r="AD135" s="117"/>
      <c r="AE135" s="117">
        <f t="shared" si="51"/>
        <v>0</v>
      </c>
      <c r="AF135" s="117">
        <v>0</v>
      </c>
      <c r="AG135" s="117"/>
      <c r="AH135" s="117"/>
      <c r="AI135" s="117">
        <f t="shared" si="52"/>
        <v>0</v>
      </c>
      <c r="AJ135" s="117"/>
      <c r="AK135" s="117"/>
      <c r="AL135" s="117">
        <f t="shared" si="53"/>
        <v>0</v>
      </c>
      <c r="AM135" s="117"/>
      <c r="AN135" s="117">
        <f t="shared" si="54"/>
        <v>0</v>
      </c>
      <c r="AO135" s="118">
        <v>200000</v>
      </c>
      <c r="AP135" s="118"/>
      <c r="AQ135" s="118"/>
      <c r="AR135" s="118">
        <v>200000</v>
      </c>
      <c r="AS135" s="118"/>
      <c r="AT135" s="118"/>
      <c r="AU135" s="117">
        <f t="shared" si="55"/>
        <v>200000</v>
      </c>
      <c r="AV135" s="117"/>
      <c r="AW135" s="117"/>
      <c r="AX135" s="117">
        <f t="shared" si="56"/>
        <v>200000</v>
      </c>
      <c r="AY135" s="120">
        <f t="shared" si="57"/>
        <v>200000</v>
      </c>
      <c r="AZ135" s="120">
        <v>200000</v>
      </c>
      <c r="BA135" s="120">
        <f t="shared" si="58"/>
        <v>0</v>
      </c>
      <c r="BB135" s="121">
        <f t="shared" si="59"/>
        <v>1</v>
      </c>
    </row>
    <row r="136" spans="1:54" ht="15.75">
      <c r="A136" s="80">
        <v>5231</v>
      </c>
      <c r="B136" s="81" t="s">
        <v>96</v>
      </c>
      <c r="C136" s="117"/>
      <c r="D136" s="117"/>
      <c r="E136" s="117"/>
      <c r="F136" s="117">
        <v>0</v>
      </c>
      <c r="G136" s="117"/>
      <c r="H136" s="117"/>
      <c r="I136" s="117">
        <v>0</v>
      </c>
      <c r="J136" s="117"/>
      <c r="K136" s="117"/>
      <c r="L136" s="117">
        <f t="shared" si="47"/>
        <v>0</v>
      </c>
      <c r="M136" s="117"/>
      <c r="N136" s="117"/>
      <c r="O136" s="117"/>
      <c r="P136" s="117">
        <f t="shared" si="48"/>
        <v>0</v>
      </c>
      <c r="Q136" s="117"/>
      <c r="R136" s="117"/>
      <c r="S136" s="117"/>
      <c r="T136" s="117"/>
      <c r="U136" s="117"/>
      <c r="V136" s="117"/>
      <c r="W136" s="117">
        <f t="shared" si="49"/>
        <v>0</v>
      </c>
      <c r="X136" s="117"/>
      <c r="Y136" s="117"/>
      <c r="Z136" s="117">
        <f t="shared" si="50"/>
        <v>0</v>
      </c>
      <c r="AA136" s="117"/>
      <c r="AB136" s="117"/>
      <c r="AC136" s="117"/>
      <c r="AD136" s="117"/>
      <c r="AE136" s="117">
        <f t="shared" si="51"/>
        <v>0</v>
      </c>
      <c r="AF136" s="117">
        <v>0</v>
      </c>
      <c r="AG136" s="117"/>
      <c r="AH136" s="117"/>
      <c r="AI136" s="117">
        <f t="shared" si="52"/>
        <v>0</v>
      </c>
      <c r="AJ136" s="117"/>
      <c r="AK136" s="117"/>
      <c r="AL136" s="117">
        <f t="shared" si="53"/>
        <v>0</v>
      </c>
      <c r="AM136" s="117"/>
      <c r="AN136" s="117">
        <f t="shared" si="54"/>
        <v>0</v>
      </c>
      <c r="AO136" s="118">
        <v>50000</v>
      </c>
      <c r="AP136" s="118"/>
      <c r="AQ136" s="118"/>
      <c r="AR136" s="118">
        <v>50000</v>
      </c>
      <c r="AS136" s="118"/>
      <c r="AT136" s="118"/>
      <c r="AU136" s="117">
        <f t="shared" si="55"/>
        <v>50000</v>
      </c>
      <c r="AV136" s="117"/>
      <c r="AW136" s="117"/>
      <c r="AX136" s="117">
        <f t="shared" si="56"/>
        <v>50000</v>
      </c>
      <c r="AY136" s="120">
        <f t="shared" si="57"/>
        <v>50000</v>
      </c>
      <c r="AZ136" s="120">
        <v>49806.9</v>
      </c>
      <c r="BA136" s="120">
        <f t="shared" si="58"/>
        <v>193.09999999999854</v>
      </c>
      <c r="BB136" s="121">
        <f t="shared" si="59"/>
        <v>0.9961380000000001</v>
      </c>
    </row>
    <row r="137" spans="1:54" ht="16.5" customHeight="1">
      <c r="A137" s="80">
        <v>5291</v>
      </c>
      <c r="B137" s="81" t="s">
        <v>54</v>
      </c>
      <c r="C137" s="117"/>
      <c r="D137" s="117"/>
      <c r="E137" s="117"/>
      <c r="F137" s="117">
        <v>0</v>
      </c>
      <c r="G137" s="117"/>
      <c r="H137" s="117"/>
      <c r="I137" s="117">
        <v>0</v>
      </c>
      <c r="J137" s="117"/>
      <c r="K137" s="117"/>
      <c r="L137" s="117">
        <f t="shared" si="47"/>
        <v>0</v>
      </c>
      <c r="M137" s="117"/>
      <c r="N137" s="117"/>
      <c r="O137" s="117"/>
      <c r="P137" s="117">
        <f t="shared" si="48"/>
        <v>0</v>
      </c>
      <c r="Q137" s="117"/>
      <c r="R137" s="117"/>
      <c r="S137" s="117"/>
      <c r="T137" s="117"/>
      <c r="U137" s="117"/>
      <c r="V137" s="117"/>
      <c r="W137" s="117">
        <f t="shared" si="49"/>
        <v>0</v>
      </c>
      <c r="X137" s="117"/>
      <c r="Y137" s="117"/>
      <c r="Z137" s="117">
        <f t="shared" si="50"/>
        <v>0</v>
      </c>
      <c r="AA137" s="117"/>
      <c r="AB137" s="117"/>
      <c r="AC137" s="117"/>
      <c r="AD137" s="117"/>
      <c r="AE137" s="117">
        <f t="shared" si="51"/>
        <v>0</v>
      </c>
      <c r="AF137" s="117">
        <v>0</v>
      </c>
      <c r="AG137" s="117"/>
      <c r="AH137" s="117"/>
      <c r="AI137" s="117">
        <f t="shared" si="52"/>
        <v>0</v>
      </c>
      <c r="AJ137" s="117"/>
      <c r="AK137" s="117"/>
      <c r="AL137" s="117">
        <f t="shared" si="53"/>
        <v>0</v>
      </c>
      <c r="AM137" s="117"/>
      <c r="AN137" s="117">
        <f t="shared" si="54"/>
        <v>0</v>
      </c>
      <c r="AO137" s="118">
        <v>100000</v>
      </c>
      <c r="AP137" s="118"/>
      <c r="AQ137" s="118"/>
      <c r="AR137" s="118">
        <v>100000</v>
      </c>
      <c r="AS137" s="118"/>
      <c r="AT137" s="118"/>
      <c r="AU137" s="117">
        <f t="shared" si="55"/>
        <v>100000</v>
      </c>
      <c r="AV137" s="117"/>
      <c r="AW137" s="117"/>
      <c r="AX137" s="117">
        <f t="shared" si="56"/>
        <v>100000</v>
      </c>
      <c r="AY137" s="120">
        <f t="shared" si="57"/>
        <v>100000</v>
      </c>
      <c r="AZ137" s="120">
        <v>91666.65</v>
      </c>
      <c r="BA137" s="120">
        <f t="shared" si="58"/>
        <v>8333.350000000006</v>
      </c>
      <c r="BB137" s="121">
        <f t="shared" si="59"/>
        <v>0.9166664999999999</v>
      </c>
    </row>
    <row r="138" spans="1:54" ht="15.75">
      <c r="A138" s="80">
        <v>5411</v>
      </c>
      <c r="B138" s="81" t="s">
        <v>218</v>
      </c>
      <c r="C138" s="117"/>
      <c r="D138" s="117"/>
      <c r="E138" s="117"/>
      <c r="F138" s="117">
        <v>0</v>
      </c>
      <c r="G138" s="117"/>
      <c r="H138" s="117"/>
      <c r="I138" s="117">
        <v>0</v>
      </c>
      <c r="J138" s="117"/>
      <c r="K138" s="117"/>
      <c r="L138" s="117">
        <f t="shared" si="47"/>
        <v>0</v>
      </c>
      <c r="M138" s="117"/>
      <c r="N138" s="117"/>
      <c r="O138" s="117"/>
      <c r="P138" s="117">
        <f t="shared" si="48"/>
        <v>0</v>
      </c>
      <c r="Q138" s="117"/>
      <c r="R138" s="117"/>
      <c r="S138" s="117"/>
      <c r="T138" s="117"/>
      <c r="U138" s="117"/>
      <c r="V138" s="117"/>
      <c r="W138" s="117">
        <f t="shared" si="49"/>
        <v>0</v>
      </c>
      <c r="X138" s="117"/>
      <c r="Y138" s="117"/>
      <c r="Z138" s="117">
        <f t="shared" si="50"/>
        <v>0</v>
      </c>
      <c r="AA138" s="117"/>
      <c r="AB138" s="117"/>
      <c r="AC138" s="117"/>
      <c r="AD138" s="117"/>
      <c r="AE138" s="117">
        <f t="shared" si="51"/>
        <v>0</v>
      </c>
      <c r="AF138" s="117">
        <v>0</v>
      </c>
      <c r="AG138" s="117"/>
      <c r="AH138" s="117"/>
      <c r="AI138" s="117">
        <f t="shared" si="52"/>
        <v>0</v>
      </c>
      <c r="AJ138" s="117"/>
      <c r="AK138" s="117"/>
      <c r="AL138" s="117">
        <f t="shared" si="53"/>
        <v>0</v>
      </c>
      <c r="AM138" s="117"/>
      <c r="AN138" s="117">
        <f t="shared" si="54"/>
        <v>0</v>
      </c>
      <c r="AO138" s="119">
        <f>488873.9-50000-7811.9</f>
        <v>431062</v>
      </c>
      <c r="AP138" s="119"/>
      <c r="AQ138" s="119"/>
      <c r="AR138" s="119">
        <v>431062</v>
      </c>
      <c r="AS138" s="119"/>
      <c r="AT138" s="119"/>
      <c r="AU138" s="117">
        <f t="shared" si="55"/>
        <v>431062</v>
      </c>
      <c r="AV138" s="117"/>
      <c r="AW138" s="117"/>
      <c r="AX138" s="117">
        <f t="shared" si="56"/>
        <v>431062</v>
      </c>
      <c r="AY138" s="120">
        <f t="shared" si="57"/>
        <v>431062</v>
      </c>
      <c r="AZ138" s="120">
        <v>303796</v>
      </c>
      <c r="BA138" s="120">
        <f t="shared" si="58"/>
        <v>127266</v>
      </c>
      <c r="BB138" s="121">
        <f t="shared" si="59"/>
        <v>0.7047617280112838</v>
      </c>
    </row>
    <row r="139" spans="1:54" ht="15.75" customHeight="1">
      <c r="A139" s="80">
        <v>5491</v>
      </c>
      <c r="B139" s="81" t="s">
        <v>219</v>
      </c>
      <c r="C139" s="117"/>
      <c r="D139" s="117"/>
      <c r="E139" s="117"/>
      <c r="F139" s="117">
        <v>0</v>
      </c>
      <c r="G139" s="117"/>
      <c r="H139" s="117"/>
      <c r="I139" s="117">
        <v>0</v>
      </c>
      <c r="J139" s="117"/>
      <c r="K139" s="117"/>
      <c r="L139" s="117">
        <f t="shared" si="47"/>
        <v>0</v>
      </c>
      <c r="M139" s="117"/>
      <c r="N139" s="117"/>
      <c r="O139" s="117"/>
      <c r="P139" s="117">
        <f t="shared" si="48"/>
        <v>0</v>
      </c>
      <c r="Q139" s="117"/>
      <c r="R139" s="117"/>
      <c r="S139" s="117"/>
      <c r="T139" s="117"/>
      <c r="U139" s="117"/>
      <c r="V139" s="117"/>
      <c r="W139" s="117">
        <f t="shared" si="49"/>
        <v>0</v>
      </c>
      <c r="X139" s="117"/>
      <c r="Y139" s="117"/>
      <c r="Z139" s="117">
        <f t="shared" si="50"/>
        <v>0</v>
      </c>
      <c r="AA139" s="117"/>
      <c r="AB139" s="117"/>
      <c r="AC139" s="117"/>
      <c r="AD139" s="117"/>
      <c r="AE139" s="117">
        <f t="shared" si="51"/>
        <v>0</v>
      </c>
      <c r="AF139" s="117">
        <v>0</v>
      </c>
      <c r="AG139" s="117"/>
      <c r="AH139" s="117"/>
      <c r="AI139" s="117">
        <f t="shared" si="52"/>
        <v>0</v>
      </c>
      <c r="AJ139" s="117"/>
      <c r="AK139" s="117"/>
      <c r="AL139" s="117">
        <f t="shared" si="53"/>
        <v>0</v>
      </c>
      <c r="AM139" s="117"/>
      <c r="AN139" s="117">
        <f t="shared" si="54"/>
        <v>0</v>
      </c>
      <c r="AO139" s="118"/>
      <c r="AP139" s="118"/>
      <c r="AQ139" s="118"/>
      <c r="AR139" s="118">
        <v>0</v>
      </c>
      <c r="AS139" s="118"/>
      <c r="AT139" s="118"/>
      <c r="AU139" s="117">
        <f t="shared" si="55"/>
        <v>0</v>
      </c>
      <c r="AV139" s="117"/>
      <c r="AW139" s="117"/>
      <c r="AX139" s="117">
        <f t="shared" si="56"/>
        <v>0</v>
      </c>
      <c r="AY139" s="120">
        <f t="shared" si="57"/>
        <v>0</v>
      </c>
      <c r="AZ139" s="120">
        <v>0</v>
      </c>
      <c r="BA139" s="120">
        <f t="shared" si="58"/>
        <v>0</v>
      </c>
      <c r="BB139" s="121">
        <v>0</v>
      </c>
    </row>
    <row r="140" spans="1:54" ht="15.75">
      <c r="A140" s="80">
        <v>5611</v>
      </c>
      <c r="B140" s="81" t="s">
        <v>220</v>
      </c>
      <c r="C140" s="117"/>
      <c r="D140" s="117"/>
      <c r="E140" s="117"/>
      <c r="F140" s="117">
        <v>0</v>
      </c>
      <c r="G140" s="117"/>
      <c r="H140" s="117"/>
      <c r="I140" s="117">
        <v>0</v>
      </c>
      <c r="J140" s="117"/>
      <c r="K140" s="117"/>
      <c r="L140" s="117">
        <f t="shared" si="47"/>
        <v>0</v>
      </c>
      <c r="M140" s="117"/>
      <c r="N140" s="117"/>
      <c r="O140" s="117"/>
      <c r="P140" s="117">
        <f t="shared" si="48"/>
        <v>0</v>
      </c>
      <c r="Q140" s="117"/>
      <c r="R140" s="117"/>
      <c r="S140" s="117"/>
      <c r="T140" s="117"/>
      <c r="U140" s="117"/>
      <c r="V140" s="117"/>
      <c r="W140" s="117">
        <f t="shared" si="49"/>
        <v>0</v>
      </c>
      <c r="X140" s="117"/>
      <c r="Y140" s="117"/>
      <c r="Z140" s="117">
        <f t="shared" si="50"/>
        <v>0</v>
      </c>
      <c r="AA140" s="117"/>
      <c r="AB140" s="117"/>
      <c r="AC140" s="117"/>
      <c r="AD140" s="117"/>
      <c r="AE140" s="117">
        <f t="shared" si="51"/>
        <v>0</v>
      </c>
      <c r="AF140" s="117">
        <v>0</v>
      </c>
      <c r="AG140" s="117"/>
      <c r="AH140" s="117"/>
      <c r="AI140" s="117">
        <f t="shared" si="52"/>
        <v>0</v>
      </c>
      <c r="AJ140" s="117"/>
      <c r="AK140" s="117"/>
      <c r="AL140" s="117">
        <f t="shared" si="53"/>
        <v>0</v>
      </c>
      <c r="AM140" s="117"/>
      <c r="AN140" s="117">
        <f t="shared" si="54"/>
        <v>0</v>
      </c>
      <c r="AO140" s="118">
        <v>350000</v>
      </c>
      <c r="AP140" s="118"/>
      <c r="AQ140" s="118"/>
      <c r="AR140" s="118">
        <v>350000</v>
      </c>
      <c r="AS140" s="118"/>
      <c r="AT140" s="118"/>
      <c r="AU140" s="117">
        <f t="shared" si="55"/>
        <v>350000</v>
      </c>
      <c r="AV140" s="117"/>
      <c r="AW140" s="117"/>
      <c r="AX140" s="117">
        <f t="shared" si="56"/>
        <v>350000</v>
      </c>
      <c r="AY140" s="120">
        <f t="shared" si="57"/>
        <v>350000</v>
      </c>
      <c r="AZ140" s="120">
        <v>318000</v>
      </c>
      <c r="BA140" s="120">
        <f t="shared" si="58"/>
        <v>32000</v>
      </c>
      <c r="BB140" s="121">
        <f>AZ140/AY140</f>
        <v>0.9085714285714286</v>
      </c>
    </row>
    <row r="141" spans="1:54" ht="15.75">
      <c r="A141" s="80">
        <v>5621</v>
      </c>
      <c r="B141" s="81" t="s">
        <v>221</v>
      </c>
      <c r="C141" s="117"/>
      <c r="D141" s="117"/>
      <c r="E141" s="117"/>
      <c r="F141" s="117">
        <v>0</v>
      </c>
      <c r="G141" s="117"/>
      <c r="H141" s="117"/>
      <c r="I141" s="117">
        <v>0</v>
      </c>
      <c r="J141" s="117"/>
      <c r="K141" s="117"/>
      <c r="L141" s="117">
        <f t="shared" si="47"/>
        <v>0</v>
      </c>
      <c r="M141" s="117"/>
      <c r="N141" s="117"/>
      <c r="O141" s="117"/>
      <c r="P141" s="117">
        <f t="shared" si="48"/>
        <v>0</v>
      </c>
      <c r="Q141" s="117"/>
      <c r="R141" s="117"/>
      <c r="S141" s="117"/>
      <c r="T141" s="117"/>
      <c r="U141" s="117"/>
      <c r="V141" s="117"/>
      <c r="W141" s="117">
        <f t="shared" si="49"/>
        <v>0</v>
      </c>
      <c r="X141" s="117"/>
      <c r="Y141" s="117"/>
      <c r="Z141" s="117">
        <f t="shared" si="50"/>
        <v>0</v>
      </c>
      <c r="AA141" s="117"/>
      <c r="AB141" s="117"/>
      <c r="AC141" s="117"/>
      <c r="AD141" s="117"/>
      <c r="AE141" s="117">
        <f t="shared" si="51"/>
        <v>0</v>
      </c>
      <c r="AF141" s="117">
        <v>0</v>
      </c>
      <c r="AG141" s="117"/>
      <c r="AH141" s="117"/>
      <c r="AI141" s="117">
        <f t="shared" si="52"/>
        <v>0</v>
      </c>
      <c r="AJ141" s="117"/>
      <c r="AK141" s="117"/>
      <c r="AL141" s="117">
        <f t="shared" si="53"/>
        <v>0</v>
      </c>
      <c r="AM141" s="117"/>
      <c r="AN141" s="117">
        <f t="shared" si="54"/>
        <v>0</v>
      </c>
      <c r="AO141" s="118"/>
      <c r="AP141" s="118"/>
      <c r="AQ141" s="118"/>
      <c r="AR141" s="118">
        <v>0</v>
      </c>
      <c r="AS141" s="118"/>
      <c r="AT141" s="118"/>
      <c r="AU141" s="117">
        <f t="shared" si="55"/>
        <v>0</v>
      </c>
      <c r="AV141" s="117"/>
      <c r="AW141" s="117"/>
      <c r="AX141" s="117">
        <f t="shared" si="56"/>
        <v>0</v>
      </c>
      <c r="AY141" s="120">
        <f t="shared" si="57"/>
        <v>0</v>
      </c>
      <c r="AZ141" s="120">
        <v>0</v>
      </c>
      <c r="BA141" s="120">
        <f t="shared" si="58"/>
        <v>0</v>
      </c>
      <c r="BB141" s="121">
        <v>0</v>
      </c>
    </row>
    <row r="142" spans="1:54" ht="15.75">
      <c r="A142" s="80">
        <v>5641</v>
      </c>
      <c r="B142" s="81" t="s">
        <v>222</v>
      </c>
      <c r="C142" s="117"/>
      <c r="D142" s="117"/>
      <c r="E142" s="117"/>
      <c r="F142" s="117">
        <v>0</v>
      </c>
      <c r="G142" s="117"/>
      <c r="H142" s="117"/>
      <c r="I142" s="117">
        <v>0</v>
      </c>
      <c r="J142" s="117"/>
      <c r="K142" s="117"/>
      <c r="L142" s="117">
        <f t="shared" si="47"/>
        <v>0</v>
      </c>
      <c r="M142" s="117"/>
      <c r="N142" s="117"/>
      <c r="O142" s="117"/>
      <c r="P142" s="117">
        <f t="shared" si="48"/>
        <v>0</v>
      </c>
      <c r="Q142" s="117"/>
      <c r="R142" s="117"/>
      <c r="S142" s="117"/>
      <c r="T142" s="117"/>
      <c r="U142" s="117"/>
      <c r="V142" s="117"/>
      <c r="W142" s="117">
        <f t="shared" si="49"/>
        <v>0</v>
      </c>
      <c r="X142" s="117"/>
      <c r="Y142" s="117"/>
      <c r="Z142" s="117">
        <f t="shared" si="50"/>
        <v>0</v>
      </c>
      <c r="AA142" s="117"/>
      <c r="AB142" s="117"/>
      <c r="AC142" s="117"/>
      <c r="AD142" s="117"/>
      <c r="AE142" s="117">
        <f t="shared" si="51"/>
        <v>0</v>
      </c>
      <c r="AF142" s="117">
        <v>0</v>
      </c>
      <c r="AG142" s="117"/>
      <c r="AH142" s="117"/>
      <c r="AI142" s="117">
        <f t="shared" si="52"/>
        <v>0</v>
      </c>
      <c r="AJ142" s="117"/>
      <c r="AK142" s="117"/>
      <c r="AL142" s="117">
        <f t="shared" si="53"/>
        <v>0</v>
      </c>
      <c r="AM142" s="117"/>
      <c r="AN142" s="117">
        <f t="shared" si="54"/>
        <v>0</v>
      </c>
      <c r="AO142" s="118">
        <v>50000</v>
      </c>
      <c r="AP142" s="118"/>
      <c r="AQ142" s="118"/>
      <c r="AR142" s="118">
        <v>50000</v>
      </c>
      <c r="AS142" s="118"/>
      <c r="AT142" s="118"/>
      <c r="AU142" s="117">
        <f t="shared" si="55"/>
        <v>50000</v>
      </c>
      <c r="AV142" s="117"/>
      <c r="AW142" s="117"/>
      <c r="AX142" s="117">
        <f t="shared" si="56"/>
        <v>50000</v>
      </c>
      <c r="AY142" s="120">
        <f t="shared" si="57"/>
        <v>50000</v>
      </c>
      <c r="AZ142" s="120">
        <v>49671.2</v>
      </c>
      <c r="BA142" s="120">
        <f t="shared" si="58"/>
        <v>328.8000000000029</v>
      </c>
      <c r="BB142" s="121">
        <f>AZ142/AY142</f>
        <v>0.993424</v>
      </c>
    </row>
    <row r="143" spans="1:54" ht="15.75" customHeight="1">
      <c r="A143" s="80">
        <v>5651</v>
      </c>
      <c r="B143" s="81" t="s">
        <v>40</v>
      </c>
      <c r="C143" s="117"/>
      <c r="D143" s="117"/>
      <c r="E143" s="117"/>
      <c r="F143" s="117">
        <v>0</v>
      </c>
      <c r="G143" s="117"/>
      <c r="H143" s="117"/>
      <c r="I143" s="117">
        <v>0</v>
      </c>
      <c r="J143" s="117"/>
      <c r="K143" s="117"/>
      <c r="L143" s="117">
        <f t="shared" si="47"/>
        <v>0</v>
      </c>
      <c r="M143" s="117"/>
      <c r="N143" s="117"/>
      <c r="O143" s="117"/>
      <c r="P143" s="117">
        <f t="shared" si="48"/>
        <v>0</v>
      </c>
      <c r="Q143" s="117"/>
      <c r="R143" s="117"/>
      <c r="S143" s="117"/>
      <c r="T143" s="117"/>
      <c r="U143" s="117"/>
      <c r="V143" s="117"/>
      <c r="W143" s="117">
        <f t="shared" si="49"/>
        <v>0</v>
      </c>
      <c r="X143" s="117"/>
      <c r="Y143" s="117"/>
      <c r="Z143" s="117">
        <f t="shared" si="50"/>
        <v>0</v>
      </c>
      <c r="AA143" s="117"/>
      <c r="AB143" s="117"/>
      <c r="AC143" s="117"/>
      <c r="AD143" s="117"/>
      <c r="AE143" s="117">
        <f t="shared" si="51"/>
        <v>0</v>
      </c>
      <c r="AF143" s="117">
        <v>0</v>
      </c>
      <c r="AG143" s="117"/>
      <c r="AH143" s="117"/>
      <c r="AI143" s="117">
        <f t="shared" si="52"/>
        <v>0</v>
      </c>
      <c r="AJ143" s="117"/>
      <c r="AK143" s="117"/>
      <c r="AL143" s="117">
        <f t="shared" si="53"/>
        <v>0</v>
      </c>
      <c r="AM143" s="117"/>
      <c r="AN143" s="117">
        <f t="shared" si="54"/>
        <v>0</v>
      </c>
      <c r="AO143" s="118">
        <v>25000</v>
      </c>
      <c r="AP143" s="118"/>
      <c r="AQ143" s="118"/>
      <c r="AR143" s="118">
        <v>25000</v>
      </c>
      <c r="AS143" s="118"/>
      <c r="AT143" s="118"/>
      <c r="AU143" s="117">
        <f t="shared" si="55"/>
        <v>25000</v>
      </c>
      <c r="AV143" s="117"/>
      <c r="AW143" s="117"/>
      <c r="AX143" s="117">
        <f t="shared" si="56"/>
        <v>25000</v>
      </c>
      <c r="AY143" s="120">
        <f t="shared" si="57"/>
        <v>25000</v>
      </c>
      <c r="AZ143" s="120">
        <v>0</v>
      </c>
      <c r="BA143" s="120">
        <f t="shared" si="58"/>
        <v>25000</v>
      </c>
      <c r="BB143" s="121">
        <f>AZ143/AY143</f>
        <v>0</v>
      </c>
    </row>
    <row r="144" spans="1:54" ht="15.75">
      <c r="A144" s="80">
        <v>5671</v>
      </c>
      <c r="B144" s="81" t="s">
        <v>223</v>
      </c>
      <c r="C144" s="117"/>
      <c r="D144" s="117"/>
      <c r="E144" s="117"/>
      <c r="F144" s="117">
        <v>0</v>
      </c>
      <c r="G144" s="117"/>
      <c r="H144" s="117"/>
      <c r="I144" s="117">
        <v>0</v>
      </c>
      <c r="J144" s="117"/>
      <c r="K144" s="117"/>
      <c r="L144" s="117">
        <f t="shared" si="47"/>
        <v>0</v>
      </c>
      <c r="M144" s="117"/>
      <c r="N144" s="117"/>
      <c r="O144" s="117"/>
      <c r="P144" s="117">
        <f t="shared" si="48"/>
        <v>0</v>
      </c>
      <c r="Q144" s="117"/>
      <c r="R144" s="117"/>
      <c r="S144" s="117"/>
      <c r="T144" s="117"/>
      <c r="U144" s="117"/>
      <c r="V144" s="117"/>
      <c r="W144" s="117">
        <f t="shared" si="49"/>
        <v>0</v>
      </c>
      <c r="X144" s="117"/>
      <c r="Y144" s="117"/>
      <c r="Z144" s="117">
        <f t="shared" si="50"/>
        <v>0</v>
      </c>
      <c r="AA144" s="117"/>
      <c r="AB144" s="117"/>
      <c r="AC144" s="117"/>
      <c r="AD144" s="117"/>
      <c r="AE144" s="117">
        <f t="shared" si="51"/>
        <v>0</v>
      </c>
      <c r="AF144" s="117">
        <v>0</v>
      </c>
      <c r="AG144" s="117"/>
      <c r="AH144" s="117"/>
      <c r="AI144" s="117">
        <f t="shared" si="52"/>
        <v>0</v>
      </c>
      <c r="AJ144" s="117"/>
      <c r="AK144" s="117"/>
      <c r="AL144" s="117">
        <f t="shared" si="53"/>
        <v>0</v>
      </c>
      <c r="AM144" s="117"/>
      <c r="AN144" s="117">
        <f t="shared" si="54"/>
        <v>0</v>
      </c>
      <c r="AO144" s="118">
        <v>50000</v>
      </c>
      <c r="AP144" s="118"/>
      <c r="AQ144" s="118"/>
      <c r="AR144" s="118">
        <v>50000</v>
      </c>
      <c r="AS144" s="118"/>
      <c r="AT144" s="118"/>
      <c r="AU144" s="117">
        <f t="shared" si="55"/>
        <v>50000</v>
      </c>
      <c r="AV144" s="117"/>
      <c r="AW144" s="117"/>
      <c r="AX144" s="117">
        <f t="shared" si="56"/>
        <v>50000</v>
      </c>
      <c r="AY144" s="120">
        <f t="shared" si="57"/>
        <v>50000</v>
      </c>
      <c r="AZ144" s="120">
        <v>49706</v>
      </c>
      <c r="BA144" s="120">
        <f t="shared" si="58"/>
        <v>294</v>
      </c>
      <c r="BB144" s="121">
        <f>AZ144/AY144</f>
        <v>0.99412</v>
      </c>
    </row>
    <row r="145" spans="1:54" ht="19.5" customHeight="1">
      <c r="A145" s="80">
        <v>5911</v>
      </c>
      <c r="B145" s="81" t="s">
        <v>55</v>
      </c>
      <c r="C145" s="117"/>
      <c r="D145" s="117"/>
      <c r="E145" s="117"/>
      <c r="F145" s="117">
        <v>0</v>
      </c>
      <c r="G145" s="117"/>
      <c r="H145" s="117"/>
      <c r="I145" s="117">
        <v>0</v>
      </c>
      <c r="J145" s="117"/>
      <c r="K145" s="117"/>
      <c r="L145" s="117">
        <f t="shared" si="47"/>
        <v>0</v>
      </c>
      <c r="M145" s="117"/>
      <c r="N145" s="117"/>
      <c r="O145" s="117"/>
      <c r="P145" s="117">
        <f t="shared" si="48"/>
        <v>0</v>
      </c>
      <c r="Q145" s="117"/>
      <c r="R145" s="117"/>
      <c r="S145" s="117"/>
      <c r="T145" s="117"/>
      <c r="U145" s="117"/>
      <c r="V145" s="117"/>
      <c r="W145" s="117">
        <f t="shared" si="49"/>
        <v>0</v>
      </c>
      <c r="X145" s="117"/>
      <c r="Y145" s="117"/>
      <c r="Z145" s="117">
        <f t="shared" si="50"/>
        <v>0</v>
      </c>
      <c r="AA145" s="117"/>
      <c r="AB145" s="117"/>
      <c r="AC145" s="117"/>
      <c r="AD145" s="117"/>
      <c r="AE145" s="117">
        <f t="shared" si="51"/>
        <v>0</v>
      </c>
      <c r="AF145" s="117">
        <v>0</v>
      </c>
      <c r="AG145" s="117"/>
      <c r="AH145" s="117"/>
      <c r="AI145" s="117">
        <f t="shared" si="52"/>
        <v>0</v>
      </c>
      <c r="AJ145" s="117"/>
      <c r="AK145" s="117"/>
      <c r="AL145" s="117">
        <f t="shared" si="53"/>
        <v>0</v>
      </c>
      <c r="AM145" s="117"/>
      <c r="AN145" s="117">
        <f t="shared" si="54"/>
        <v>0</v>
      </c>
      <c r="AO145" s="118">
        <f>110000+300000-40000</f>
        <v>370000</v>
      </c>
      <c r="AP145" s="118">
        <v>10000</v>
      </c>
      <c r="AQ145" s="118"/>
      <c r="AR145" s="118">
        <v>360000</v>
      </c>
      <c r="AS145" s="118"/>
      <c r="AT145" s="118"/>
      <c r="AU145" s="117">
        <f t="shared" si="55"/>
        <v>360000</v>
      </c>
      <c r="AV145" s="117"/>
      <c r="AW145" s="117"/>
      <c r="AX145" s="117">
        <f t="shared" si="56"/>
        <v>360000</v>
      </c>
      <c r="AY145" s="120">
        <f t="shared" si="57"/>
        <v>360000</v>
      </c>
      <c r="AZ145" s="120">
        <v>258141.62</v>
      </c>
      <c r="BA145" s="120">
        <f t="shared" si="58"/>
        <v>101858.38</v>
      </c>
      <c r="BB145" s="121">
        <f>AZ145/AY145</f>
        <v>0.7170600555555555</v>
      </c>
    </row>
    <row r="146" spans="1:54" ht="31.5" customHeight="1">
      <c r="A146" s="80">
        <v>5971</v>
      </c>
      <c r="B146" s="81" t="s">
        <v>97</v>
      </c>
      <c r="C146" s="117"/>
      <c r="D146" s="117"/>
      <c r="E146" s="117"/>
      <c r="F146" s="117">
        <v>0</v>
      </c>
      <c r="G146" s="117"/>
      <c r="H146" s="117"/>
      <c r="I146" s="117">
        <v>0</v>
      </c>
      <c r="J146" s="117"/>
      <c r="K146" s="117"/>
      <c r="L146" s="117"/>
      <c r="M146" s="117"/>
      <c r="N146" s="117"/>
      <c r="O146" s="117"/>
      <c r="P146" s="117">
        <f>+L146-N146+O146</f>
        <v>0</v>
      </c>
      <c r="Q146" s="117"/>
      <c r="R146" s="117"/>
      <c r="S146" s="117"/>
      <c r="T146" s="117"/>
      <c r="U146" s="117"/>
      <c r="V146" s="117"/>
      <c r="W146" s="117">
        <v>0</v>
      </c>
      <c r="X146" s="117"/>
      <c r="Y146" s="117"/>
      <c r="Z146" s="117"/>
      <c r="AA146" s="117"/>
      <c r="AB146" s="117"/>
      <c r="AC146" s="117"/>
      <c r="AD146" s="117"/>
      <c r="AE146" s="117"/>
      <c r="AF146" s="117">
        <v>0</v>
      </c>
      <c r="AG146" s="117"/>
      <c r="AH146" s="117"/>
      <c r="AI146" s="117"/>
      <c r="AJ146" s="117"/>
      <c r="AK146" s="117"/>
      <c r="AL146" s="117"/>
      <c r="AM146" s="117"/>
      <c r="AN146" s="117"/>
      <c r="AO146" s="118"/>
      <c r="AP146" s="118"/>
      <c r="AQ146" s="118"/>
      <c r="AR146" s="118"/>
      <c r="AS146" s="118"/>
      <c r="AT146" s="118"/>
      <c r="AU146" s="117">
        <v>0</v>
      </c>
      <c r="AV146" s="117"/>
      <c r="AW146" s="117"/>
      <c r="AX146" s="117"/>
      <c r="AY146" s="120">
        <v>0</v>
      </c>
      <c r="AZ146" s="120"/>
      <c r="BA146" s="120">
        <f t="shared" si="58"/>
        <v>0</v>
      </c>
      <c r="BB146" s="121"/>
    </row>
    <row r="147" spans="1:54" ht="26.25" customHeight="1">
      <c r="A147" s="122"/>
      <c r="B147" s="92" t="s">
        <v>56</v>
      </c>
      <c r="C147" s="122">
        <v>0</v>
      </c>
      <c r="D147" s="122">
        <v>0</v>
      </c>
      <c r="E147" s="122">
        <v>0</v>
      </c>
      <c r="F147" s="122">
        <v>0</v>
      </c>
      <c r="G147" s="122">
        <v>0</v>
      </c>
      <c r="H147" s="122">
        <v>0</v>
      </c>
      <c r="I147" s="122">
        <f aca="true" t="shared" si="60" ref="I147:BA147">SUM(I132:I146)</f>
        <v>0</v>
      </c>
      <c r="J147" s="122">
        <f t="shared" si="60"/>
        <v>0</v>
      </c>
      <c r="K147" s="122">
        <f t="shared" si="60"/>
        <v>0</v>
      </c>
      <c r="L147" s="122">
        <f t="shared" si="60"/>
        <v>0</v>
      </c>
      <c r="M147" s="122">
        <f t="shared" si="60"/>
        <v>0</v>
      </c>
      <c r="N147" s="122">
        <f t="shared" si="60"/>
        <v>0</v>
      </c>
      <c r="O147" s="122">
        <f t="shared" si="60"/>
        <v>0</v>
      </c>
      <c r="P147" s="122">
        <f t="shared" si="60"/>
        <v>0</v>
      </c>
      <c r="Q147" s="122">
        <f t="shared" si="60"/>
        <v>0</v>
      </c>
      <c r="R147" s="122">
        <f t="shared" si="60"/>
        <v>0</v>
      </c>
      <c r="S147" s="122">
        <f t="shared" si="60"/>
        <v>0</v>
      </c>
      <c r="T147" s="122">
        <f t="shared" si="60"/>
        <v>0</v>
      </c>
      <c r="U147" s="122">
        <f t="shared" si="60"/>
        <v>0</v>
      </c>
      <c r="V147" s="122">
        <f t="shared" si="60"/>
        <v>0</v>
      </c>
      <c r="W147" s="122">
        <f t="shared" si="60"/>
        <v>0</v>
      </c>
      <c r="X147" s="122">
        <f t="shared" si="60"/>
        <v>0</v>
      </c>
      <c r="Y147" s="122">
        <f t="shared" si="60"/>
        <v>0</v>
      </c>
      <c r="Z147" s="122">
        <f t="shared" si="60"/>
        <v>0</v>
      </c>
      <c r="AA147" s="122">
        <f t="shared" si="60"/>
        <v>0</v>
      </c>
      <c r="AB147" s="122">
        <f t="shared" si="60"/>
        <v>0</v>
      </c>
      <c r="AC147" s="122">
        <f t="shared" si="60"/>
        <v>0</v>
      </c>
      <c r="AD147" s="122">
        <f t="shared" si="60"/>
        <v>0</v>
      </c>
      <c r="AE147" s="122">
        <f t="shared" si="60"/>
        <v>0</v>
      </c>
      <c r="AF147" s="122">
        <f t="shared" si="60"/>
        <v>0</v>
      </c>
      <c r="AG147" s="122">
        <f t="shared" si="60"/>
        <v>0</v>
      </c>
      <c r="AH147" s="122">
        <f t="shared" si="60"/>
        <v>0</v>
      </c>
      <c r="AI147" s="122">
        <f t="shared" si="60"/>
        <v>0</v>
      </c>
      <c r="AJ147" s="122">
        <f t="shared" si="60"/>
        <v>0</v>
      </c>
      <c r="AK147" s="122">
        <f t="shared" si="60"/>
        <v>0</v>
      </c>
      <c r="AL147" s="122">
        <f t="shared" si="60"/>
        <v>0</v>
      </c>
      <c r="AM147" s="122">
        <f t="shared" si="60"/>
        <v>0</v>
      </c>
      <c r="AN147" s="122">
        <f t="shared" si="60"/>
        <v>0</v>
      </c>
      <c r="AO147" s="122">
        <f t="shared" si="60"/>
        <v>2176062</v>
      </c>
      <c r="AP147" s="122">
        <f t="shared" si="60"/>
        <v>10000</v>
      </c>
      <c r="AQ147" s="122">
        <f t="shared" si="60"/>
        <v>0</v>
      </c>
      <c r="AR147" s="122">
        <f t="shared" si="60"/>
        <v>2166062</v>
      </c>
      <c r="AS147" s="122">
        <f t="shared" si="60"/>
        <v>0</v>
      </c>
      <c r="AT147" s="122">
        <f t="shared" si="60"/>
        <v>0</v>
      </c>
      <c r="AU147" s="122">
        <f t="shared" si="60"/>
        <v>2166062</v>
      </c>
      <c r="AV147" s="122">
        <f t="shared" si="60"/>
        <v>0</v>
      </c>
      <c r="AW147" s="122">
        <f t="shared" si="60"/>
        <v>0</v>
      </c>
      <c r="AX147" s="122">
        <f t="shared" si="60"/>
        <v>2166062</v>
      </c>
      <c r="AY147" s="122">
        <f t="shared" si="60"/>
        <v>2166062</v>
      </c>
      <c r="AZ147" s="122">
        <f t="shared" si="60"/>
        <v>1865054.4</v>
      </c>
      <c r="BA147" s="122">
        <f t="shared" si="60"/>
        <v>301007.6</v>
      </c>
      <c r="BB147" s="123">
        <f>AZ147/AY147</f>
        <v>0.8610346333576785</v>
      </c>
    </row>
    <row r="148" spans="1:54" s="129" customFormat="1" ht="12.75">
      <c r="A148" s="96"/>
      <c r="B148" s="97" t="s">
        <v>57</v>
      </c>
      <c r="C148" s="127">
        <v>6745094</v>
      </c>
      <c r="D148" s="127">
        <v>0</v>
      </c>
      <c r="E148" s="127">
        <v>241027.93</v>
      </c>
      <c r="F148" s="127">
        <v>6986121.93</v>
      </c>
      <c r="G148" s="127">
        <v>90000</v>
      </c>
      <c r="H148" s="127">
        <v>90000</v>
      </c>
      <c r="I148" s="127">
        <f aca="true" t="shared" si="61" ref="I148:BA148">+I147+I130+I124+I72+I30</f>
        <v>6986121.93</v>
      </c>
      <c r="J148" s="127">
        <f t="shared" si="61"/>
        <v>18000</v>
      </c>
      <c r="K148" s="127">
        <f t="shared" si="61"/>
        <v>18000</v>
      </c>
      <c r="L148" s="127">
        <f t="shared" si="61"/>
        <v>6986121.93</v>
      </c>
      <c r="M148" s="127">
        <f t="shared" si="61"/>
        <v>2554963</v>
      </c>
      <c r="N148" s="127">
        <f t="shared" si="61"/>
        <v>5500</v>
      </c>
      <c r="O148" s="127">
        <f t="shared" si="61"/>
        <v>5500</v>
      </c>
      <c r="P148" s="127">
        <f t="shared" si="61"/>
        <v>9541084.93</v>
      </c>
      <c r="Q148" s="127">
        <f t="shared" si="61"/>
        <v>9125635</v>
      </c>
      <c r="R148" s="127">
        <f t="shared" si="61"/>
        <v>397756</v>
      </c>
      <c r="S148" s="127">
        <f t="shared" si="61"/>
        <v>1072178</v>
      </c>
      <c r="T148" s="127">
        <f t="shared" si="61"/>
        <v>9800057</v>
      </c>
      <c r="U148" s="127">
        <f t="shared" si="61"/>
        <v>0</v>
      </c>
      <c r="V148" s="127">
        <f t="shared" si="61"/>
        <v>793703.26</v>
      </c>
      <c r="W148" s="127">
        <f t="shared" si="61"/>
        <v>10593760.26</v>
      </c>
      <c r="X148" s="127">
        <f t="shared" si="61"/>
        <v>0</v>
      </c>
      <c r="Y148" s="127">
        <f t="shared" si="61"/>
        <v>0</v>
      </c>
      <c r="Z148" s="127">
        <f t="shared" si="61"/>
        <v>10593760.26</v>
      </c>
      <c r="AA148" s="127">
        <f t="shared" si="61"/>
        <v>714000</v>
      </c>
      <c r="AB148" s="127">
        <f t="shared" si="61"/>
        <v>39000</v>
      </c>
      <c r="AC148" s="127">
        <f t="shared" si="61"/>
        <v>39000</v>
      </c>
      <c r="AD148" s="127">
        <f t="shared" si="61"/>
        <v>18833.88</v>
      </c>
      <c r="AE148" s="127">
        <f t="shared" si="61"/>
        <v>10612594.139999999</v>
      </c>
      <c r="AF148" s="127">
        <f t="shared" si="61"/>
        <v>714000</v>
      </c>
      <c r="AG148" s="127">
        <f t="shared" si="61"/>
        <v>0</v>
      </c>
      <c r="AH148" s="127">
        <f t="shared" si="61"/>
        <v>133504.18</v>
      </c>
      <c r="AI148" s="127">
        <f t="shared" si="61"/>
        <v>847504.1799999999</v>
      </c>
      <c r="AJ148" s="127">
        <f t="shared" si="61"/>
        <v>0</v>
      </c>
      <c r="AK148" s="127">
        <f t="shared" si="61"/>
        <v>0</v>
      </c>
      <c r="AL148" s="127">
        <f t="shared" si="61"/>
        <v>847504.1799999999</v>
      </c>
      <c r="AM148" s="127">
        <f t="shared" si="61"/>
        <v>53140.97</v>
      </c>
      <c r="AN148" s="127">
        <f t="shared" si="61"/>
        <v>900645.1499999999</v>
      </c>
      <c r="AO148" s="127">
        <f t="shared" si="61"/>
        <v>5117460</v>
      </c>
      <c r="AP148" s="127">
        <f t="shared" si="61"/>
        <v>10000</v>
      </c>
      <c r="AQ148" s="127">
        <f t="shared" si="61"/>
        <v>10000</v>
      </c>
      <c r="AR148" s="127">
        <f t="shared" si="61"/>
        <v>5117460</v>
      </c>
      <c r="AS148" s="127">
        <f t="shared" si="61"/>
        <v>0</v>
      </c>
      <c r="AT148" s="127">
        <f t="shared" si="61"/>
        <v>0</v>
      </c>
      <c r="AU148" s="127">
        <f t="shared" si="61"/>
        <v>5117460</v>
      </c>
      <c r="AV148" s="127">
        <f t="shared" si="61"/>
        <v>31500</v>
      </c>
      <c r="AW148" s="127">
        <f t="shared" si="61"/>
        <v>31500</v>
      </c>
      <c r="AX148" s="127">
        <f t="shared" si="61"/>
        <v>5117460</v>
      </c>
      <c r="AY148" s="127">
        <f t="shared" si="61"/>
        <v>26171784.22</v>
      </c>
      <c r="AZ148" s="127">
        <f t="shared" si="61"/>
        <v>22571754.832</v>
      </c>
      <c r="BA148" s="127">
        <f t="shared" si="61"/>
        <v>3600029.3880000003</v>
      </c>
      <c r="BB148" s="128">
        <f>AZ148/AY148</f>
        <v>0.8624461611887766</v>
      </c>
    </row>
    <row r="149" ht="15.75">
      <c r="AY149" s="130"/>
    </row>
    <row r="150" spans="23:51" ht="15.75">
      <c r="W150" s="131"/>
      <c r="X150" s="131"/>
      <c r="Y150" s="131"/>
      <c r="Z150" s="131"/>
      <c r="AH150" s="131"/>
      <c r="AY150" s="130"/>
    </row>
    <row r="151" spans="3:51" ht="15.75"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Y151" s="130"/>
    </row>
    <row r="152" ht="15.75"/>
  </sheetData>
  <sheetProtection/>
  <mergeCells count="48">
    <mergeCell ref="BB6:BB7"/>
    <mergeCell ref="A8:B8"/>
    <mergeCell ref="A31:B31"/>
    <mergeCell ref="A73:B73"/>
    <mergeCell ref="A125:B125"/>
    <mergeCell ref="A131:B131"/>
    <mergeCell ref="Q6:Q7"/>
    <mergeCell ref="R6:S6"/>
    <mergeCell ref="AO6:AO7"/>
    <mergeCell ref="AU6:AU7"/>
    <mergeCell ref="AV6:AW6"/>
    <mergeCell ref="AX6:AX7"/>
    <mergeCell ref="AY6:AY7"/>
    <mergeCell ref="AZ6:AZ7"/>
    <mergeCell ref="BA6:BA7"/>
    <mergeCell ref="AJ6:AK6"/>
    <mergeCell ref="AL6:AL7"/>
    <mergeCell ref="AM6:AM7"/>
    <mergeCell ref="AN6:AN7"/>
    <mergeCell ref="AR6:AR7"/>
    <mergeCell ref="AS6:AT6"/>
    <mergeCell ref="AP6:AQ6"/>
    <mergeCell ref="AB6:AC6"/>
    <mergeCell ref="AD6:AD7"/>
    <mergeCell ref="AE6:AE7"/>
    <mergeCell ref="AF6:AF7"/>
    <mergeCell ref="AG6:AH6"/>
    <mergeCell ref="AI6:AI7"/>
    <mergeCell ref="W6:W7"/>
    <mergeCell ref="X6:Y6"/>
    <mergeCell ref="Z6:Z7"/>
    <mergeCell ref="AA6:AA7"/>
    <mergeCell ref="L6:L7"/>
    <mergeCell ref="M6:M7"/>
    <mergeCell ref="N6:O6"/>
    <mergeCell ref="P6:P7"/>
    <mergeCell ref="T6:T7"/>
    <mergeCell ref="U6:V6"/>
    <mergeCell ref="A1:BB1"/>
    <mergeCell ref="A3:BB3"/>
    <mergeCell ref="A4:AY4"/>
    <mergeCell ref="A6:B6"/>
    <mergeCell ref="C6:C7"/>
    <mergeCell ref="D6:E7"/>
    <mergeCell ref="F6:F7"/>
    <mergeCell ref="G6:H6"/>
    <mergeCell ref="I6:I7"/>
    <mergeCell ref="J6:K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48"/>
  <sheetViews>
    <sheetView zoomScale="66" zoomScaleNormal="66" zoomScalePageLayoutView="0" workbookViewId="0" topLeftCell="A8">
      <selection activeCell="H10" sqref="H10"/>
    </sheetView>
  </sheetViews>
  <sheetFormatPr defaultColWidth="11.421875" defaultRowHeight="15"/>
  <cols>
    <col min="1" max="1" width="11.421875" style="6" customWidth="1"/>
    <col min="2" max="2" width="15.28125" style="6" customWidth="1"/>
    <col min="3" max="3" width="54.28125" style="6" customWidth="1"/>
    <col min="4" max="4" width="27.28125" style="6" customWidth="1"/>
    <col min="5" max="5" width="25.57421875" style="6" customWidth="1"/>
    <col min="6" max="6" width="26.8515625" style="6" customWidth="1"/>
    <col min="7" max="7" width="20.421875" style="6" customWidth="1"/>
    <col min="8" max="8" width="40.421875" style="6" customWidth="1"/>
    <col min="9" max="9" width="18.28125" style="6" customWidth="1"/>
    <col min="10" max="16384" width="11.421875" style="6" customWidth="1"/>
  </cols>
  <sheetData>
    <row r="1" ht="13.5"/>
    <row r="2" ht="13.5"/>
    <row r="3" spans="2:7" ht="15">
      <c r="B3" s="200" t="s">
        <v>139</v>
      </c>
      <c r="C3" s="200"/>
      <c r="D3" s="200"/>
      <c r="E3" s="200"/>
      <c r="F3" s="200"/>
      <c r="G3" s="45"/>
    </row>
    <row r="4" spans="2:7" ht="15">
      <c r="B4" s="18"/>
      <c r="C4" s="205" t="s">
        <v>158</v>
      </c>
      <c r="D4" s="205"/>
      <c r="E4" s="205"/>
      <c r="F4" s="205"/>
      <c r="G4" s="18"/>
    </row>
    <row r="5" spans="2:7" ht="6.75" customHeight="1">
      <c r="B5" s="19"/>
      <c r="C5" s="20"/>
      <c r="D5" s="20"/>
      <c r="E5" s="20"/>
      <c r="F5" s="20"/>
      <c r="G5" s="20"/>
    </row>
    <row r="6" spans="2:7" ht="20.25">
      <c r="B6" s="199" t="s">
        <v>62</v>
      </c>
      <c r="C6" s="199"/>
      <c r="D6" s="199"/>
      <c r="E6" s="199"/>
      <c r="F6" s="199"/>
      <c r="G6" s="44"/>
    </row>
    <row r="7" spans="3:7" ht="13.5">
      <c r="C7" s="7"/>
      <c r="D7" s="7"/>
      <c r="E7" s="7"/>
      <c r="F7" s="7"/>
      <c r="G7" s="7"/>
    </row>
    <row r="8" spans="2:9" ht="18.75" customHeight="1">
      <c r="B8" s="215" t="s">
        <v>30</v>
      </c>
      <c r="C8" s="215"/>
      <c r="D8" s="206" t="s">
        <v>140</v>
      </c>
      <c r="E8" s="206" t="s">
        <v>141</v>
      </c>
      <c r="F8" s="206" t="s">
        <v>68</v>
      </c>
      <c r="G8" s="22"/>
      <c r="H8" s="206" t="s">
        <v>68</v>
      </c>
      <c r="I8" s="206" t="s">
        <v>125</v>
      </c>
    </row>
    <row r="9" spans="2:9" ht="40.5" customHeight="1">
      <c r="B9" s="215"/>
      <c r="C9" s="215"/>
      <c r="D9" s="206"/>
      <c r="E9" s="206"/>
      <c r="F9" s="206"/>
      <c r="G9" s="22"/>
      <c r="H9" s="206"/>
      <c r="I9" s="206"/>
    </row>
    <row r="10" spans="2:9" ht="20.25" customHeight="1">
      <c r="B10" s="201" t="s">
        <v>125</v>
      </c>
      <c r="C10" s="201"/>
      <c r="D10" s="54">
        <f>+CÉDULA!D8</f>
        <v>6745094</v>
      </c>
      <c r="E10" s="54">
        <f>+CÉDULA!D11</f>
        <v>9541084.93</v>
      </c>
      <c r="F10" s="54">
        <v>236525.1</v>
      </c>
      <c r="G10" s="23"/>
      <c r="H10" s="142" t="s">
        <v>268</v>
      </c>
      <c r="I10" s="67">
        <v>236525.1</v>
      </c>
    </row>
    <row r="11" spans="2:9" ht="20.25" customHeight="1">
      <c r="B11" s="201" t="s">
        <v>126</v>
      </c>
      <c r="C11" s="201"/>
      <c r="D11" s="54">
        <f>+CÉDULA!D12</f>
        <v>9300057</v>
      </c>
      <c r="E11" s="54">
        <f>+CÉDULA!D18</f>
        <v>10112594.14</v>
      </c>
      <c r="F11" s="54"/>
      <c r="G11" s="23"/>
      <c r="H11" s="54"/>
      <c r="I11" s="54"/>
    </row>
    <row r="12" spans="2:9" ht="23.25" customHeight="1">
      <c r="B12" s="201" t="s">
        <v>2</v>
      </c>
      <c r="C12" s="201"/>
      <c r="D12" s="54">
        <f>+CÉDULA!D19</f>
        <v>714000</v>
      </c>
      <c r="E12" s="54">
        <f>+CÉDULA!D21</f>
        <v>900645.15</v>
      </c>
      <c r="F12" s="54"/>
      <c r="G12" s="23"/>
      <c r="H12" s="54"/>
      <c r="I12" s="54"/>
    </row>
    <row r="13" spans="2:9" ht="20.25" customHeight="1">
      <c r="B13" s="201" t="s">
        <v>111</v>
      </c>
      <c r="C13" s="201"/>
      <c r="D13" s="54">
        <v>0</v>
      </c>
      <c r="E13" s="54">
        <v>0</v>
      </c>
      <c r="F13" s="54"/>
      <c r="G13" s="23"/>
      <c r="H13" s="54"/>
      <c r="I13" s="54"/>
    </row>
    <row r="14" spans="2:9" ht="16.5">
      <c r="B14" s="202" t="s">
        <v>64</v>
      </c>
      <c r="C14" s="202"/>
      <c r="D14" s="54">
        <f>+CÉDULA!D29</f>
        <v>5117460</v>
      </c>
      <c r="E14" s="54">
        <f>+CÉDULA!D29</f>
        <v>5117460</v>
      </c>
      <c r="F14" s="54"/>
      <c r="G14" s="23"/>
      <c r="H14" s="54"/>
      <c r="I14" s="54"/>
    </row>
    <row r="15" spans="2:9" ht="20.25" customHeight="1">
      <c r="B15" s="214" t="s">
        <v>65</v>
      </c>
      <c r="C15" s="214"/>
      <c r="D15" s="65">
        <f>SUM(D10:D14)</f>
        <v>21876611</v>
      </c>
      <c r="E15" s="65">
        <f>SUM(E10:E14)</f>
        <v>25671784.22</v>
      </c>
      <c r="F15" s="65">
        <f>SUM(F10:F14)</f>
        <v>236525.1</v>
      </c>
      <c r="G15" s="24"/>
      <c r="H15" s="66" t="s">
        <v>3</v>
      </c>
      <c r="I15" s="66">
        <f>SUM(I10:I14)</f>
        <v>236525.1</v>
      </c>
    </row>
    <row r="16" spans="2:9" ht="36" customHeight="1" hidden="1">
      <c r="B16" s="209" t="s">
        <v>31</v>
      </c>
      <c r="C16" s="55" t="s">
        <v>98</v>
      </c>
      <c r="D16" s="56"/>
      <c r="E16" s="57"/>
      <c r="F16" s="56"/>
      <c r="G16" s="23"/>
      <c r="H16" s="10"/>
      <c r="I16" s="34"/>
    </row>
    <row r="17" spans="2:12" ht="58.5" customHeight="1" hidden="1">
      <c r="B17" s="209"/>
      <c r="C17" s="58" t="s">
        <v>110</v>
      </c>
      <c r="D17" s="56"/>
      <c r="E17" s="57"/>
      <c r="F17" s="56"/>
      <c r="G17" s="23"/>
      <c r="H17" s="10"/>
      <c r="I17" s="12"/>
      <c r="J17" s="12"/>
      <c r="K17" s="12"/>
      <c r="L17" s="12"/>
    </row>
    <row r="18" spans="2:12" ht="40.5" customHeight="1">
      <c r="B18" s="209"/>
      <c r="C18" s="55" t="s">
        <v>155</v>
      </c>
      <c r="E18" s="56">
        <v>500000</v>
      </c>
      <c r="F18" s="56"/>
      <c r="G18" s="23"/>
      <c r="H18" s="10"/>
      <c r="I18" s="12"/>
      <c r="J18" s="12"/>
      <c r="K18" s="12"/>
      <c r="L18" s="12"/>
    </row>
    <row r="19" spans="2:12" ht="82.5" customHeight="1" hidden="1">
      <c r="B19" s="209"/>
      <c r="C19" s="58" t="s">
        <v>102</v>
      </c>
      <c r="D19" s="56"/>
      <c r="E19" s="57"/>
      <c r="F19" s="56"/>
      <c r="G19" s="23"/>
      <c r="H19" s="10"/>
      <c r="I19" s="12"/>
      <c r="J19" s="12"/>
      <c r="K19" s="12"/>
      <c r="L19" s="12"/>
    </row>
    <row r="20" spans="2:9" ht="48.75" customHeight="1" hidden="1">
      <c r="B20" s="209"/>
      <c r="C20" s="58" t="s">
        <v>106</v>
      </c>
      <c r="D20" s="56"/>
      <c r="E20" s="57"/>
      <c r="F20" s="56"/>
      <c r="G20" s="23"/>
      <c r="H20" s="10"/>
      <c r="I20" s="8"/>
    </row>
    <row r="21" spans="2:8" ht="21" customHeight="1">
      <c r="B21" s="209"/>
      <c r="C21" s="59" t="s">
        <v>1</v>
      </c>
      <c r="D21" s="60"/>
      <c r="E21" s="61">
        <f>+E18</f>
        <v>500000</v>
      </c>
      <c r="F21" s="60"/>
      <c r="G21" s="23"/>
      <c r="H21" s="10"/>
    </row>
    <row r="22" spans="2:8" ht="48" customHeight="1" thickBot="1">
      <c r="B22" s="210" t="s">
        <v>38</v>
      </c>
      <c r="C22" s="211"/>
      <c r="D22" s="56"/>
      <c r="E22" s="62"/>
      <c r="F22" s="63"/>
      <c r="G22" s="23"/>
      <c r="H22" s="9"/>
    </row>
    <row r="23" spans="2:8" ht="16.5">
      <c r="B23" s="203" t="s">
        <v>66</v>
      </c>
      <c r="C23" s="204"/>
      <c r="D23" s="64">
        <f>+D15+D16+D22+D21</f>
        <v>21876611</v>
      </c>
      <c r="E23" s="64">
        <f>+E15+E16+E22+E21</f>
        <v>26171784.22</v>
      </c>
      <c r="F23" s="64">
        <f>+F15+F16+F22+F21</f>
        <v>236525.1</v>
      </c>
      <c r="G23" s="30"/>
      <c r="H23" s="9"/>
    </row>
    <row r="24" spans="3:8" ht="16.5">
      <c r="C24" s="22"/>
      <c r="D24" s="39"/>
      <c r="E24" s="39"/>
      <c r="F24" s="36"/>
      <c r="G24" s="37"/>
      <c r="H24" s="38"/>
    </row>
    <row r="25" spans="3:9" ht="16.5">
      <c r="C25" s="41"/>
      <c r="D25" s="40"/>
      <c r="E25" s="35"/>
      <c r="F25" s="36"/>
      <c r="G25" s="36"/>
      <c r="H25" s="40"/>
      <c r="I25" s="26"/>
    </row>
    <row r="26" spans="2:7" ht="20.25">
      <c r="B26" s="199" t="s">
        <v>63</v>
      </c>
      <c r="C26" s="199"/>
      <c r="D26" s="199"/>
      <c r="E26" s="199"/>
      <c r="F26" s="199"/>
      <c r="G26" s="199"/>
    </row>
    <row r="27" spans="4:8" ht="17.25" thickBot="1">
      <c r="D27" s="8"/>
      <c r="E27" s="8"/>
      <c r="F27" s="9"/>
      <c r="G27" s="13"/>
      <c r="H27" s="11"/>
    </row>
    <row r="28" spans="2:8" s="68" customFormat="1" ht="21" customHeight="1">
      <c r="B28" s="212" t="s">
        <v>32</v>
      </c>
      <c r="C28" s="212" t="s">
        <v>30</v>
      </c>
      <c r="D28" s="207" t="s">
        <v>141</v>
      </c>
      <c r="E28" s="207" t="s">
        <v>150</v>
      </c>
      <c r="F28" s="207" t="s">
        <v>151</v>
      </c>
      <c r="G28" s="207" t="s">
        <v>142</v>
      </c>
      <c r="H28" s="207" t="s">
        <v>149</v>
      </c>
    </row>
    <row r="29" spans="2:8" s="68" customFormat="1" ht="63" customHeight="1">
      <c r="B29" s="213"/>
      <c r="C29" s="213"/>
      <c r="D29" s="208"/>
      <c r="E29" s="208"/>
      <c r="F29" s="208"/>
      <c r="G29" s="208"/>
      <c r="H29" s="208"/>
    </row>
    <row r="30" spans="2:8" s="68" customFormat="1" ht="17.25" customHeight="1">
      <c r="B30" s="69">
        <v>1000</v>
      </c>
      <c r="C30" s="70" t="s">
        <v>33</v>
      </c>
      <c r="D30" s="71">
        <v>17272619.11</v>
      </c>
      <c r="E30" s="72">
        <v>14637836.92</v>
      </c>
      <c r="F30" s="72">
        <v>0</v>
      </c>
      <c r="G30" s="72">
        <f>+E30+F30</f>
        <v>14637836.92</v>
      </c>
      <c r="H30" s="72">
        <f>+D30-G30</f>
        <v>2634782.1899999995</v>
      </c>
    </row>
    <row r="31" spans="2:8" s="68" customFormat="1" ht="16.5" customHeight="1">
      <c r="B31" s="69">
        <v>2000</v>
      </c>
      <c r="C31" s="70" t="s">
        <v>34</v>
      </c>
      <c r="D31" s="73">
        <v>1966854.18</v>
      </c>
      <c r="E31" s="72">
        <v>1792463.7</v>
      </c>
      <c r="F31" s="72">
        <v>0</v>
      </c>
      <c r="G31" s="72">
        <f>+E31+F31</f>
        <v>1792463.7</v>
      </c>
      <c r="H31" s="72">
        <f>+D31-G31</f>
        <v>174390.47999999998</v>
      </c>
    </row>
    <row r="32" spans="2:8" s="68" customFormat="1" ht="18" customHeight="1">
      <c r="B32" s="69">
        <v>3000</v>
      </c>
      <c r="C32" s="70" t="s">
        <v>35</v>
      </c>
      <c r="D32" s="73">
        <v>4414221</v>
      </c>
      <c r="E32" s="72">
        <f>3981205.31-500000</f>
        <v>3481205.31</v>
      </c>
      <c r="F32" s="72">
        <v>500000</v>
      </c>
      <c r="G32" s="72">
        <f>+E32+F32</f>
        <v>3981205.31</v>
      </c>
      <c r="H32" s="72">
        <f>+D32-G32</f>
        <v>433015.68999999994</v>
      </c>
    </row>
    <row r="33" spans="2:8" s="68" customFormat="1" ht="18" customHeight="1">
      <c r="B33" s="69">
        <v>4000</v>
      </c>
      <c r="C33" s="74" t="s">
        <v>67</v>
      </c>
      <c r="D33" s="73">
        <v>352027.93</v>
      </c>
      <c r="E33" s="72">
        <v>315213.54</v>
      </c>
      <c r="F33" s="72">
        <v>0</v>
      </c>
      <c r="G33" s="72">
        <f>+E33+F33</f>
        <v>315213.54</v>
      </c>
      <c r="H33" s="72">
        <f>+D33-G33</f>
        <v>36814.390000000014</v>
      </c>
    </row>
    <row r="34" spans="2:8" s="68" customFormat="1" ht="18.75" customHeight="1">
      <c r="B34" s="69">
        <v>5000</v>
      </c>
      <c r="C34" s="70" t="s">
        <v>36</v>
      </c>
      <c r="D34" s="73">
        <v>2166062</v>
      </c>
      <c r="E34" s="72">
        <v>1865054.4</v>
      </c>
      <c r="F34" s="72">
        <v>0</v>
      </c>
      <c r="G34" s="72">
        <f>+E34+F34</f>
        <v>1865054.4</v>
      </c>
      <c r="H34" s="72">
        <f>+D34-G34</f>
        <v>301007.6000000001</v>
      </c>
    </row>
    <row r="35" spans="2:8" s="68" customFormat="1" ht="18.75" customHeight="1" thickBot="1">
      <c r="B35" s="75"/>
      <c r="C35" s="76"/>
      <c r="D35" s="77"/>
      <c r="E35" s="77"/>
      <c r="F35" s="77"/>
      <c r="G35" s="77"/>
      <c r="H35" s="77"/>
    </row>
    <row r="36" spans="2:8" s="68" customFormat="1" ht="24" customHeight="1">
      <c r="B36" s="78"/>
      <c r="C36" s="78" t="s">
        <v>37</v>
      </c>
      <c r="D36" s="79">
        <f>SUM(D30:D35)</f>
        <v>26171784.22</v>
      </c>
      <c r="E36" s="79">
        <f>SUM(E30:E35)</f>
        <v>22091773.869999997</v>
      </c>
      <c r="F36" s="79">
        <f>SUM(F30:F35)</f>
        <v>500000</v>
      </c>
      <c r="G36" s="79">
        <f>SUM(G30:G35)</f>
        <v>22591773.869999997</v>
      </c>
      <c r="H36" s="79">
        <f>SUM(H30:H35)</f>
        <v>3580010.3499999996</v>
      </c>
    </row>
    <row r="37" spans="4:7" ht="13.5">
      <c r="D37" s="8"/>
      <c r="E37" s="8"/>
      <c r="F37" s="8"/>
      <c r="G37" s="27"/>
    </row>
    <row r="38" spans="4:8" ht="13.5">
      <c r="D38" s="8"/>
      <c r="E38" s="8"/>
      <c r="F38" s="8"/>
      <c r="G38" s="8"/>
      <c r="H38" s="8"/>
    </row>
    <row r="39" ht="13.5">
      <c r="H39" s="8"/>
    </row>
    <row r="40" ht="13.5">
      <c r="F40" s="8"/>
    </row>
    <row r="41" ht="13.5">
      <c r="F41" s="14"/>
    </row>
    <row r="44" spans="3:7" ht="15">
      <c r="C44" s="31"/>
      <c r="D44"/>
      <c r="E44"/>
      <c r="F44"/>
      <c r="G44"/>
    </row>
    <row r="45" spans="3:8" ht="15">
      <c r="C45" s="32"/>
      <c r="D45"/>
      <c r="E45"/>
      <c r="F45"/>
      <c r="G45" s="33"/>
      <c r="H45" s="27"/>
    </row>
    <row r="46" spans="3:7" ht="15">
      <c r="C46" s="32"/>
      <c r="D46"/>
      <c r="E46"/>
      <c r="F46"/>
      <c r="G46" s="33"/>
    </row>
    <row r="47" spans="3:7" ht="15">
      <c r="C47" s="32"/>
      <c r="D47"/>
      <c r="E47"/>
      <c r="F47"/>
      <c r="G47" s="33"/>
    </row>
    <row r="48" spans="3:7" ht="15">
      <c r="C48" s="32"/>
      <c r="D48"/>
      <c r="E48"/>
      <c r="F48"/>
      <c r="G48" s="33"/>
    </row>
  </sheetData>
  <sheetProtection/>
  <mergeCells count="26">
    <mergeCell ref="H8:H9"/>
    <mergeCell ref="I8:I9"/>
    <mergeCell ref="H28:H29"/>
    <mergeCell ref="G28:G29"/>
    <mergeCell ref="B8:C9"/>
    <mergeCell ref="D8:D9"/>
    <mergeCell ref="E8:E9"/>
    <mergeCell ref="E28:E29"/>
    <mergeCell ref="F28:F29"/>
    <mergeCell ref="B13:C13"/>
    <mergeCell ref="D28:D29"/>
    <mergeCell ref="B16:B21"/>
    <mergeCell ref="B22:C22"/>
    <mergeCell ref="B28:B29"/>
    <mergeCell ref="C28:C29"/>
    <mergeCell ref="B15:C15"/>
    <mergeCell ref="B6:F6"/>
    <mergeCell ref="B3:F3"/>
    <mergeCell ref="B12:C12"/>
    <mergeCell ref="B14:C14"/>
    <mergeCell ref="B10:C10"/>
    <mergeCell ref="B26:G26"/>
    <mergeCell ref="B23:C23"/>
    <mergeCell ref="C4:F4"/>
    <mergeCell ref="B11:C11"/>
    <mergeCell ref="F8:F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X149"/>
  <sheetViews>
    <sheetView zoomScalePageLayoutView="0" workbookViewId="0" topLeftCell="N63">
      <selection activeCell="U94" sqref="U94"/>
    </sheetView>
  </sheetViews>
  <sheetFormatPr defaultColWidth="9.140625" defaultRowHeight="15"/>
  <cols>
    <col min="1" max="1" width="11.421875" style="3" customWidth="1"/>
    <col min="2" max="2" width="47.57421875" style="3" customWidth="1"/>
    <col min="3" max="3" width="17.28125" style="3" customWidth="1"/>
    <col min="4" max="4" width="15.57421875" style="3" hidden="1" customWidth="1"/>
    <col min="5" max="5" width="19.28125" style="3" hidden="1" customWidth="1"/>
    <col min="6" max="7" width="18.140625" style="3" customWidth="1"/>
    <col min="8" max="8" width="16.28125" style="3" customWidth="1"/>
    <col min="9" max="18" width="18.140625" style="3" customWidth="1"/>
    <col min="19" max="19" width="22.57421875" style="3" customWidth="1"/>
    <col min="20" max="21" width="18.140625" style="3" customWidth="1"/>
    <col min="22" max="22" width="19.421875" style="3" customWidth="1"/>
    <col min="23" max="23" width="16.7109375" style="16" customWidth="1"/>
    <col min="24" max="24" width="19.28125" style="3" customWidth="1"/>
    <col min="25" max="25" width="28.00390625" style="3" customWidth="1"/>
    <col min="26" max="16384" width="9.140625" style="3" customWidth="1"/>
  </cols>
  <sheetData>
    <row r="1" ht="15">
      <c r="B1" s="17"/>
    </row>
    <row r="2" spans="1:23" ht="18">
      <c r="A2" s="186" t="s">
        <v>114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</row>
    <row r="3" spans="1:23" ht="18" customHeight="1">
      <c r="A3" s="187" t="s">
        <v>265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</row>
    <row r="4" spans="1:23" ht="18" customHeight="1">
      <c r="A4" s="188" t="s">
        <v>121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ht="12"/>
    <row r="6" spans="1:24" ht="22.5" customHeight="1">
      <c r="A6" s="182" t="s">
        <v>6</v>
      </c>
      <c r="B6" s="182" t="s">
        <v>4</v>
      </c>
      <c r="C6" s="182" t="s">
        <v>152</v>
      </c>
      <c r="D6" s="189" t="s">
        <v>7</v>
      </c>
      <c r="E6" s="189"/>
      <c r="F6" s="182" t="s">
        <v>153</v>
      </c>
      <c r="G6" s="179" t="s">
        <v>2</v>
      </c>
      <c r="H6" s="179" t="s">
        <v>103</v>
      </c>
      <c r="I6" s="183" t="s">
        <v>117</v>
      </c>
      <c r="J6" s="184"/>
      <c r="K6" s="184"/>
      <c r="L6" s="185"/>
      <c r="M6" s="182" t="s">
        <v>67</v>
      </c>
      <c r="N6" s="182"/>
      <c r="O6" s="179" t="s">
        <v>263</v>
      </c>
      <c r="P6" s="179" t="s">
        <v>116</v>
      </c>
      <c r="Q6" s="179" t="s">
        <v>115</v>
      </c>
      <c r="R6" s="179" t="s">
        <v>136</v>
      </c>
      <c r="S6" s="179" t="s">
        <v>138</v>
      </c>
      <c r="T6" s="179" t="s">
        <v>137</v>
      </c>
      <c r="U6" s="182" t="s">
        <v>122</v>
      </c>
      <c r="V6" s="182" t="s">
        <v>118</v>
      </c>
      <c r="W6" s="185" t="s">
        <v>119</v>
      </c>
      <c r="X6" s="185" t="s">
        <v>120</v>
      </c>
    </row>
    <row r="7" spans="1:24" ht="51.75" customHeight="1" thickBot="1">
      <c r="A7" s="182"/>
      <c r="B7" s="182"/>
      <c r="C7" s="182"/>
      <c r="D7" s="21" t="s">
        <v>8</v>
      </c>
      <c r="E7" s="21" t="s">
        <v>9</v>
      </c>
      <c r="F7" s="182"/>
      <c r="G7" s="180"/>
      <c r="H7" s="180"/>
      <c r="I7" s="43" t="s">
        <v>125</v>
      </c>
      <c r="J7" s="43" t="s">
        <v>126</v>
      </c>
      <c r="K7" s="43" t="s">
        <v>127</v>
      </c>
      <c r="L7" s="43" t="s">
        <v>135</v>
      </c>
      <c r="M7" s="43" t="s">
        <v>123</v>
      </c>
      <c r="N7" s="43" t="s">
        <v>124</v>
      </c>
      <c r="O7" s="180"/>
      <c r="P7" s="180"/>
      <c r="Q7" s="180"/>
      <c r="R7" s="180"/>
      <c r="S7" s="180"/>
      <c r="T7" s="180"/>
      <c r="U7" s="182"/>
      <c r="V7" s="182"/>
      <c r="W7" s="185"/>
      <c r="X7" s="185"/>
    </row>
    <row r="8" spans="1:23" ht="15.75">
      <c r="A8" s="178" t="s">
        <v>58</v>
      </c>
      <c r="B8" s="178"/>
      <c r="W8" s="3"/>
    </row>
    <row r="9" spans="1:24" ht="14.25" customHeight="1">
      <c r="A9" s="80">
        <v>1131</v>
      </c>
      <c r="B9" s="81" t="s">
        <v>159</v>
      </c>
      <c r="C9" s="99">
        <f>+'PE-PARTIDA'!C9</f>
        <v>2162631</v>
      </c>
      <c r="D9" s="99"/>
      <c r="E9" s="99"/>
      <c r="F9" s="99">
        <f>+'PE-PARTIDA'!Q9</f>
        <v>4783463</v>
      </c>
      <c r="G9" s="99">
        <f>+'PE-PARTIDA'!AA9</f>
        <v>84398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f>+'PE-PARTIDA'!G9+'PE-PARTIDA'!J9+'PE-PARTIDA'!N9+'PE-PARTIDA'!X9+'PE-PARTIDA'!AJ9+'PE-PARTIDA'!AS9+'PE-PARTIDA'!AV9+'PE-PARTIDA'!AB9+'PE-PARTIDA'!AP9</f>
        <v>31000</v>
      </c>
      <c r="N9" s="99">
        <f>204655+204655</f>
        <v>409310</v>
      </c>
      <c r="O9" s="99">
        <f>+'PE-PARTIDA'!R9</f>
        <v>0</v>
      </c>
      <c r="P9" s="99">
        <f>+'PE-PARTIDA'!S9+'PE-PARTIDA'!V9+'PE-PARTIDA'!AD9</f>
        <v>611189.11</v>
      </c>
      <c r="Q9" s="99">
        <f>+'PE-PARTIDA'!E9+'PE-PARTIDA'!M9</f>
        <v>1470963</v>
      </c>
      <c r="R9" s="99">
        <f>+'PE-PARTIDA'!AH9+'PE-PARTIDA'!AM9</f>
        <v>0</v>
      </c>
      <c r="S9" s="99">
        <v>0</v>
      </c>
      <c r="T9" s="99">
        <v>0</v>
      </c>
      <c r="U9" s="99">
        <f>+C9+F9+G9+N9+P9-O9-M9+Q9+R9+S9+T9+H9+I9+J9+K9+L9</f>
        <v>9490954.11</v>
      </c>
      <c r="V9" s="99">
        <v>8254589.3</v>
      </c>
      <c r="W9" s="133">
        <f>V9/U9</f>
        <v>0.8697322950179137</v>
      </c>
      <c r="X9" s="99">
        <f>+U9-V9</f>
        <v>1236364.8099999996</v>
      </c>
    </row>
    <row r="10" spans="1:24" ht="12.75">
      <c r="A10" s="80">
        <v>1211</v>
      </c>
      <c r="B10" s="81" t="s">
        <v>160</v>
      </c>
      <c r="C10" s="99">
        <f>+'PE-PARTIDA'!C10</f>
        <v>220000</v>
      </c>
      <c r="D10" s="99"/>
      <c r="E10" s="99"/>
      <c r="F10" s="99">
        <f>+'PE-PARTIDA'!Q10</f>
        <v>0</v>
      </c>
      <c r="G10" s="99">
        <f>+'PE-PARTIDA'!AA10</f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f>+'PE-PARTIDA'!G10+'PE-PARTIDA'!J10+'PE-PARTIDA'!N10+'PE-PARTIDA'!X10+'PE-PARTIDA'!AJ10+'PE-PARTIDA'!AS10+'PE-PARTIDA'!AV10+'PE-PARTIDA'!AB10+'PE-PARTIDA'!AP10</f>
        <v>0</v>
      </c>
      <c r="N10" s="99">
        <f>+'PE-PARTIDA'!H10+'PE-PARTIDA'!K10+'PE-PARTIDA'!O10+'PE-PARTIDA'!Y10+'PE-PARTIDA'!AC10+'PE-PARTIDA'!AK10+'PE-PARTIDA'!AT10+'PE-PARTIDA'!AW10+'PE-PARTIDA'!AQ9</f>
        <v>0</v>
      </c>
      <c r="O10" s="99">
        <f>+'PE-PARTIDA'!R10</f>
        <v>0</v>
      </c>
      <c r="P10" s="99">
        <f>+'PE-PARTIDA'!S10+'PE-PARTIDA'!V10+'PE-PARTIDA'!AD10</f>
        <v>0</v>
      </c>
      <c r="Q10" s="99">
        <f>+'PE-PARTIDA'!E10+'PE-PARTIDA'!M10</f>
        <v>0</v>
      </c>
      <c r="R10" s="99">
        <f>+'PE-PARTIDA'!AH10+'PE-PARTIDA'!AM10</f>
        <v>0</v>
      </c>
      <c r="S10" s="99">
        <v>0</v>
      </c>
      <c r="T10" s="99">
        <v>0</v>
      </c>
      <c r="U10" s="99">
        <f aca="true" t="shared" si="0" ref="U10:U29">+C10+F10+G10+N10+P10-O10-M10+Q10+R10+S10+T10+H10+I10+J10+K10+L10</f>
        <v>220000</v>
      </c>
      <c r="V10" s="99">
        <v>76454.51</v>
      </c>
      <c r="W10" s="133">
        <f aca="true" t="shared" si="1" ref="W10:W29">V10/U10</f>
        <v>0.34752049999999995</v>
      </c>
      <c r="X10" s="99">
        <f aca="true" t="shared" si="2" ref="X10:X29">+U10-V10</f>
        <v>143545.49</v>
      </c>
    </row>
    <row r="11" spans="1:24" ht="25.5">
      <c r="A11" s="80">
        <v>1311</v>
      </c>
      <c r="B11" s="81" t="s">
        <v>69</v>
      </c>
      <c r="C11" s="99">
        <f>+'PE-PARTIDA'!C11</f>
        <v>0</v>
      </c>
      <c r="D11" s="99"/>
      <c r="E11" s="99"/>
      <c r="F11" s="99">
        <f>+'PE-PARTIDA'!Q11</f>
        <v>0</v>
      </c>
      <c r="G11" s="99">
        <f>+'PE-PARTIDA'!AA11</f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f>+'PE-PARTIDA'!G11+'PE-PARTIDA'!J11+'PE-PARTIDA'!N11+'PE-PARTIDA'!X11+'PE-PARTIDA'!AJ11+'PE-PARTIDA'!AS11+'PE-PARTIDA'!AV11+'PE-PARTIDA'!AB11+'PE-PARTIDA'!AP11</f>
        <v>0</v>
      </c>
      <c r="N11" s="99">
        <f>+'PE-PARTIDA'!H11+'PE-PARTIDA'!K11+'PE-PARTIDA'!O11+'PE-PARTIDA'!Y11+'PE-PARTIDA'!AC11+'PE-PARTIDA'!AK11+'PE-PARTIDA'!AT11+'PE-PARTIDA'!AW11+'PE-PARTIDA'!AQ10</f>
        <v>0</v>
      </c>
      <c r="O11" s="99">
        <f>+'PE-PARTIDA'!R11</f>
        <v>0</v>
      </c>
      <c r="P11" s="99">
        <f>+'PE-PARTIDA'!S11+'PE-PARTIDA'!V11+'PE-PARTIDA'!AD11</f>
        <v>186198</v>
      </c>
      <c r="Q11" s="99">
        <f>+'PE-PARTIDA'!E11+'PE-PARTIDA'!M11</f>
        <v>0</v>
      </c>
      <c r="R11" s="99">
        <f>+'PE-PARTIDA'!AH11+'PE-PARTIDA'!AM11</f>
        <v>0</v>
      </c>
      <c r="S11" s="99">
        <v>0</v>
      </c>
      <c r="T11" s="99">
        <v>0</v>
      </c>
      <c r="U11" s="99">
        <f t="shared" si="0"/>
        <v>186198</v>
      </c>
      <c r="V11" s="99">
        <v>69800.42</v>
      </c>
      <c r="W11" s="133">
        <f t="shared" si="1"/>
        <v>0.3748720179593766</v>
      </c>
      <c r="X11" s="99">
        <f t="shared" si="2"/>
        <v>116397.58</v>
      </c>
    </row>
    <row r="12" spans="1:24" ht="12.75">
      <c r="A12" s="80">
        <v>1321</v>
      </c>
      <c r="B12" s="81" t="s">
        <v>10</v>
      </c>
      <c r="C12" s="99">
        <f>+'PE-PARTIDA'!C12</f>
        <v>245118</v>
      </c>
      <c r="D12" s="99"/>
      <c r="E12" s="99"/>
      <c r="F12" s="99">
        <f>+'PE-PARTIDA'!Q12</f>
        <v>245118</v>
      </c>
      <c r="G12" s="99">
        <f>+'PE-PARTIDA'!AA12</f>
        <v>6372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f>+'PE-PARTIDA'!G12+'PE-PARTIDA'!J12+'PE-PARTIDA'!N12+'PE-PARTIDA'!X12+'PE-PARTIDA'!AJ12+'PE-PARTIDA'!AS12+'PE-PARTIDA'!AV12+'PE-PARTIDA'!AB12+'PE-PARTIDA'!AP12</f>
        <v>0</v>
      </c>
      <c r="N12" s="99">
        <f>+'PE-PARTIDA'!H12+'PE-PARTIDA'!K12+'PE-PARTIDA'!O12+'PE-PARTIDA'!Y12+'PE-PARTIDA'!AC12+'PE-PARTIDA'!AK12+'PE-PARTIDA'!AT12+'PE-PARTIDA'!AW12+'PE-PARTIDA'!AQ11</f>
        <v>0</v>
      </c>
      <c r="O12" s="99">
        <f>+'PE-PARTIDA'!R12</f>
        <v>0</v>
      </c>
      <c r="P12" s="99">
        <f>+'PE-PARTIDA'!S12+'PE-PARTIDA'!V12+'PE-PARTIDA'!AD12</f>
        <v>11000</v>
      </c>
      <c r="Q12" s="99">
        <f>+'PE-PARTIDA'!E12+'PE-PARTIDA'!M12</f>
        <v>55000</v>
      </c>
      <c r="R12" s="99">
        <f>+'PE-PARTIDA'!AH12+'PE-PARTIDA'!AM12</f>
        <v>0</v>
      </c>
      <c r="S12" s="99">
        <v>0</v>
      </c>
      <c r="T12" s="99">
        <v>0</v>
      </c>
      <c r="U12" s="99">
        <f t="shared" si="0"/>
        <v>562608</v>
      </c>
      <c r="V12" s="99">
        <v>561710.6</v>
      </c>
      <c r="W12" s="133">
        <f t="shared" si="1"/>
        <v>0.9984049284759547</v>
      </c>
      <c r="X12" s="99">
        <f t="shared" si="2"/>
        <v>897.4000000000233</v>
      </c>
    </row>
    <row r="13" spans="1:24" ht="12.75">
      <c r="A13" s="80">
        <v>1322</v>
      </c>
      <c r="B13" s="81" t="s">
        <v>5</v>
      </c>
      <c r="C13" s="99">
        <f>+'PE-PARTIDA'!C13</f>
        <v>597135</v>
      </c>
      <c r="D13" s="99"/>
      <c r="E13" s="99"/>
      <c r="F13" s="99">
        <f>+'PE-PARTIDA'!Q13</f>
        <v>498089</v>
      </c>
      <c r="G13" s="99">
        <f>+'PE-PARTIDA'!AA13</f>
        <v>12191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f>+'PE-PARTIDA'!G13+'PE-PARTIDA'!J13+'PE-PARTIDA'!N13+'PE-PARTIDA'!X13+'PE-PARTIDA'!AJ13+'PE-PARTIDA'!AS13+'PE-PARTIDA'!AV13+'PE-PARTIDA'!AB13+'PE-PARTIDA'!AP13</f>
        <v>0</v>
      </c>
      <c r="N13" s="99">
        <f>+'PE-PARTIDA'!H13+'PE-PARTIDA'!K13+'PE-PARTIDA'!O13+'PE-PARTIDA'!Y13+'PE-PARTIDA'!AC13+'PE-PARTIDA'!AK13+'PE-PARTIDA'!AT13+'PE-PARTIDA'!AW13+'PE-PARTIDA'!AQ12</f>
        <v>0</v>
      </c>
      <c r="O13" s="99">
        <f>+'PE-PARTIDA'!R13</f>
        <v>0</v>
      </c>
      <c r="P13" s="99">
        <f>+'PE-PARTIDA'!S13+'PE-PARTIDA'!V13+'PE-PARTIDA'!AD13</f>
        <v>0</v>
      </c>
      <c r="Q13" s="99">
        <f>+'PE-PARTIDA'!E13+'PE-PARTIDA'!M13</f>
        <v>200000</v>
      </c>
      <c r="R13" s="99">
        <f>+'PE-PARTIDA'!AH13+'PE-PARTIDA'!AM13</f>
        <v>0</v>
      </c>
      <c r="S13" s="99">
        <v>0</v>
      </c>
      <c r="T13" s="99">
        <v>0</v>
      </c>
      <c r="U13" s="99">
        <f t="shared" si="0"/>
        <v>1307415</v>
      </c>
      <c r="V13" s="99">
        <v>1185075.732</v>
      </c>
      <c r="W13" s="133">
        <f t="shared" si="1"/>
        <v>0.9064265990523285</v>
      </c>
      <c r="X13" s="99">
        <f t="shared" si="2"/>
        <v>122339.26799999992</v>
      </c>
    </row>
    <row r="14" spans="1:24" ht="12.75" hidden="1">
      <c r="A14" s="80">
        <v>1343</v>
      </c>
      <c r="B14" s="81" t="s">
        <v>11</v>
      </c>
      <c r="C14" s="99">
        <f>+'PE-PARTIDA'!C14</f>
        <v>0</v>
      </c>
      <c r="D14" s="99"/>
      <c r="E14" s="99"/>
      <c r="F14" s="99">
        <f>+'PE-PARTIDA'!Q14</f>
        <v>0</v>
      </c>
      <c r="G14" s="99">
        <f>+'PE-PARTIDA'!AA14</f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f>+'PE-PARTIDA'!G14+'PE-PARTIDA'!J14+'PE-PARTIDA'!N14+'PE-PARTIDA'!X14+'PE-PARTIDA'!AJ14+'PE-PARTIDA'!AS14+'PE-PARTIDA'!AV14+'PE-PARTIDA'!AB14+'PE-PARTIDA'!AP14</f>
        <v>0</v>
      </c>
      <c r="N14" s="99">
        <f>+'PE-PARTIDA'!H14+'PE-PARTIDA'!K14+'PE-PARTIDA'!O14+'PE-PARTIDA'!Y14+'PE-PARTIDA'!AC14+'PE-PARTIDA'!AK14+'PE-PARTIDA'!AT14+'PE-PARTIDA'!AW14+'PE-PARTIDA'!AQ13</f>
        <v>0</v>
      </c>
      <c r="O14" s="99">
        <f>+'PE-PARTIDA'!R14</f>
        <v>0</v>
      </c>
      <c r="P14" s="99">
        <f>+'PE-PARTIDA'!S14+'PE-PARTIDA'!V14+'PE-PARTIDA'!AD14</f>
        <v>0</v>
      </c>
      <c r="Q14" s="99">
        <f>+'PE-PARTIDA'!E14+'PE-PARTIDA'!M14</f>
        <v>0</v>
      </c>
      <c r="R14" s="99">
        <f>+'PE-PARTIDA'!AH14+'PE-PARTIDA'!AM14</f>
        <v>0</v>
      </c>
      <c r="S14" s="99">
        <v>0</v>
      </c>
      <c r="T14" s="99">
        <v>0</v>
      </c>
      <c r="U14" s="99">
        <f t="shared" si="0"/>
        <v>0</v>
      </c>
      <c r="V14" s="99">
        <v>0</v>
      </c>
      <c r="W14" s="133" t="e">
        <f t="shared" si="1"/>
        <v>#DIV/0!</v>
      </c>
      <c r="X14" s="99">
        <f t="shared" si="2"/>
        <v>0</v>
      </c>
    </row>
    <row r="15" spans="1:24" ht="12.75" hidden="1">
      <c r="A15" s="80">
        <v>1347</v>
      </c>
      <c r="B15" s="81" t="s">
        <v>161</v>
      </c>
      <c r="C15" s="99">
        <f>+'PE-PARTIDA'!C15</f>
        <v>0</v>
      </c>
      <c r="D15" s="99"/>
      <c r="E15" s="99"/>
      <c r="F15" s="99">
        <f>+'PE-PARTIDA'!Q15</f>
        <v>0</v>
      </c>
      <c r="G15" s="99">
        <f>+'PE-PARTIDA'!AA15</f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f>+'PE-PARTIDA'!G15+'PE-PARTIDA'!J15+'PE-PARTIDA'!N15+'PE-PARTIDA'!X15+'PE-PARTIDA'!AJ15+'PE-PARTIDA'!AS15+'PE-PARTIDA'!AV15+'PE-PARTIDA'!AB15+'PE-PARTIDA'!AP15</f>
        <v>0</v>
      </c>
      <c r="N15" s="99">
        <f>+'PE-PARTIDA'!H15+'PE-PARTIDA'!K15+'PE-PARTIDA'!O15+'PE-PARTIDA'!Y15+'PE-PARTIDA'!AC15+'PE-PARTIDA'!AK15+'PE-PARTIDA'!AT15+'PE-PARTIDA'!AW15+'PE-PARTIDA'!AQ14</f>
        <v>0</v>
      </c>
      <c r="O15" s="99">
        <f>+'PE-PARTIDA'!R15</f>
        <v>0</v>
      </c>
      <c r="P15" s="99">
        <f>+'PE-PARTIDA'!S15+'PE-PARTIDA'!V15+'PE-PARTIDA'!AD15</f>
        <v>0</v>
      </c>
      <c r="Q15" s="99">
        <f>+'PE-PARTIDA'!E15+'PE-PARTIDA'!M15</f>
        <v>0</v>
      </c>
      <c r="R15" s="99">
        <f>+'PE-PARTIDA'!AH15+'PE-PARTIDA'!AM15</f>
        <v>0</v>
      </c>
      <c r="S15" s="99">
        <v>0</v>
      </c>
      <c r="T15" s="99">
        <v>0</v>
      </c>
      <c r="U15" s="99">
        <f t="shared" si="0"/>
        <v>0</v>
      </c>
      <c r="V15" s="99">
        <v>0</v>
      </c>
      <c r="W15" s="133" t="e">
        <f t="shared" si="1"/>
        <v>#DIV/0!</v>
      </c>
      <c r="X15" s="99">
        <f t="shared" si="2"/>
        <v>0</v>
      </c>
    </row>
    <row r="16" spans="1:24" ht="12.75">
      <c r="A16" s="80">
        <v>1411</v>
      </c>
      <c r="B16" s="81" t="s">
        <v>162</v>
      </c>
      <c r="C16" s="99">
        <f>+'PE-PARTIDA'!C16</f>
        <v>250383</v>
      </c>
      <c r="D16" s="99"/>
      <c r="E16" s="99"/>
      <c r="F16" s="99">
        <f>+'PE-PARTIDA'!Q16</f>
        <v>250383</v>
      </c>
      <c r="G16" s="99">
        <f>+'PE-PARTIDA'!AA16</f>
        <v>8771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f>+'PE-PARTIDA'!G16+'PE-PARTIDA'!J16+'PE-PARTIDA'!N16+'PE-PARTIDA'!X16+'PE-PARTIDA'!AJ16+'PE-PARTIDA'!AS16+'PE-PARTIDA'!AV16+'PE-PARTIDA'!AB16+'PE-PARTIDA'!AP16</f>
        <v>0</v>
      </c>
      <c r="N16" s="99">
        <f>+'PE-PARTIDA'!H16+'PE-PARTIDA'!K16+'PE-PARTIDA'!O16+'PE-PARTIDA'!Y16+'PE-PARTIDA'!AC16+'PE-PARTIDA'!AK16+'PE-PARTIDA'!AT16+'PE-PARTIDA'!AW16+'PE-PARTIDA'!AQ15</f>
        <v>0</v>
      </c>
      <c r="O16" s="99">
        <f>+'PE-PARTIDA'!R16</f>
        <v>0</v>
      </c>
      <c r="P16" s="99">
        <f>+'PE-PARTIDA'!S16+'PE-PARTIDA'!V16+'PE-PARTIDA'!AD16</f>
        <v>25000</v>
      </c>
      <c r="Q16" s="99">
        <f>+'PE-PARTIDA'!E16+'PE-PARTIDA'!M16</f>
        <v>25000</v>
      </c>
      <c r="R16" s="99">
        <f>+'PE-PARTIDA'!AH16+'PE-PARTIDA'!AM16</f>
        <v>0</v>
      </c>
      <c r="S16" s="99">
        <v>0</v>
      </c>
      <c r="T16" s="99">
        <v>0</v>
      </c>
      <c r="U16" s="99">
        <f t="shared" si="0"/>
        <v>559537</v>
      </c>
      <c r="V16" s="99">
        <v>507730.49</v>
      </c>
      <c r="W16" s="133">
        <f t="shared" si="1"/>
        <v>0.9074118244191179</v>
      </c>
      <c r="X16" s="99">
        <f t="shared" si="2"/>
        <v>51806.51000000001</v>
      </c>
    </row>
    <row r="17" spans="1:24" ht="12.75">
      <c r="A17" s="80">
        <v>1421</v>
      </c>
      <c r="B17" s="81" t="s">
        <v>12</v>
      </c>
      <c r="C17" s="99">
        <f>+'PE-PARTIDA'!C17</f>
        <v>110099</v>
      </c>
      <c r="D17" s="99"/>
      <c r="E17" s="99"/>
      <c r="F17" s="99">
        <f>+'PE-PARTIDA'!Q17</f>
        <v>110099</v>
      </c>
      <c r="G17" s="99">
        <f>+'PE-PARTIDA'!AA17</f>
        <v>2918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f>+'PE-PARTIDA'!G17+'PE-PARTIDA'!J17+'PE-PARTIDA'!N17+'PE-PARTIDA'!X17+'PE-PARTIDA'!AJ17+'PE-PARTIDA'!AS17+'PE-PARTIDA'!AV17+'PE-PARTIDA'!AB17+'PE-PARTIDA'!AP17</f>
        <v>0</v>
      </c>
      <c r="N17" s="99">
        <f>+'PE-PARTIDA'!H17+'PE-PARTIDA'!K17+'PE-PARTIDA'!O17+'PE-PARTIDA'!Y17+'PE-PARTIDA'!AC17+'PE-PARTIDA'!AK17+'PE-PARTIDA'!AT17+'PE-PARTIDA'!AW17+'PE-PARTIDA'!AQ16</f>
        <v>0</v>
      </c>
      <c r="O17" s="99">
        <f>+'PE-PARTIDA'!R17</f>
        <v>0</v>
      </c>
      <c r="P17" s="99">
        <f>+'PE-PARTIDA'!S17+'PE-PARTIDA'!V17+'PE-PARTIDA'!AD17</f>
        <v>12000</v>
      </c>
      <c r="Q17" s="99">
        <f>+'PE-PARTIDA'!E17+'PE-PARTIDA'!M17</f>
        <v>25000</v>
      </c>
      <c r="R17" s="99">
        <f>+'PE-PARTIDA'!AH17+'PE-PARTIDA'!AM17</f>
        <v>0</v>
      </c>
      <c r="S17" s="99">
        <v>0</v>
      </c>
      <c r="T17" s="99">
        <v>0</v>
      </c>
      <c r="U17" s="99">
        <f t="shared" si="0"/>
        <v>260116</v>
      </c>
      <c r="V17" s="99">
        <v>260116</v>
      </c>
      <c r="W17" s="133">
        <f t="shared" si="1"/>
        <v>1</v>
      </c>
      <c r="X17" s="99">
        <f t="shared" si="2"/>
        <v>0</v>
      </c>
    </row>
    <row r="18" spans="1:24" ht="12.75">
      <c r="A18" s="80">
        <v>1431</v>
      </c>
      <c r="B18" s="81" t="s">
        <v>70</v>
      </c>
      <c r="C18" s="99">
        <f>+'PE-PARTIDA'!C18</f>
        <v>496808</v>
      </c>
      <c r="D18" s="99"/>
      <c r="E18" s="99"/>
      <c r="F18" s="99">
        <f>+'PE-PARTIDA'!Q18</f>
        <v>496808</v>
      </c>
      <c r="G18" s="99">
        <f>+'PE-PARTIDA'!AA18</f>
        <v>11474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f>+'PE-PARTIDA'!G18+'PE-PARTIDA'!J18+'PE-PARTIDA'!N18+'PE-PARTIDA'!X18+'PE-PARTIDA'!AJ18+'PE-PARTIDA'!AS18+'PE-PARTIDA'!AV18+'PE-PARTIDA'!AB18+'PE-PARTIDA'!AP18</f>
        <v>0</v>
      </c>
      <c r="N18" s="99">
        <f>+'PE-PARTIDA'!H18+'PE-PARTIDA'!K18+'PE-PARTIDA'!O18+'PE-PARTIDA'!Y18+'PE-PARTIDA'!AC18+'PE-PARTIDA'!AK18+'PE-PARTIDA'!AT18+'PE-PARTIDA'!AW18+'PE-PARTIDA'!AQ17</f>
        <v>0</v>
      </c>
      <c r="O18" s="99">
        <f>+'PE-PARTIDA'!R18</f>
        <v>0</v>
      </c>
      <c r="P18" s="99">
        <f>+'PE-PARTIDA'!S18+'PE-PARTIDA'!V18+'PE-PARTIDA'!AD18</f>
        <v>25000</v>
      </c>
      <c r="Q18" s="99">
        <f>+'PE-PARTIDA'!E18+'PE-PARTIDA'!M18</f>
        <v>160000</v>
      </c>
      <c r="R18" s="99">
        <f>+'PE-PARTIDA'!AH18+'PE-PARTIDA'!AM18</f>
        <v>0</v>
      </c>
      <c r="S18" s="99">
        <v>0</v>
      </c>
      <c r="T18" s="99">
        <v>0</v>
      </c>
      <c r="U18" s="99">
        <f t="shared" si="0"/>
        <v>1190090</v>
      </c>
      <c r="V18" s="99">
        <v>1153922.1400000001</v>
      </c>
      <c r="W18" s="133">
        <f t="shared" si="1"/>
        <v>0.9696091388046283</v>
      </c>
      <c r="X18" s="99">
        <f t="shared" si="2"/>
        <v>36167.85999999987</v>
      </c>
    </row>
    <row r="19" spans="1:24" ht="12.75">
      <c r="A19" s="80">
        <v>1432</v>
      </c>
      <c r="B19" s="81" t="s">
        <v>163</v>
      </c>
      <c r="C19" s="99">
        <f>+'PE-PARTIDA'!C19</f>
        <v>97589</v>
      </c>
      <c r="D19" s="99"/>
      <c r="E19" s="99"/>
      <c r="F19" s="99">
        <f>+'PE-PARTIDA'!Q19</f>
        <v>97589</v>
      </c>
      <c r="G19" s="99">
        <f>+'PE-PARTIDA'!AA19</f>
        <v>2112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f>+'PE-PARTIDA'!G19+'PE-PARTIDA'!J19+'PE-PARTIDA'!N19+'PE-PARTIDA'!X19+'PE-PARTIDA'!AJ19+'PE-PARTIDA'!AS19+'PE-PARTIDA'!AV19+'PE-PARTIDA'!AB19+'PE-PARTIDA'!AP19</f>
        <v>0</v>
      </c>
      <c r="N19" s="99">
        <f>+'PE-PARTIDA'!H19+'PE-PARTIDA'!K19+'PE-PARTIDA'!O19+'PE-PARTIDA'!Y19+'PE-PARTIDA'!AC19+'PE-PARTIDA'!AK19+'PE-PARTIDA'!AT19+'PE-PARTIDA'!AW19+'PE-PARTIDA'!AQ18</f>
        <v>0</v>
      </c>
      <c r="O19" s="99">
        <f>+'PE-PARTIDA'!R19</f>
        <v>0</v>
      </c>
      <c r="P19" s="99">
        <f>+'PE-PARTIDA'!S19+'PE-PARTIDA'!V19+'PE-PARTIDA'!AD19</f>
        <v>10000</v>
      </c>
      <c r="Q19" s="99">
        <f>+'PE-PARTIDA'!E19+'PE-PARTIDA'!M19</f>
        <v>25000</v>
      </c>
      <c r="R19" s="99">
        <f>+'PE-PARTIDA'!AH19+'PE-PARTIDA'!AM19</f>
        <v>0</v>
      </c>
      <c r="S19" s="99">
        <v>0</v>
      </c>
      <c r="T19" s="99">
        <v>0</v>
      </c>
      <c r="U19" s="99">
        <f t="shared" si="0"/>
        <v>232290</v>
      </c>
      <c r="V19" s="99">
        <v>159815.83999999997</v>
      </c>
      <c r="W19" s="133">
        <f t="shared" si="1"/>
        <v>0.6880013775883592</v>
      </c>
      <c r="X19" s="99">
        <f t="shared" si="2"/>
        <v>72474.16000000003</v>
      </c>
    </row>
    <row r="20" spans="1:24" ht="12.75">
      <c r="A20" s="80">
        <v>1521</v>
      </c>
      <c r="B20" s="81" t="s">
        <v>164</v>
      </c>
      <c r="C20" s="99">
        <f>+'PE-PARTIDA'!C20</f>
        <v>100000</v>
      </c>
      <c r="D20" s="99"/>
      <c r="E20" s="99"/>
      <c r="F20" s="99">
        <f>+'PE-PARTIDA'!Q20</f>
        <v>0</v>
      </c>
      <c r="G20" s="99">
        <f>+'PE-PARTIDA'!AA20</f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f>+'PE-PARTIDA'!G20+'PE-PARTIDA'!J20+'PE-PARTIDA'!N20+'PE-PARTIDA'!X20+'PE-PARTIDA'!AJ20+'PE-PARTIDA'!AS20+'PE-PARTIDA'!AV20+'PE-PARTIDA'!AB20+'PE-PARTIDA'!AP20</f>
        <v>0</v>
      </c>
      <c r="N20" s="99">
        <f>+'PE-PARTIDA'!H20+'PE-PARTIDA'!K20+'PE-PARTIDA'!O20+'PE-PARTIDA'!Y20+'PE-PARTIDA'!AC20+'PE-PARTIDA'!AK20+'PE-PARTIDA'!AT20+'PE-PARTIDA'!AW20+'PE-PARTIDA'!AQ19</f>
        <v>0</v>
      </c>
      <c r="O20" s="99">
        <f>+'PE-PARTIDA'!R20</f>
        <v>0</v>
      </c>
      <c r="P20" s="99">
        <f>+'PE-PARTIDA'!S20+'PE-PARTIDA'!V20+'PE-PARTIDA'!AD20</f>
        <v>0</v>
      </c>
      <c r="Q20" s="99">
        <f>+'PE-PARTIDA'!E20+'PE-PARTIDA'!M20</f>
        <v>0</v>
      </c>
      <c r="R20" s="99">
        <f>+'PE-PARTIDA'!AH20+'PE-PARTIDA'!AM20</f>
        <v>0</v>
      </c>
      <c r="S20" s="99">
        <v>0</v>
      </c>
      <c r="T20" s="99">
        <v>0</v>
      </c>
      <c r="U20" s="99">
        <f t="shared" si="0"/>
        <v>100000</v>
      </c>
      <c r="V20" s="99">
        <v>25741.41</v>
      </c>
      <c r="W20" s="133">
        <f t="shared" si="1"/>
        <v>0.2574141</v>
      </c>
      <c r="X20" s="99">
        <f t="shared" si="2"/>
        <v>74258.59</v>
      </c>
    </row>
    <row r="21" spans="1:24" ht="12.75">
      <c r="A21" s="80">
        <v>1543</v>
      </c>
      <c r="B21" s="81" t="s">
        <v>165</v>
      </c>
      <c r="C21" s="99">
        <f>+'PE-PARTIDA'!C21</f>
        <v>166289</v>
      </c>
      <c r="D21" s="99"/>
      <c r="E21" s="99"/>
      <c r="F21" s="99">
        <f>+'PE-PARTIDA'!Q21</f>
        <v>166289</v>
      </c>
      <c r="G21" s="99">
        <f>+'PE-PARTIDA'!AA21</f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f>+'PE-PARTIDA'!G21+'PE-PARTIDA'!J21+'PE-PARTIDA'!N21+'PE-PARTIDA'!X21+'PE-PARTIDA'!AJ21+'PE-PARTIDA'!AS21+'PE-PARTIDA'!AV21+'PE-PARTIDA'!AB21+'PE-PARTIDA'!AP21</f>
        <v>10000</v>
      </c>
      <c r="N21" s="99">
        <f>+'PE-PARTIDA'!H21+'PE-PARTIDA'!K21+'PE-PARTIDA'!O21+'PE-PARTIDA'!Y21+'PE-PARTIDA'!AC21+'PE-PARTIDA'!AK21+'PE-PARTIDA'!AT21+'PE-PARTIDA'!AW21+'PE-PARTIDA'!AQ20</f>
        <v>0</v>
      </c>
      <c r="O21" s="99">
        <f>+'PE-PARTIDA'!R21</f>
        <v>0</v>
      </c>
      <c r="P21" s="99">
        <f>+'PE-PARTIDA'!S21+'PE-PARTIDA'!V21+'PE-PARTIDA'!AD21</f>
        <v>129121</v>
      </c>
      <c r="Q21" s="99">
        <f>+'PE-PARTIDA'!E21+'PE-PARTIDA'!M21</f>
        <v>0</v>
      </c>
      <c r="R21" s="99">
        <f>+'PE-PARTIDA'!AH21+'PE-PARTIDA'!AM21</f>
        <v>0</v>
      </c>
      <c r="S21" s="99">
        <v>0</v>
      </c>
      <c r="T21" s="99">
        <v>0</v>
      </c>
      <c r="U21" s="99">
        <f t="shared" si="0"/>
        <v>451699</v>
      </c>
      <c r="V21" s="99">
        <v>5478.16</v>
      </c>
      <c r="W21" s="133">
        <f t="shared" si="1"/>
        <v>0.012127899331191789</v>
      </c>
      <c r="X21" s="99">
        <f t="shared" si="2"/>
        <v>446220.84</v>
      </c>
    </row>
    <row r="22" spans="1:24" ht="12.75">
      <c r="A22" s="80">
        <v>1544</v>
      </c>
      <c r="B22" s="81" t="s">
        <v>166</v>
      </c>
      <c r="C22" s="99">
        <f>+'PE-PARTIDA'!C22</f>
        <v>294200</v>
      </c>
      <c r="D22" s="99"/>
      <c r="E22" s="99"/>
      <c r="F22" s="99">
        <f>+'PE-PARTIDA'!Q22</f>
        <v>0</v>
      </c>
      <c r="G22" s="99">
        <f>+'PE-PARTIDA'!AA22</f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f>+'PE-PARTIDA'!G22+'PE-PARTIDA'!J22+'PE-PARTIDA'!N22+'PE-PARTIDA'!X22+'PE-PARTIDA'!AJ22+'PE-PARTIDA'!AS22+'PE-PARTIDA'!AV22+'PE-PARTIDA'!AB22+'PE-PARTIDA'!AP22</f>
        <v>0</v>
      </c>
      <c r="N22" s="99">
        <f>+'PE-PARTIDA'!H22+'PE-PARTIDA'!K22+'PE-PARTIDA'!O22+'PE-PARTIDA'!Y22+'PE-PARTIDA'!AC22+'PE-PARTIDA'!AK22+'PE-PARTIDA'!AT22+'PE-PARTIDA'!AW22+'PE-PARTIDA'!AQ21</f>
        <v>0</v>
      </c>
      <c r="O22" s="99">
        <f>+'PE-PARTIDA'!R22</f>
        <v>0</v>
      </c>
      <c r="P22" s="99">
        <f>+'PE-PARTIDA'!S22+'PE-PARTIDA'!V22+'PE-PARTIDA'!AD22</f>
        <v>0</v>
      </c>
      <c r="Q22" s="99">
        <f>+'PE-PARTIDA'!E22+'PE-PARTIDA'!M22</f>
        <v>0</v>
      </c>
      <c r="R22" s="99">
        <f>+'PE-PARTIDA'!AH22+'PE-PARTIDA'!AM22</f>
        <v>0</v>
      </c>
      <c r="S22" s="99">
        <v>0</v>
      </c>
      <c r="T22" s="99">
        <v>0</v>
      </c>
      <c r="U22" s="99">
        <f t="shared" si="0"/>
        <v>294200</v>
      </c>
      <c r="V22" s="99">
        <v>221903.85</v>
      </c>
      <c r="W22" s="133">
        <f t="shared" si="1"/>
        <v>0.7542618966689327</v>
      </c>
      <c r="X22" s="99">
        <f t="shared" si="2"/>
        <v>72296.15</v>
      </c>
    </row>
    <row r="23" spans="1:24" ht="25.5">
      <c r="A23" s="80">
        <v>1551</v>
      </c>
      <c r="B23" s="81" t="s">
        <v>167</v>
      </c>
      <c r="C23" s="99">
        <f>+'PE-PARTIDA'!C23</f>
        <v>91606</v>
      </c>
      <c r="D23" s="99"/>
      <c r="E23" s="99"/>
      <c r="F23" s="99">
        <f>+'PE-PARTIDA'!Q23</f>
        <v>91906</v>
      </c>
      <c r="G23" s="99">
        <f>+'PE-PARTIDA'!AA23</f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f>+'PE-PARTIDA'!G23+'PE-PARTIDA'!J23+'PE-PARTIDA'!N23+'PE-PARTIDA'!X23+'PE-PARTIDA'!AJ23+'PE-PARTIDA'!AS23+'PE-PARTIDA'!AV23+'PE-PARTIDA'!AB23+'PE-PARTIDA'!AP23</f>
        <v>8000</v>
      </c>
      <c r="N23" s="99">
        <f>+'PE-PARTIDA'!H23+'PE-PARTIDA'!K23+'PE-PARTIDA'!O23+'PE-PARTIDA'!Y23+'PE-PARTIDA'!AC23+'PE-PARTIDA'!AK23+'PE-PARTIDA'!AT23+'PE-PARTIDA'!AW23+'PE-PARTIDA'!AQ22</f>
        <v>0</v>
      </c>
      <c r="O23" s="99">
        <f>+'PE-PARTIDA'!R23</f>
        <v>0</v>
      </c>
      <c r="P23" s="99">
        <f>+'PE-PARTIDA'!S23+'PE-PARTIDA'!V23+'PE-PARTIDA'!AD23</f>
        <v>0</v>
      </c>
      <c r="Q23" s="99">
        <f>+'PE-PARTIDA'!E23+'PE-PARTIDA'!M23</f>
        <v>0</v>
      </c>
      <c r="R23" s="99">
        <f>+'PE-PARTIDA'!AH23+'PE-PARTIDA'!AM23</f>
        <v>0</v>
      </c>
      <c r="S23" s="99">
        <v>0</v>
      </c>
      <c r="T23" s="99">
        <v>0</v>
      </c>
      <c r="U23" s="99">
        <f t="shared" si="0"/>
        <v>175512</v>
      </c>
      <c r="V23" s="99">
        <v>0</v>
      </c>
      <c r="W23" s="133">
        <f t="shared" si="1"/>
        <v>0</v>
      </c>
      <c r="X23" s="99">
        <f t="shared" si="2"/>
        <v>175512</v>
      </c>
    </row>
    <row r="24" spans="1:24" ht="12.75" hidden="1">
      <c r="A24" s="80">
        <v>1611</v>
      </c>
      <c r="B24" s="81" t="s">
        <v>168</v>
      </c>
      <c r="C24" s="99">
        <f>+'PE-PARTIDA'!C24</f>
        <v>204655</v>
      </c>
      <c r="D24" s="99"/>
      <c r="E24" s="99"/>
      <c r="F24" s="99">
        <f>+'PE-PARTIDA'!Q24</f>
        <v>204655</v>
      </c>
      <c r="G24" s="99">
        <f>+'PE-PARTIDA'!AA24</f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f>204655+204655</f>
        <v>409310</v>
      </c>
      <c r="N24" s="99">
        <f>+'PE-PARTIDA'!H24+'PE-PARTIDA'!K24+'PE-PARTIDA'!O24+'PE-PARTIDA'!Y24+'PE-PARTIDA'!AC24+'PE-PARTIDA'!AK24+'PE-PARTIDA'!AT24+'PE-PARTIDA'!AW24+'PE-PARTIDA'!AQ23</f>
        <v>0</v>
      </c>
      <c r="O24" s="99">
        <f>+'PE-PARTIDA'!R24</f>
        <v>0</v>
      </c>
      <c r="P24" s="99">
        <f>+'PE-PARTIDA'!S24+'PE-PARTIDA'!V24+'PE-PARTIDA'!AD24</f>
        <v>0</v>
      </c>
      <c r="Q24" s="99">
        <f>+'PE-PARTIDA'!E24+'PE-PARTIDA'!M24</f>
        <v>0</v>
      </c>
      <c r="R24" s="99">
        <f>+'PE-PARTIDA'!AH24+'PE-PARTIDA'!AM24</f>
        <v>0</v>
      </c>
      <c r="S24" s="99">
        <v>0</v>
      </c>
      <c r="T24" s="99">
        <v>0</v>
      </c>
      <c r="U24" s="99">
        <f t="shared" si="0"/>
        <v>0</v>
      </c>
      <c r="V24" s="99">
        <v>0</v>
      </c>
      <c r="W24" s="133">
        <v>0</v>
      </c>
      <c r="X24" s="99">
        <f t="shared" si="2"/>
        <v>0</v>
      </c>
    </row>
    <row r="25" spans="1:24" ht="12.75">
      <c r="A25" s="80">
        <v>1712</v>
      </c>
      <c r="B25" s="81" t="s">
        <v>13</v>
      </c>
      <c r="C25" s="99">
        <f>+'PE-PARTIDA'!C25</f>
        <v>322954</v>
      </c>
      <c r="D25" s="99"/>
      <c r="E25" s="99"/>
      <c r="F25" s="99">
        <f>+'PE-PARTIDA'!Q25</f>
        <v>322954</v>
      </c>
      <c r="G25" s="99">
        <f>+'PE-PARTIDA'!AA25</f>
        <v>5126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f>+'PE-PARTIDA'!G25+'PE-PARTIDA'!J25+'PE-PARTIDA'!N25+'PE-PARTIDA'!X25+'PE-PARTIDA'!AJ25+'PE-PARTIDA'!AS25+'PE-PARTIDA'!AV25+'PE-PARTIDA'!AB25+'PE-PARTIDA'!AP25</f>
        <v>30000</v>
      </c>
      <c r="N25" s="99">
        <f>+'PE-PARTIDA'!H25+'PE-PARTIDA'!K25+'PE-PARTIDA'!O25+'PE-PARTIDA'!Y25+'PE-PARTIDA'!AC25+'PE-PARTIDA'!AK25+'PE-PARTIDA'!AT25+'PE-PARTIDA'!AW25+'PE-PARTIDA'!AQ24</f>
        <v>0</v>
      </c>
      <c r="O25" s="99">
        <f>+'PE-PARTIDA'!R25</f>
        <v>0</v>
      </c>
      <c r="P25" s="99">
        <f>+'PE-PARTIDA'!S25+'PE-PARTIDA'!V25+'PE-PARTIDA'!AD25</f>
        <v>107933</v>
      </c>
      <c r="Q25" s="99">
        <f>+'PE-PARTIDA'!E25+'PE-PARTIDA'!M25</f>
        <v>350000</v>
      </c>
      <c r="R25" s="99">
        <f>+'PE-PARTIDA'!AH25+'PE-PARTIDA'!AM25</f>
        <v>0</v>
      </c>
      <c r="S25" s="99">
        <v>0</v>
      </c>
      <c r="T25" s="99">
        <v>0</v>
      </c>
      <c r="U25" s="99">
        <f t="shared" si="0"/>
        <v>1078967</v>
      </c>
      <c r="V25" s="99">
        <v>998207.1699999999</v>
      </c>
      <c r="W25" s="133">
        <f t="shared" si="1"/>
        <v>0.9251507877442035</v>
      </c>
      <c r="X25" s="99">
        <f t="shared" si="2"/>
        <v>80759.83000000007</v>
      </c>
    </row>
    <row r="26" spans="1:24" ht="12.75">
      <c r="A26" s="80">
        <v>1713</v>
      </c>
      <c r="B26" s="81" t="s">
        <v>169</v>
      </c>
      <c r="C26" s="99">
        <f>+'PE-PARTIDA'!C26</f>
        <v>17200</v>
      </c>
      <c r="D26" s="99"/>
      <c r="E26" s="99"/>
      <c r="F26" s="99">
        <f>+'PE-PARTIDA'!Q26</f>
        <v>0</v>
      </c>
      <c r="G26" s="99">
        <f>+'PE-PARTIDA'!AA26</f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f>+'PE-PARTIDA'!G26+'PE-PARTIDA'!J26+'PE-PARTIDA'!N26+'PE-PARTIDA'!X26+'PE-PARTIDA'!AJ26+'PE-PARTIDA'!AS26+'PE-PARTIDA'!AV26+'PE-PARTIDA'!AB26+'PE-PARTIDA'!AP26</f>
        <v>0</v>
      </c>
      <c r="N26" s="99">
        <f>+'PE-PARTIDA'!H26+'PE-PARTIDA'!K26+'PE-PARTIDA'!O26+'PE-PARTIDA'!Y26+'PE-PARTIDA'!AC26+'PE-PARTIDA'!AK26+'PE-PARTIDA'!AT26+'PE-PARTIDA'!AW26+'PE-PARTIDA'!AQ25</f>
        <v>0</v>
      </c>
      <c r="O26" s="99">
        <f>+'PE-PARTIDA'!R26</f>
        <v>0</v>
      </c>
      <c r="P26" s="99">
        <f>+'PE-PARTIDA'!S26+'PE-PARTIDA'!V26+'PE-PARTIDA'!AD26</f>
        <v>0</v>
      </c>
      <c r="Q26" s="99">
        <f>+'PE-PARTIDA'!E26+'PE-PARTIDA'!M26</f>
        <v>0</v>
      </c>
      <c r="R26" s="99">
        <f>+'PE-PARTIDA'!AH26+'PE-PARTIDA'!AM26</f>
        <v>0</v>
      </c>
      <c r="S26" s="99">
        <v>0</v>
      </c>
      <c r="T26" s="99">
        <v>0</v>
      </c>
      <c r="U26" s="99">
        <f t="shared" si="0"/>
        <v>17200</v>
      </c>
      <c r="V26" s="99">
        <v>16512</v>
      </c>
      <c r="W26" s="133">
        <f t="shared" si="1"/>
        <v>0.96</v>
      </c>
      <c r="X26" s="99">
        <f t="shared" si="2"/>
        <v>688</v>
      </c>
    </row>
    <row r="27" spans="1:24" ht="12.75">
      <c r="A27" s="80">
        <v>1715</v>
      </c>
      <c r="B27" s="81" t="s">
        <v>170</v>
      </c>
      <c r="C27" s="99">
        <f>+'PE-PARTIDA'!C27</f>
        <v>200000</v>
      </c>
      <c r="D27" s="99"/>
      <c r="E27" s="99"/>
      <c r="F27" s="99">
        <f>+'PE-PARTIDA'!Q27</f>
        <v>0</v>
      </c>
      <c r="G27" s="99">
        <f>+'PE-PARTIDA'!AA27</f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f>+'PE-PARTIDA'!G27+'PE-PARTIDA'!J27+'PE-PARTIDA'!N27+'PE-PARTIDA'!X27+'PE-PARTIDA'!AJ27+'PE-PARTIDA'!AS27+'PE-PARTIDA'!AV27+'PE-PARTIDA'!AB27+'PE-PARTIDA'!AP27</f>
        <v>0</v>
      </c>
      <c r="N27" s="99">
        <f>+'PE-PARTIDA'!H27+'PE-PARTIDA'!K27+'PE-PARTIDA'!O27+'PE-PARTIDA'!Y27+'PE-PARTIDA'!AC27+'PE-PARTIDA'!AK27+'PE-PARTIDA'!AT27+'PE-PARTIDA'!AW27+'PE-PARTIDA'!AQ26</f>
        <v>108000</v>
      </c>
      <c r="O27" s="99">
        <f>+'PE-PARTIDA'!R27</f>
        <v>0</v>
      </c>
      <c r="P27" s="99">
        <f>+'PE-PARTIDA'!S27+'PE-PARTIDA'!V27+'PE-PARTIDA'!AD27</f>
        <v>0</v>
      </c>
      <c r="Q27" s="99">
        <f>+'PE-PARTIDA'!E27+'PE-PARTIDA'!M27</f>
        <v>0</v>
      </c>
      <c r="R27" s="99">
        <f>+'PE-PARTIDA'!AH27+'PE-PARTIDA'!AM27</f>
        <v>0</v>
      </c>
      <c r="S27" s="99">
        <v>0</v>
      </c>
      <c r="T27" s="99">
        <v>0</v>
      </c>
      <c r="U27" s="99">
        <f t="shared" si="0"/>
        <v>308000</v>
      </c>
      <c r="V27" s="99">
        <v>307788.19</v>
      </c>
      <c r="W27" s="133">
        <f t="shared" si="1"/>
        <v>0.9993123051948052</v>
      </c>
      <c r="X27" s="99">
        <f t="shared" si="2"/>
        <v>211.80999999999767</v>
      </c>
    </row>
    <row r="28" spans="1:24" ht="12.75" hidden="1">
      <c r="A28" s="80">
        <v>1716</v>
      </c>
      <c r="B28" s="81" t="s">
        <v>171</v>
      </c>
      <c r="C28" s="99">
        <f>+'PE-PARTIDA'!C28</f>
        <v>0</v>
      </c>
      <c r="D28" s="99"/>
      <c r="E28" s="99"/>
      <c r="F28" s="99">
        <f>+'PE-PARTIDA'!Q28</f>
        <v>0</v>
      </c>
      <c r="G28" s="99">
        <f>+'PE-PARTIDA'!AA28</f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f>+'PE-PARTIDA'!G28+'PE-PARTIDA'!J28+'PE-PARTIDA'!N28+'PE-PARTIDA'!X28+'PE-PARTIDA'!AJ28+'PE-PARTIDA'!AS28+'PE-PARTIDA'!AV28+'PE-PARTIDA'!AB28+'PE-PARTIDA'!AP28</f>
        <v>0</v>
      </c>
      <c r="N28" s="99">
        <f>+'PE-PARTIDA'!H28+'PE-PARTIDA'!K28+'PE-PARTIDA'!O28+'PE-PARTIDA'!Y28+'PE-PARTIDA'!AC28+'PE-PARTIDA'!AK28+'PE-PARTIDA'!AT28+'PE-PARTIDA'!AW28+'PE-PARTIDA'!AQ27</f>
        <v>0</v>
      </c>
      <c r="O28" s="99">
        <f>+'PE-PARTIDA'!R28</f>
        <v>0</v>
      </c>
      <c r="P28" s="99">
        <f>+'PE-PARTIDA'!S28+'PE-PARTIDA'!V28+'PE-PARTIDA'!AD28</f>
        <v>0</v>
      </c>
      <c r="Q28" s="99">
        <f>+'PE-PARTIDA'!E28+'PE-PARTIDA'!M28</f>
        <v>0</v>
      </c>
      <c r="R28" s="99">
        <f>+'PE-PARTIDA'!AH28+'PE-PARTIDA'!AM28</f>
        <v>0</v>
      </c>
      <c r="S28" s="99">
        <v>0</v>
      </c>
      <c r="T28" s="99">
        <v>0</v>
      </c>
      <c r="U28" s="99">
        <f t="shared" si="0"/>
        <v>0</v>
      </c>
      <c r="V28" s="99">
        <v>0</v>
      </c>
      <c r="W28" s="133" t="e">
        <f t="shared" si="1"/>
        <v>#DIV/0!</v>
      </c>
      <c r="X28" s="99">
        <f t="shared" si="2"/>
        <v>0</v>
      </c>
    </row>
    <row r="29" spans="1:24" ht="12.75">
      <c r="A29" s="80">
        <v>1719</v>
      </c>
      <c r="B29" s="81" t="s">
        <v>71</v>
      </c>
      <c r="C29" s="99">
        <f>+'PE-PARTIDA'!C29</f>
        <v>297475</v>
      </c>
      <c r="D29" s="99"/>
      <c r="E29" s="99"/>
      <c r="F29" s="99">
        <f>+'PE-PARTIDA'!Q29</f>
        <v>247475</v>
      </c>
      <c r="G29" s="99">
        <f>+'PE-PARTIDA'!AA29</f>
        <v>6638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f>+'PE-PARTIDA'!G29+'PE-PARTIDA'!J29+'PE-PARTIDA'!N29+'PE-PARTIDA'!X29+'PE-PARTIDA'!AJ29+'PE-PARTIDA'!AS29+'PE-PARTIDA'!AV29+'PE-PARTIDA'!AB29+'PE-PARTIDA'!AP29</f>
        <v>29000</v>
      </c>
      <c r="N29" s="99">
        <f>+'PE-PARTIDA'!H29+'PE-PARTIDA'!K29+'PE-PARTIDA'!O29+'PE-PARTIDA'!Y29+'PE-PARTIDA'!AC29+'PE-PARTIDA'!AK29+'PE-PARTIDA'!AT29+'PE-PARTIDA'!AW29+'PE-PARTIDA'!AQ28</f>
        <v>0</v>
      </c>
      <c r="O29" s="99">
        <f>+'PE-PARTIDA'!R29</f>
        <v>0</v>
      </c>
      <c r="P29" s="99">
        <f>+'PE-PARTIDA'!S29+'PE-PARTIDA'!V29+'PE-PARTIDA'!AD29</f>
        <v>71245</v>
      </c>
      <c r="Q29" s="99">
        <f>+'PE-PARTIDA'!E29+'PE-PARTIDA'!M29</f>
        <v>244000</v>
      </c>
      <c r="R29" s="99">
        <f>+'PE-PARTIDA'!AH29+'PE-PARTIDA'!AM29</f>
        <v>0</v>
      </c>
      <c r="S29" s="99">
        <v>0</v>
      </c>
      <c r="T29" s="99">
        <v>0</v>
      </c>
      <c r="U29" s="99">
        <f t="shared" si="0"/>
        <v>837833</v>
      </c>
      <c r="V29" s="99">
        <v>832991.11</v>
      </c>
      <c r="W29" s="133">
        <f t="shared" si="1"/>
        <v>0.9942209366305695</v>
      </c>
      <c r="X29" s="99">
        <f t="shared" si="2"/>
        <v>4841.890000000014</v>
      </c>
    </row>
    <row r="30" spans="1:24" ht="13.5" thickBot="1">
      <c r="A30" s="82"/>
      <c r="B30" s="83" t="s">
        <v>41</v>
      </c>
      <c r="C30" s="98">
        <f>SUM(C9:C29)</f>
        <v>5874142</v>
      </c>
      <c r="D30" s="98"/>
      <c r="E30" s="98"/>
      <c r="F30" s="98">
        <f>SUM(F9:F29)</f>
        <v>7514828</v>
      </c>
      <c r="G30" s="98">
        <f>SUM(G9:G29)</f>
        <v>140000</v>
      </c>
      <c r="H30" s="98">
        <f aca="true" t="shared" si="3" ref="H30:V30">SUM(H9:H29)</f>
        <v>0</v>
      </c>
      <c r="I30" s="98">
        <f t="shared" si="3"/>
        <v>0</v>
      </c>
      <c r="J30" s="98">
        <f t="shared" si="3"/>
        <v>0</v>
      </c>
      <c r="K30" s="98">
        <f t="shared" si="3"/>
        <v>0</v>
      </c>
      <c r="L30" s="98">
        <f t="shared" si="3"/>
        <v>0</v>
      </c>
      <c r="M30" s="98">
        <f t="shared" si="3"/>
        <v>517310</v>
      </c>
      <c r="N30" s="98">
        <f t="shared" si="3"/>
        <v>517310</v>
      </c>
      <c r="O30" s="98">
        <f t="shared" si="3"/>
        <v>0</v>
      </c>
      <c r="P30" s="98">
        <f t="shared" si="3"/>
        <v>1188686.1099999999</v>
      </c>
      <c r="Q30" s="98">
        <f t="shared" si="3"/>
        <v>2554963</v>
      </c>
      <c r="R30" s="98">
        <f t="shared" si="3"/>
        <v>0</v>
      </c>
      <c r="S30" s="98">
        <f t="shared" si="3"/>
        <v>0</v>
      </c>
      <c r="T30" s="98">
        <f t="shared" si="3"/>
        <v>0</v>
      </c>
      <c r="U30" s="98">
        <f t="shared" si="3"/>
        <v>17272619.11</v>
      </c>
      <c r="V30" s="98">
        <f t="shared" si="3"/>
        <v>14637836.922</v>
      </c>
      <c r="W30" s="134">
        <f>V30/U30</f>
        <v>0.8474590233698496</v>
      </c>
      <c r="X30" s="98">
        <f>SUM(X9:X29)</f>
        <v>2634782.188</v>
      </c>
    </row>
    <row r="31" spans="1:24" ht="15.75">
      <c r="A31" s="178" t="s">
        <v>59</v>
      </c>
      <c r="B31" s="178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35"/>
      <c r="X31" s="100"/>
    </row>
    <row r="32" spans="1:24" ht="12.75">
      <c r="A32" s="80">
        <v>2111</v>
      </c>
      <c r="B32" s="81" t="s">
        <v>14</v>
      </c>
      <c r="C32" s="99">
        <f>+'PE-PARTIDA'!C32</f>
        <v>0</v>
      </c>
      <c r="D32" s="99"/>
      <c r="E32" s="99"/>
      <c r="F32" s="99">
        <f>+'PE-PARTIDA'!Q32</f>
        <v>0</v>
      </c>
      <c r="G32" s="99">
        <f>+'PE-PARTIDA'!AA32</f>
        <v>24000</v>
      </c>
      <c r="H32" s="99">
        <v>0</v>
      </c>
      <c r="I32" s="99">
        <v>1000</v>
      </c>
      <c r="J32" s="99">
        <v>39000</v>
      </c>
      <c r="K32" s="99">
        <v>0</v>
      </c>
      <c r="L32" s="99">
        <v>0</v>
      </c>
      <c r="M32" s="99">
        <f>+'PE-PARTIDA'!G32+'PE-PARTIDA'!J32+'PE-PARTIDA'!N32+'PE-PARTIDA'!X32+'PE-PARTIDA'!AJ32+'PE-PARTIDA'!AS32+'PE-PARTIDA'!AV32+'PE-PARTIDA'!AB32+'PE-PARTIDA'!AP32</f>
        <v>0</v>
      </c>
      <c r="N32" s="99">
        <f>+'PE-PARTIDA'!H32+'PE-PARTIDA'!K32+'PE-PARTIDA'!O32+'PE-PARTIDA'!Y32+'PE-PARTIDA'!AC32+'PE-PARTIDA'!AK32+'PE-PARTIDA'!AT32+'PE-PARTIDA'!AW32+'PE-PARTIDA'!AQ31</f>
        <v>0</v>
      </c>
      <c r="O32" s="99">
        <f>+'PE-PARTIDA'!R32</f>
        <v>0</v>
      </c>
      <c r="P32" s="99">
        <f>+'PE-PARTIDA'!S32+'PE-PARTIDA'!V32+'PE-PARTIDA'!AD32</f>
        <v>0</v>
      </c>
      <c r="Q32" s="99">
        <f>+'PE-PARTIDA'!E32+'PE-PARTIDA'!M32</f>
        <v>0</v>
      </c>
      <c r="R32" s="99">
        <f>+'PE-PARTIDA'!AH32+'PE-PARTIDA'!AM32</f>
        <v>0</v>
      </c>
      <c r="S32" s="99">
        <v>0</v>
      </c>
      <c r="T32" s="99">
        <v>0</v>
      </c>
      <c r="U32" s="99">
        <f aca="true" t="shared" si="4" ref="U32:U71">+C32+F32+G32+N32+P32-O32-M32+Q32+R32+S32+T32+H32+I32+J32+K32+L32</f>
        <v>64000</v>
      </c>
      <c r="V32" s="99">
        <v>63902.33</v>
      </c>
      <c r="W32" s="133">
        <f>V32/U32</f>
        <v>0.99847390625</v>
      </c>
      <c r="X32" s="99">
        <f aca="true" t="shared" si="5" ref="X32:X70">+U32-V32</f>
        <v>97.66999999999825</v>
      </c>
    </row>
    <row r="33" spans="1:24" ht="12.75">
      <c r="A33" s="80">
        <v>2121</v>
      </c>
      <c r="B33" s="81" t="s">
        <v>15</v>
      </c>
      <c r="C33" s="99">
        <f>+'PE-PARTIDA'!C33</f>
        <v>0</v>
      </c>
      <c r="D33" s="99"/>
      <c r="E33" s="99"/>
      <c r="F33" s="99">
        <f>+'PE-PARTIDA'!Q33</f>
        <v>0</v>
      </c>
      <c r="G33" s="99">
        <f>+'PE-PARTIDA'!AA33</f>
        <v>60000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f>+'PE-PARTIDA'!G33+'PE-PARTIDA'!J33+'PE-PARTIDA'!N33+'PE-PARTIDA'!X33+'PE-PARTIDA'!AJ33+'PE-PARTIDA'!AS33+'PE-PARTIDA'!AV33+'PE-PARTIDA'!AB33+'PE-PARTIDA'!AP33</f>
        <v>6000</v>
      </c>
      <c r="N33" s="99">
        <f>+'PE-PARTIDA'!H33+'PE-PARTIDA'!K33+'PE-PARTIDA'!O33+'PE-PARTIDA'!Y33+'PE-PARTIDA'!AC33+'PE-PARTIDA'!AK33+'PE-PARTIDA'!AT33+'PE-PARTIDA'!AW33+'PE-PARTIDA'!AQ32</f>
        <v>0</v>
      </c>
      <c r="O33" s="99">
        <f>+'PE-PARTIDA'!R33</f>
        <v>0</v>
      </c>
      <c r="P33" s="99">
        <f>+'PE-PARTIDA'!S33+'PE-PARTIDA'!V33+'PE-PARTIDA'!AD33</f>
        <v>0</v>
      </c>
      <c r="Q33" s="99">
        <f>+'PE-PARTIDA'!E33+'PE-PARTIDA'!M33</f>
        <v>0</v>
      </c>
      <c r="R33" s="99">
        <f>+'PE-PARTIDA'!AH33+'PE-PARTIDA'!AM33</f>
        <v>0</v>
      </c>
      <c r="S33" s="99">
        <v>0</v>
      </c>
      <c r="T33" s="99">
        <v>0</v>
      </c>
      <c r="U33" s="99">
        <f t="shared" si="4"/>
        <v>54000</v>
      </c>
      <c r="V33" s="99">
        <v>47426.6</v>
      </c>
      <c r="W33" s="133">
        <f aca="true" t="shared" si="6" ref="W33:W70">V33/U33</f>
        <v>0.8782703703703704</v>
      </c>
      <c r="X33" s="99">
        <f t="shared" si="5"/>
        <v>6573.4000000000015</v>
      </c>
    </row>
    <row r="34" spans="1:24" ht="25.5">
      <c r="A34" s="80">
        <v>2141</v>
      </c>
      <c r="B34" s="81" t="s">
        <v>72</v>
      </c>
      <c r="C34" s="99">
        <f>+'PE-PARTIDA'!C34</f>
        <v>0</v>
      </c>
      <c r="D34" s="99"/>
      <c r="E34" s="99"/>
      <c r="F34" s="99">
        <f>+'PE-PARTIDA'!Q34</f>
        <v>0</v>
      </c>
      <c r="G34" s="99">
        <f>+'PE-PARTIDA'!AA34</f>
        <v>30000</v>
      </c>
      <c r="H34" s="99">
        <v>0</v>
      </c>
      <c r="I34" s="99">
        <v>0</v>
      </c>
      <c r="J34" s="99">
        <v>80000</v>
      </c>
      <c r="K34" s="99">
        <v>0</v>
      </c>
      <c r="L34" s="99">
        <v>0</v>
      </c>
      <c r="M34" s="99">
        <f>+'PE-PARTIDA'!G34+'PE-PARTIDA'!J34+'PE-PARTIDA'!N34+'PE-PARTIDA'!X34+'PE-PARTIDA'!AJ34+'PE-PARTIDA'!AS34+'PE-PARTIDA'!AV34+'PE-PARTIDA'!AB34+'PE-PARTIDA'!AP34</f>
        <v>0</v>
      </c>
      <c r="N34" s="99">
        <f>+'PE-PARTIDA'!H34+'PE-PARTIDA'!K34+'PE-PARTIDA'!O34+'PE-PARTIDA'!Y34+'PE-PARTIDA'!AC34+'PE-PARTIDA'!AK34+'PE-PARTIDA'!AT34+'PE-PARTIDA'!AW34+'PE-PARTIDA'!AQ33</f>
        <v>0</v>
      </c>
      <c r="O34" s="99">
        <f>+'PE-PARTIDA'!R34</f>
        <v>0</v>
      </c>
      <c r="P34" s="99">
        <f>+'PE-PARTIDA'!S34+'PE-PARTIDA'!V34+'PE-PARTIDA'!AD34</f>
        <v>0</v>
      </c>
      <c r="Q34" s="99">
        <f>+'PE-PARTIDA'!E34+'PE-PARTIDA'!M34</f>
        <v>0</v>
      </c>
      <c r="R34" s="99">
        <f>+'PE-PARTIDA'!AH34+'PE-PARTIDA'!AM34</f>
        <v>0</v>
      </c>
      <c r="S34" s="99">
        <v>0</v>
      </c>
      <c r="T34" s="99">
        <v>0</v>
      </c>
      <c r="U34" s="99">
        <f t="shared" si="4"/>
        <v>110000</v>
      </c>
      <c r="V34" s="99">
        <v>107595.57</v>
      </c>
      <c r="W34" s="133">
        <f t="shared" si="6"/>
        <v>0.9781415454545456</v>
      </c>
      <c r="X34" s="99">
        <f t="shared" si="5"/>
        <v>2404.429999999993</v>
      </c>
    </row>
    <row r="35" spans="1:24" ht="12.75">
      <c r="A35" s="80">
        <v>2151</v>
      </c>
      <c r="B35" s="81" t="s">
        <v>73</v>
      </c>
      <c r="C35" s="99">
        <f>+'PE-PARTIDA'!C35</f>
        <v>0</v>
      </c>
      <c r="D35" s="99"/>
      <c r="E35" s="99"/>
      <c r="F35" s="99">
        <f>+'PE-PARTIDA'!Q35</f>
        <v>0</v>
      </c>
      <c r="G35" s="99">
        <f>+'PE-PARTIDA'!AA35</f>
        <v>15000</v>
      </c>
      <c r="H35" s="99">
        <v>0</v>
      </c>
      <c r="I35" s="99">
        <v>0</v>
      </c>
      <c r="J35" s="99">
        <v>130000</v>
      </c>
      <c r="K35" s="99">
        <v>0</v>
      </c>
      <c r="L35" s="99">
        <v>0</v>
      </c>
      <c r="M35" s="99">
        <f>+'PE-PARTIDA'!G35+'PE-PARTIDA'!J35+'PE-PARTIDA'!N35+'PE-PARTIDA'!X35+'PE-PARTIDA'!AJ35+'PE-PARTIDA'!AS35+'PE-PARTIDA'!AV35+'PE-PARTIDA'!AB35+'PE-PARTIDA'!AP35</f>
        <v>6500</v>
      </c>
      <c r="N35" s="99">
        <f>+'PE-PARTIDA'!H35+'PE-PARTIDA'!K35+'PE-PARTIDA'!O35+'PE-PARTIDA'!Y35+'PE-PARTIDA'!AC35+'PE-PARTIDA'!AK35+'PE-PARTIDA'!AT35+'PE-PARTIDA'!AW35+'PE-PARTIDA'!AQ34</f>
        <v>0</v>
      </c>
      <c r="O35" s="99">
        <f>+'PE-PARTIDA'!R35</f>
        <v>0</v>
      </c>
      <c r="P35" s="99">
        <f>+'PE-PARTIDA'!S35+'PE-PARTIDA'!V35+'PE-PARTIDA'!AD35</f>
        <v>0</v>
      </c>
      <c r="Q35" s="99">
        <f>+'PE-PARTIDA'!E35+'PE-PARTIDA'!M35</f>
        <v>0</v>
      </c>
      <c r="R35" s="99">
        <f>+'PE-PARTIDA'!AH35+'PE-PARTIDA'!AM35</f>
        <v>0</v>
      </c>
      <c r="S35" s="99">
        <v>0</v>
      </c>
      <c r="T35" s="99">
        <v>0</v>
      </c>
      <c r="U35" s="99">
        <f t="shared" si="4"/>
        <v>138500</v>
      </c>
      <c r="V35" s="99">
        <v>137875.6</v>
      </c>
      <c r="W35" s="133">
        <f t="shared" si="6"/>
        <v>0.9954916967509025</v>
      </c>
      <c r="X35" s="99">
        <f t="shared" si="5"/>
        <v>624.3999999999942</v>
      </c>
    </row>
    <row r="36" spans="1:24" ht="12.75">
      <c r="A36" s="80">
        <v>2161</v>
      </c>
      <c r="B36" s="81" t="s">
        <v>16</v>
      </c>
      <c r="C36" s="99">
        <f>+'PE-PARTIDA'!C36</f>
        <v>0</v>
      </c>
      <c r="D36" s="99"/>
      <c r="E36" s="99"/>
      <c r="F36" s="99">
        <f>+'PE-PARTIDA'!Q36</f>
        <v>0</v>
      </c>
      <c r="G36" s="99">
        <f>+'PE-PARTIDA'!AA36</f>
        <v>50000</v>
      </c>
      <c r="H36" s="99">
        <v>0</v>
      </c>
      <c r="I36" s="99">
        <v>0</v>
      </c>
      <c r="J36" s="99">
        <v>180000</v>
      </c>
      <c r="K36" s="99">
        <v>0</v>
      </c>
      <c r="L36" s="99">
        <v>0</v>
      </c>
      <c r="M36" s="99">
        <f>+'PE-PARTIDA'!G36+'PE-PARTIDA'!J36+'PE-PARTIDA'!N36+'PE-PARTIDA'!X36+'PE-PARTIDA'!AJ36+'PE-PARTIDA'!AS36+'PE-PARTIDA'!AV36+'PE-PARTIDA'!AB36+'PE-PARTIDA'!AP36</f>
        <v>20000</v>
      </c>
      <c r="N36" s="99">
        <f>+'PE-PARTIDA'!H36+'PE-PARTIDA'!K36+'PE-PARTIDA'!O36+'PE-PARTIDA'!Y36+'PE-PARTIDA'!AC36+'PE-PARTIDA'!AK36+'PE-PARTIDA'!AT36+'PE-PARTIDA'!AW36+'PE-PARTIDA'!AQ35</f>
        <v>0</v>
      </c>
      <c r="O36" s="99">
        <f>+'PE-PARTIDA'!R36</f>
        <v>0</v>
      </c>
      <c r="P36" s="99">
        <f>+'PE-PARTIDA'!S36+'PE-PARTIDA'!V36+'PE-PARTIDA'!AD36</f>
        <v>10000</v>
      </c>
      <c r="Q36" s="99">
        <f>+'PE-PARTIDA'!E36+'PE-PARTIDA'!M36</f>
        <v>0</v>
      </c>
      <c r="R36" s="99">
        <f>+'PE-PARTIDA'!AH36+'PE-PARTIDA'!AM36</f>
        <v>0</v>
      </c>
      <c r="S36" s="99">
        <v>0</v>
      </c>
      <c r="T36" s="99">
        <v>0</v>
      </c>
      <c r="U36" s="99">
        <f t="shared" si="4"/>
        <v>220000</v>
      </c>
      <c r="V36" s="99">
        <v>219983.13</v>
      </c>
      <c r="W36" s="133">
        <f t="shared" si="6"/>
        <v>0.9999233181818182</v>
      </c>
      <c r="X36" s="99">
        <f t="shared" si="5"/>
        <v>16.869999999995343</v>
      </c>
    </row>
    <row r="37" spans="1:24" ht="12.75">
      <c r="A37" s="80">
        <v>2171</v>
      </c>
      <c r="B37" s="81" t="s">
        <v>172</v>
      </c>
      <c r="C37" s="99">
        <f>+'PE-PARTIDA'!C37</f>
        <v>4000</v>
      </c>
      <c r="D37" s="99"/>
      <c r="E37" s="99"/>
      <c r="F37" s="99">
        <f>+'PE-PARTIDA'!Q37</f>
        <v>0</v>
      </c>
      <c r="G37" s="99">
        <f>+'PE-PARTIDA'!AA37</f>
        <v>29350</v>
      </c>
      <c r="H37" s="99">
        <v>0</v>
      </c>
      <c r="I37" s="99">
        <v>0</v>
      </c>
      <c r="J37" s="99">
        <v>50000</v>
      </c>
      <c r="K37" s="99">
        <v>0</v>
      </c>
      <c r="L37" s="99">
        <v>0</v>
      </c>
      <c r="M37" s="99">
        <f>+'PE-PARTIDA'!G37+'PE-PARTIDA'!J37+'PE-PARTIDA'!N37+'PE-PARTIDA'!X37+'PE-PARTIDA'!AJ37+'PE-PARTIDA'!AS37+'PE-PARTIDA'!AV37+'PE-PARTIDA'!AB37+'PE-PARTIDA'!AP37</f>
        <v>8000</v>
      </c>
      <c r="N37" s="99">
        <f>+'PE-PARTIDA'!H37+'PE-PARTIDA'!K37+'PE-PARTIDA'!O37+'PE-PARTIDA'!Y37+'PE-PARTIDA'!AC37+'PE-PARTIDA'!AK37+'PE-PARTIDA'!AT37+'PE-PARTIDA'!AW37+'PE-PARTIDA'!AQ36</f>
        <v>0</v>
      </c>
      <c r="O37" s="99">
        <f>+'PE-PARTIDA'!R37</f>
        <v>0</v>
      </c>
      <c r="P37" s="99">
        <f>+'PE-PARTIDA'!S37+'PE-PARTIDA'!V37+'PE-PARTIDA'!AD37</f>
        <v>0</v>
      </c>
      <c r="Q37" s="99">
        <f>+'PE-PARTIDA'!E37+'PE-PARTIDA'!M37</f>
        <v>0</v>
      </c>
      <c r="R37" s="99">
        <f>+'PE-PARTIDA'!AH37+'PE-PARTIDA'!AM37</f>
        <v>0</v>
      </c>
      <c r="S37" s="99">
        <v>0</v>
      </c>
      <c r="T37" s="99">
        <v>0</v>
      </c>
      <c r="U37" s="99">
        <f t="shared" si="4"/>
        <v>75350</v>
      </c>
      <c r="V37" s="99">
        <v>35287.6</v>
      </c>
      <c r="W37" s="133">
        <f t="shared" si="6"/>
        <v>0.46831585932315856</v>
      </c>
      <c r="X37" s="99">
        <f t="shared" si="5"/>
        <v>40062.4</v>
      </c>
    </row>
    <row r="38" spans="1:24" ht="38.25">
      <c r="A38" s="80">
        <v>2212</v>
      </c>
      <c r="B38" s="81" t="s">
        <v>173</v>
      </c>
      <c r="C38" s="99">
        <f>+'PE-PARTIDA'!C38</f>
        <v>0</v>
      </c>
      <c r="D38" s="99"/>
      <c r="E38" s="99"/>
      <c r="F38" s="99">
        <f>+'PE-PARTIDA'!Q38</f>
        <v>0</v>
      </c>
      <c r="G38" s="99">
        <f>+'PE-PARTIDA'!AA38</f>
        <v>40000</v>
      </c>
      <c r="H38" s="99">
        <v>0</v>
      </c>
      <c r="I38" s="99">
        <v>5000</v>
      </c>
      <c r="J38" s="99">
        <v>55000</v>
      </c>
      <c r="K38" s="99">
        <v>0</v>
      </c>
      <c r="L38" s="99">
        <v>0</v>
      </c>
      <c r="M38" s="99">
        <f>+'PE-PARTIDA'!G38+'PE-PARTIDA'!J38+'PE-PARTIDA'!N38+'PE-PARTIDA'!X38+'PE-PARTIDA'!AJ38+'PE-PARTIDA'!AS38+'PE-PARTIDA'!AV38+'PE-PARTIDA'!AB38+'PE-PARTIDA'!AP38</f>
        <v>0</v>
      </c>
      <c r="N38" s="99">
        <f>+'PE-PARTIDA'!H38+'PE-PARTIDA'!K38+'PE-PARTIDA'!O38+'PE-PARTIDA'!Y38+'PE-PARTIDA'!AC38+'PE-PARTIDA'!AK38+'PE-PARTIDA'!AT38+'PE-PARTIDA'!AW38+'PE-PARTIDA'!AQ37</f>
        <v>5500</v>
      </c>
      <c r="O38" s="99">
        <f>+'PE-PARTIDA'!R38</f>
        <v>0</v>
      </c>
      <c r="P38" s="99">
        <f>+'PE-PARTIDA'!S38+'PE-PARTIDA'!V38+'PE-PARTIDA'!AD38</f>
        <v>0</v>
      </c>
      <c r="Q38" s="99">
        <f>+'PE-PARTIDA'!E38+'PE-PARTIDA'!M38</f>
        <v>0</v>
      </c>
      <c r="R38" s="99">
        <f>+'PE-PARTIDA'!AH38+'PE-PARTIDA'!AM38</f>
        <v>0</v>
      </c>
      <c r="S38" s="99">
        <v>0</v>
      </c>
      <c r="T38" s="99">
        <v>0</v>
      </c>
      <c r="U38" s="99">
        <f t="shared" si="4"/>
        <v>105500</v>
      </c>
      <c r="V38" s="99">
        <v>103452.66</v>
      </c>
      <c r="W38" s="133">
        <f t="shared" si="6"/>
        <v>0.9805939336492892</v>
      </c>
      <c r="X38" s="99">
        <f t="shared" si="5"/>
        <v>2047.3399999999965</v>
      </c>
    </row>
    <row r="39" spans="1:24" ht="25.5" hidden="1">
      <c r="A39" s="84">
        <v>2214</v>
      </c>
      <c r="B39" s="85" t="s">
        <v>174</v>
      </c>
      <c r="C39" s="99">
        <f>+'PE-PARTIDA'!C39</f>
        <v>0</v>
      </c>
      <c r="D39" s="99"/>
      <c r="E39" s="99"/>
      <c r="F39" s="99">
        <f>+'PE-PARTIDA'!Q39</f>
        <v>0</v>
      </c>
      <c r="G39" s="99">
        <f>+'PE-PARTIDA'!AA39</f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f>+'PE-PARTIDA'!G39+'PE-PARTIDA'!J39+'PE-PARTIDA'!N39+'PE-PARTIDA'!X39+'PE-PARTIDA'!AJ39+'PE-PARTIDA'!AS39+'PE-PARTIDA'!AV39+'PE-PARTIDA'!AB39+'PE-PARTIDA'!AP39</f>
        <v>0</v>
      </c>
      <c r="N39" s="99">
        <f>+'PE-PARTIDA'!H39+'PE-PARTIDA'!K39+'PE-PARTIDA'!O39+'PE-PARTIDA'!Y39+'PE-PARTIDA'!AC39+'PE-PARTIDA'!AK39+'PE-PARTIDA'!AT39+'PE-PARTIDA'!AW39+'PE-PARTIDA'!AQ38</f>
        <v>0</v>
      </c>
      <c r="O39" s="99">
        <f>+'PE-PARTIDA'!R39</f>
        <v>0</v>
      </c>
      <c r="P39" s="99">
        <f>+'PE-PARTIDA'!S39+'PE-PARTIDA'!V39+'PE-PARTIDA'!AD39</f>
        <v>0</v>
      </c>
      <c r="Q39" s="99">
        <f>+'PE-PARTIDA'!E39+'PE-PARTIDA'!M39</f>
        <v>0</v>
      </c>
      <c r="R39" s="99">
        <f>+'PE-PARTIDA'!AH39+'PE-PARTIDA'!AM39</f>
        <v>0</v>
      </c>
      <c r="S39" s="99">
        <v>0</v>
      </c>
      <c r="T39" s="99">
        <v>0</v>
      </c>
      <c r="U39" s="99">
        <f t="shared" si="4"/>
        <v>0</v>
      </c>
      <c r="V39" s="99">
        <v>0</v>
      </c>
      <c r="W39" s="133">
        <v>0</v>
      </c>
      <c r="X39" s="99">
        <f t="shared" si="5"/>
        <v>0</v>
      </c>
    </row>
    <row r="40" spans="1:24" ht="12.75">
      <c r="A40" s="80">
        <v>2231</v>
      </c>
      <c r="B40" s="81" t="s">
        <v>17</v>
      </c>
      <c r="C40" s="99">
        <f>+'PE-PARTIDA'!C40</f>
        <v>0</v>
      </c>
      <c r="D40" s="99"/>
      <c r="E40" s="99"/>
      <c r="F40" s="99">
        <f>+'PE-PARTIDA'!Q40</f>
        <v>0</v>
      </c>
      <c r="G40" s="99">
        <f>+'PE-PARTIDA'!AA40</f>
        <v>10000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f>+'PE-PARTIDA'!G40+'PE-PARTIDA'!J40+'PE-PARTIDA'!N40+'PE-PARTIDA'!X40+'PE-PARTIDA'!AJ40+'PE-PARTIDA'!AS40+'PE-PARTIDA'!AV40+'PE-PARTIDA'!AB40+'PE-PARTIDA'!AP40</f>
        <v>0</v>
      </c>
      <c r="N40" s="99">
        <f>+'PE-PARTIDA'!H40+'PE-PARTIDA'!K40+'PE-PARTIDA'!O40+'PE-PARTIDA'!Y40+'PE-PARTIDA'!AC40+'PE-PARTIDA'!AK40+'PE-PARTIDA'!AT40+'PE-PARTIDA'!AW40+'PE-PARTIDA'!AQ39</f>
        <v>0</v>
      </c>
      <c r="O40" s="99">
        <f>+'PE-PARTIDA'!R40</f>
        <v>0</v>
      </c>
      <c r="P40" s="99">
        <f>+'PE-PARTIDA'!S40+'PE-PARTIDA'!V40+'PE-PARTIDA'!AD40</f>
        <v>0</v>
      </c>
      <c r="Q40" s="99">
        <f>+'PE-PARTIDA'!E40+'PE-PARTIDA'!M40</f>
        <v>0</v>
      </c>
      <c r="R40" s="99">
        <f>+'PE-PARTIDA'!AH40+'PE-PARTIDA'!AM40</f>
        <v>0</v>
      </c>
      <c r="S40" s="99">
        <v>0</v>
      </c>
      <c r="T40" s="99">
        <v>0</v>
      </c>
      <c r="U40" s="99">
        <f t="shared" si="4"/>
        <v>10000</v>
      </c>
      <c r="V40" s="99">
        <v>6950</v>
      </c>
      <c r="W40" s="133">
        <f t="shared" si="6"/>
        <v>0.695</v>
      </c>
      <c r="X40" s="99">
        <f t="shared" si="5"/>
        <v>3050</v>
      </c>
    </row>
    <row r="41" spans="1:24" ht="25.5">
      <c r="A41" s="80">
        <v>2311</v>
      </c>
      <c r="B41" s="81" t="s">
        <v>175</v>
      </c>
      <c r="C41" s="99">
        <f>+'PE-PARTIDA'!C41</f>
        <v>0</v>
      </c>
      <c r="D41" s="99"/>
      <c r="E41" s="99"/>
      <c r="F41" s="99">
        <f>+'PE-PARTIDA'!Q41</f>
        <v>0</v>
      </c>
      <c r="G41" s="99">
        <f>+'PE-PARTIDA'!AA41</f>
        <v>2000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f>+'PE-PARTIDA'!G41+'PE-PARTIDA'!J41+'PE-PARTIDA'!N41+'PE-PARTIDA'!X41+'PE-PARTIDA'!AJ41+'PE-PARTIDA'!AS41+'PE-PARTIDA'!AV41+'PE-PARTIDA'!AB41+'PE-PARTIDA'!AP41</f>
        <v>0</v>
      </c>
      <c r="N41" s="99">
        <f>+'PE-PARTIDA'!H41+'PE-PARTIDA'!K41+'PE-PARTIDA'!O41+'PE-PARTIDA'!Y41+'PE-PARTIDA'!AC41+'PE-PARTIDA'!AK41+'PE-PARTIDA'!AT41+'PE-PARTIDA'!AW41+'PE-PARTIDA'!AQ40</f>
        <v>0</v>
      </c>
      <c r="O41" s="99">
        <f>+'PE-PARTIDA'!R41</f>
        <v>0</v>
      </c>
      <c r="P41" s="99">
        <f>+'PE-PARTIDA'!S41+'PE-PARTIDA'!V41+'PE-PARTIDA'!AD41</f>
        <v>0</v>
      </c>
      <c r="Q41" s="99">
        <f>+'PE-PARTIDA'!E41+'PE-PARTIDA'!M41</f>
        <v>0</v>
      </c>
      <c r="R41" s="99">
        <f>+'PE-PARTIDA'!AH41+'PE-PARTIDA'!AM41</f>
        <v>0</v>
      </c>
      <c r="S41" s="99">
        <v>0</v>
      </c>
      <c r="T41" s="99">
        <v>0</v>
      </c>
      <c r="U41" s="99">
        <f t="shared" si="4"/>
        <v>2000</v>
      </c>
      <c r="V41" s="99">
        <v>1861</v>
      </c>
      <c r="W41" s="133">
        <f t="shared" si="6"/>
        <v>0.9305</v>
      </c>
      <c r="X41" s="99">
        <f t="shared" si="5"/>
        <v>139</v>
      </c>
    </row>
    <row r="42" spans="1:24" ht="25.5">
      <c r="A42" s="80">
        <v>2341</v>
      </c>
      <c r="B42" s="81" t="s">
        <v>176</v>
      </c>
      <c r="C42" s="99">
        <f>+'PE-PARTIDA'!C42</f>
        <v>0</v>
      </c>
      <c r="D42" s="99"/>
      <c r="E42" s="99"/>
      <c r="F42" s="99">
        <f>+'PE-PARTIDA'!Q42</f>
        <v>0</v>
      </c>
      <c r="G42" s="99">
        <f>+'PE-PARTIDA'!AA42</f>
        <v>2000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f>+'PE-PARTIDA'!G42+'PE-PARTIDA'!J42+'PE-PARTIDA'!N42+'PE-PARTIDA'!X42+'PE-PARTIDA'!AJ42+'PE-PARTIDA'!AS42+'PE-PARTIDA'!AV42+'PE-PARTIDA'!AB42+'PE-PARTIDA'!AP42</f>
        <v>0</v>
      </c>
      <c r="N42" s="99">
        <f>+'PE-PARTIDA'!H42+'PE-PARTIDA'!K42+'PE-PARTIDA'!O42+'PE-PARTIDA'!Y42+'PE-PARTIDA'!AC42+'PE-PARTIDA'!AK42+'PE-PARTIDA'!AT42+'PE-PARTIDA'!AW42+'PE-PARTIDA'!AQ41</f>
        <v>0</v>
      </c>
      <c r="O42" s="99">
        <f>+'PE-PARTIDA'!R42</f>
        <v>0</v>
      </c>
      <c r="P42" s="99">
        <f>+'PE-PARTIDA'!S42+'PE-PARTIDA'!V42+'PE-PARTIDA'!AD42</f>
        <v>0</v>
      </c>
      <c r="Q42" s="99">
        <f>+'PE-PARTIDA'!E42+'PE-PARTIDA'!M42</f>
        <v>0</v>
      </c>
      <c r="R42" s="99">
        <f>+'PE-PARTIDA'!AH42+'PE-PARTIDA'!AM42</f>
        <v>0</v>
      </c>
      <c r="S42" s="99">
        <v>0</v>
      </c>
      <c r="T42" s="99">
        <v>0</v>
      </c>
      <c r="U42" s="99">
        <f t="shared" si="4"/>
        <v>2000</v>
      </c>
      <c r="V42" s="99">
        <v>133</v>
      </c>
      <c r="W42" s="133">
        <f t="shared" si="6"/>
        <v>0.0665</v>
      </c>
      <c r="X42" s="99">
        <f t="shared" si="5"/>
        <v>1867</v>
      </c>
    </row>
    <row r="43" spans="1:24" ht="12.75">
      <c r="A43" s="80">
        <v>2411</v>
      </c>
      <c r="B43" s="81" t="s">
        <v>42</v>
      </c>
      <c r="C43" s="99">
        <f>+'PE-PARTIDA'!C43</f>
        <v>0</v>
      </c>
      <c r="D43" s="99"/>
      <c r="E43" s="99"/>
      <c r="F43" s="99">
        <f>+'PE-PARTIDA'!Q43</f>
        <v>0</v>
      </c>
      <c r="G43" s="99">
        <f>+'PE-PARTIDA'!AA43</f>
        <v>21000</v>
      </c>
      <c r="H43" s="99">
        <v>0</v>
      </c>
      <c r="I43" s="99">
        <v>0</v>
      </c>
      <c r="J43" s="99">
        <v>200000</v>
      </c>
      <c r="K43" s="99">
        <v>0</v>
      </c>
      <c r="L43" s="99">
        <v>0</v>
      </c>
      <c r="M43" s="99">
        <f>+'PE-PARTIDA'!G43+'PE-PARTIDA'!J43+'PE-PARTIDA'!N43+'PE-PARTIDA'!X43+'PE-PARTIDA'!AJ43+'PE-PARTIDA'!AS43+'PE-PARTIDA'!AV43+'PE-PARTIDA'!AB43+'PE-PARTIDA'!AP43</f>
        <v>0</v>
      </c>
      <c r="N43" s="99">
        <f>+'PE-PARTIDA'!H43+'PE-PARTIDA'!K43+'PE-PARTIDA'!O43+'PE-PARTIDA'!Y43+'PE-PARTIDA'!AC43+'PE-PARTIDA'!AK43+'PE-PARTIDA'!AT43+'PE-PARTIDA'!AW43+'PE-PARTIDA'!AQ42</f>
        <v>0</v>
      </c>
      <c r="O43" s="99">
        <f>+'PE-PARTIDA'!R43</f>
        <v>0</v>
      </c>
      <c r="P43" s="99">
        <f>+'PE-PARTIDA'!S43+'PE-PARTIDA'!V43+'PE-PARTIDA'!AD43</f>
        <v>0</v>
      </c>
      <c r="Q43" s="99">
        <f>+'PE-PARTIDA'!E43+'PE-PARTIDA'!M43</f>
        <v>0</v>
      </c>
      <c r="R43" s="99">
        <f>+'PE-PARTIDA'!AH43+'PE-PARTIDA'!AM43</f>
        <v>0</v>
      </c>
      <c r="S43" s="99">
        <v>0</v>
      </c>
      <c r="T43" s="99">
        <v>0</v>
      </c>
      <c r="U43" s="99">
        <f t="shared" si="4"/>
        <v>221000</v>
      </c>
      <c r="V43" s="99">
        <v>209958.63</v>
      </c>
      <c r="W43" s="133">
        <f t="shared" si="6"/>
        <v>0.9500390497737556</v>
      </c>
      <c r="X43" s="99">
        <f t="shared" si="5"/>
        <v>11041.369999999995</v>
      </c>
    </row>
    <row r="44" spans="1:24" ht="12.75">
      <c r="A44" s="80">
        <v>2421</v>
      </c>
      <c r="B44" s="81" t="s">
        <v>43</v>
      </c>
      <c r="C44" s="99">
        <f>+'PE-PARTIDA'!C44</f>
        <v>0</v>
      </c>
      <c r="D44" s="99"/>
      <c r="E44" s="99"/>
      <c r="F44" s="99">
        <f>+'PE-PARTIDA'!Q44</f>
        <v>0</v>
      </c>
      <c r="G44" s="99">
        <f>+'PE-PARTIDA'!AA44</f>
        <v>10000</v>
      </c>
      <c r="H44" s="99">
        <v>0</v>
      </c>
      <c r="I44" s="99">
        <v>1000</v>
      </c>
      <c r="J44" s="99">
        <v>9000</v>
      </c>
      <c r="K44" s="99">
        <v>0</v>
      </c>
      <c r="L44" s="99">
        <v>0</v>
      </c>
      <c r="M44" s="99">
        <f>+'PE-PARTIDA'!G44+'PE-PARTIDA'!J44+'PE-PARTIDA'!N44+'PE-PARTIDA'!X44+'PE-PARTIDA'!AJ44+'PE-PARTIDA'!AS44+'PE-PARTIDA'!AV44+'PE-PARTIDA'!AB44+'PE-PARTIDA'!AP44</f>
        <v>0</v>
      </c>
      <c r="N44" s="99">
        <f>+'PE-PARTIDA'!H44+'PE-PARTIDA'!K44+'PE-PARTIDA'!O44+'PE-PARTIDA'!Y44+'PE-PARTIDA'!AC44+'PE-PARTIDA'!AK44+'PE-PARTIDA'!AT44+'PE-PARTIDA'!AW44+'PE-PARTIDA'!AQ43</f>
        <v>0</v>
      </c>
      <c r="O44" s="99">
        <f>+'PE-PARTIDA'!R44</f>
        <v>0</v>
      </c>
      <c r="P44" s="99">
        <f>+'PE-PARTIDA'!S44+'PE-PARTIDA'!V44+'PE-PARTIDA'!AD44</f>
        <v>0</v>
      </c>
      <c r="Q44" s="99">
        <f>+'PE-PARTIDA'!E44+'PE-PARTIDA'!M44</f>
        <v>0</v>
      </c>
      <c r="R44" s="99">
        <f>+'PE-PARTIDA'!AH44+'PE-PARTIDA'!AM44</f>
        <v>0</v>
      </c>
      <c r="S44" s="99">
        <v>0</v>
      </c>
      <c r="T44" s="99">
        <v>0</v>
      </c>
      <c r="U44" s="99">
        <f t="shared" si="4"/>
        <v>20000</v>
      </c>
      <c r="V44" s="99">
        <v>18635.32</v>
      </c>
      <c r="W44" s="133">
        <f t="shared" si="6"/>
        <v>0.931766</v>
      </c>
      <c r="X44" s="99">
        <f t="shared" si="5"/>
        <v>1364.6800000000003</v>
      </c>
    </row>
    <row r="45" spans="1:24" ht="12.75">
      <c r="A45" s="80">
        <v>2431</v>
      </c>
      <c r="B45" s="81" t="s">
        <v>177</v>
      </c>
      <c r="C45" s="99">
        <f>+'PE-PARTIDA'!C45</f>
        <v>0</v>
      </c>
      <c r="D45" s="99"/>
      <c r="E45" s="99"/>
      <c r="F45" s="99">
        <f>+'PE-PARTIDA'!Q45</f>
        <v>0</v>
      </c>
      <c r="G45" s="99">
        <f>+'PE-PARTIDA'!AA45</f>
        <v>5250</v>
      </c>
      <c r="H45" s="99">
        <v>0</v>
      </c>
      <c r="I45" s="99">
        <v>2750</v>
      </c>
      <c r="J45" s="99">
        <v>0</v>
      </c>
      <c r="K45" s="99">
        <v>0</v>
      </c>
      <c r="L45" s="99">
        <v>0</v>
      </c>
      <c r="M45" s="99">
        <f>+'PE-PARTIDA'!G45+'PE-PARTIDA'!J45+'PE-PARTIDA'!N45+'PE-PARTIDA'!X45+'PE-PARTIDA'!AJ45+'PE-PARTIDA'!AS45+'PE-PARTIDA'!AV45+'PE-PARTIDA'!AB45+'PE-PARTIDA'!AP45</f>
        <v>0</v>
      </c>
      <c r="N45" s="99">
        <f>+'PE-PARTIDA'!H45+'PE-PARTIDA'!K45+'PE-PARTIDA'!O45+'PE-PARTIDA'!Y45+'PE-PARTIDA'!AC45+'PE-PARTIDA'!AK45+'PE-PARTIDA'!AT45+'PE-PARTIDA'!AW45+'PE-PARTIDA'!AQ44</f>
        <v>0</v>
      </c>
      <c r="O45" s="99">
        <f>+'PE-PARTIDA'!R45</f>
        <v>0</v>
      </c>
      <c r="P45" s="99">
        <f>+'PE-PARTIDA'!S45+'PE-PARTIDA'!V45+'PE-PARTIDA'!AD45</f>
        <v>0</v>
      </c>
      <c r="Q45" s="99">
        <f>+'PE-PARTIDA'!E45+'PE-PARTIDA'!M45</f>
        <v>0</v>
      </c>
      <c r="R45" s="99">
        <f>+'PE-PARTIDA'!AH45+'PE-PARTIDA'!AM45</f>
        <v>0</v>
      </c>
      <c r="S45" s="99">
        <v>0</v>
      </c>
      <c r="T45" s="99">
        <v>0</v>
      </c>
      <c r="U45" s="99">
        <f t="shared" si="4"/>
        <v>8000</v>
      </c>
      <c r="V45" s="99">
        <v>7460</v>
      </c>
      <c r="W45" s="133">
        <f t="shared" si="6"/>
        <v>0.9325</v>
      </c>
      <c r="X45" s="99">
        <f t="shared" si="5"/>
        <v>540</v>
      </c>
    </row>
    <row r="46" spans="1:24" ht="12.75">
      <c r="A46" s="80">
        <v>2441</v>
      </c>
      <c r="B46" s="81" t="s">
        <v>44</v>
      </c>
      <c r="C46" s="99">
        <f>+'PE-PARTIDA'!C46</f>
        <v>0</v>
      </c>
      <c r="D46" s="99"/>
      <c r="E46" s="99"/>
      <c r="F46" s="99">
        <f>+'PE-PARTIDA'!Q46</f>
        <v>0</v>
      </c>
      <c r="G46" s="99">
        <f>+'PE-PARTIDA'!AA46</f>
        <v>11300</v>
      </c>
      <c r="H46" s="99">
        <v>0</v>
      </c>
      <c r="I46" s="99">
        <v>2700</v>
      </c>
      <c r="J46" s="99">
        <v>0</v>
      </c>
      <c r="K46" s="99">
        <v>0</v>
      </c>
      <c r="L46" s="99">
        <v>0</v>
      </c>
      <c r="M46" s="99">
        <f>+'PE-PARTIDA'!G46+'PE-PARTIDA'!J46+'PE-PARTIDA'!N46+'PE-PARTIDA'!X46+'PE-PARTIDA'!AJ46+'PE-PARTIDA'!AS46+'PE-PARTIDA'!AV46+'PE-PARTIDA'!AB46+'PE-PARTIDA'!AP46</f>
        <v>0</v>
      </c>
      <c r="N46" s="99">
        <f>+'PE-PARTIDA'!H46+'PE-PARTIDA'!K46+'PE-PARTIDA'!O46+'PE-PARTIDA'!Y46+'PE-PARTIDA'!AC46+'PE-PARTIDA'!AK46+'PE-PARTIDA'!AT46+'PE-PARTIDA'!AW46+'PE-PARTIDA'!AQ45</f>
        <v>0</v>
      </c>
      <c r="O46" s="99">
        <f>+'PE-PARTIDA'!R46</f>
        <v>0</v>
      </c>
      <c r="P46" s="99">
        <f>+'PE-PARTIDA'!S46+'PE-PARTIDA'!V46+'PE-PARTIDA'!AD46</f>
        <v>0</v>
      </c>
      <c r="Q46" s="99">
        <f>+'PE-PARTIDA'!E46+'PE-PARTIDA'!M46</f>
        <v>0</v>
      </c>
      <c r="R46" s="99">
        <f>+'PE-PARTIDA'!AH46+'PE-PARTIDA'!AM46</f>
        <v>0</v>
      </c>
      <c r="S46" s="99">
        <v>0</v>
      </c>
      <c r="T46" s="99">
        <v>0</v>
      </c>
      <c r="U46" s="99">
        <f t="shared" si="4"/>
        <v>14000</v>
      </c>
      <c r="V46" s="99">
        <v>9803.39</v>
      </c>
      <c r="W46" s="133">
        <f t="shared" si="6"/>
        <v>0.7002421428571428</v>
      </c>
      <c r="X46" s="99">
        <f t="shared" si="5"/>
        <v>4196.610000000001</v>
      </c>
    </row>
    <row r="47" spans="1:24" ht="12.75">
      <c r="A47" s="80">
        <v>2451</v>
      </c>
      <c r="B47" s="81" t="s">
        <v>18</v>
      </c>
      <c r="C47" s="99">
        <f>+'PE-PARTIDA'!C47</f>
        <v>0</v>
      </c>
      <c r="D47" s="99"/>
      <c r="E47" s="99"/>
      <c r="F47" s="99">
        <f>+'PE-PARTIDA'!Q47</f>
        <v>0</v>
      </c>
      <c r="G47" s="99">
        <f>+'PE-PARTIDA'!AA47</f>
        <v>2100</v>
      </c>
      <c r="H47" s="99">
        <v>0</v>
      </c>
      <c r="I47" s="99">
        <v>2900</v>
      </c>
      <c r="J47" s="99">
        <v>0</v>
      </c>
      <c r="K47" s="99">
        <v>0</v>
      </c>
      <c r="L47" s="99">
        <v>0</v>
      </c>
      <c r="M47" s="99">
        <f>+'PE-PARTIDA'!G47+'PE-PARTIDA'!J47+'PE-PARTIDA'!N47+'PE-PARTIDA'!X47+'PE-PARTIDA'!AJ47+'PE-PARTIDA'!AS47+'PE-PARTIDA'!AV47+'PE-PARTIDA'!AB47+'PE-PARTIDA'!AP47</f>
        <v>0</v>
      </c>
      <c r="N47" s="99">
        <f>+'PE-PARTIDA'!H47+'PE-PARTIDA'!K47+'PE-PARTIDA'!O47+'PE-PARTIDA'!Y47+'PE-PARTIDA'!AC47+'PE-PARTIDA'!AK47+'PE-PARTIDA'!AT47+'PE-PARTIDA'!AW47+'PE-PARTIDA'!AQ46</f>
        <v>0</v>
      </c>
      <c r="O47" s="99">
        <f>+'PE-PARTIDA'!R47</f>
        <v>0</v>
      </c>
      <c r="P47" s="99">
        <f>+'PE-PARTIDA'!S47+'PE-PARTIDA'!V47+'PE-PARTIDA'!AD47</f>
        <v>0</v>
      </c>
      <c r="Q47" s="99">
        <f>+'PE-PARTIDA'!E47+'PE-PARTIDA'!M47</f>
        <v>0</v>
      </c>
      <c r="R47" s="99">
        <f>+'PE-PARTIDA'!AH47+'PE-PARTIDA'!AM47</f>
        <v>0</v>
      </c>
      <c r="S47" s="99">
        <v>0</v>
      </c>
      <c r="T47" s="99">
        <v>0</v>
      </c>
      <c r="U47" s="99">
        <f t="shared" si="4"/>
        <v>5000</v>
      </c>
      <c r="V47" s="99">
        <v>0</v>
      </c>
      <c r="W47" s="133">
        <f t="shared" si="6"/>
        <v>0</v>
      </c>
      <c r="X47" s="99">
        <f t="shared" si="5"/>
        <v>5000</v>
      </c>
    </row>
    <row r="48" spans="1:24" ht="12.75">
      <c r="A48" s="80">
        <v>2461</v>
      </c>
      <c r="B48" s="81" t="s">
        <v>178</v>
      </c>
      <c r="C48" s="99">
        <f>+'PE-PARTIDA'!C48</f>
        <v>0</v>
      </c>
      <c r="D48" s="99"/>
      <c r="E48" s="99"/>
      <c r="F48" s="99">
        <f>+'PE-PARTIDA'!Q48</f>
        <v>0</v>
      </c>
      <c r="G48" s="99">
        <f>+'PE-PARTIDA'!AA48</f>
        <v>15000</v>
      </c>
      <c r="H48" s="99">
        <v>0</v>
      </c>
      <c r="I48" s="99">
        <v>0</v>
      </c>
      <c r="J48" s="99">
        <v>40000</v>
      </c>
      <c r="K48" s="99">
        <v>0</v>
      </c>
      <c r="L48" s="99">
        <v>0</v>
      </c>
      <c r="M48" s="99">
        <f>+'PE-PARTIDA'!G48+'PE-PARTIDA'!J48+'PE-PARTIDA'!N48+'PE-PARTIDA'!X48+'PE-PARTIDA'!AJ48+'PE-PARTIDA'!AS48+'PE-PARTIDA'!AV48+'PE-PARTIDA'!AB48+'PE-PARTIDA'!AP48</f>
        <v>5000</v>
      </c>
      <c r="N48" s="99">
        <f>+'PE-PARTIDA'!H48+'PE-PARTIDA'!K48+'PE-PARTIDA'!O48+'PE-PARTIDA'!Y48+'PE-PARTIDA'!AC48+'PE-PARTIDA'!AK48+'PE-PARTIDA'!AT48+'PE-PARTIDA'!AW48+'PE-PARTIDA'!AQ47</f>
        <v>0</v>
      </c>
      <c r="O48" s="99">
        <f>+'PE-PARTIDA'!R48</f>
        <v>0</v>
      </c>
      <c r="P48" s="99">
        <f>+'PE-PARTIDA'!S48+'PE-PARTIDA'!V48+'PE-PARTIDA'!AD48</f>
        <v>3000</v>
      </c>
      <c r="Q48" s="99">
        <f>+'PE-PARTIDA'!E48+'PE-PARTIDA'!M48</f>
        <v>0</v>
      </c>
      <c r="R48" s="99">
        <f>+'PE-PARTIDA'!AH48+'PE-PARTIDA'!AM48</f>
        <v>0</v>
      </c>
      <c r="S48" s="99">
        <v>0</v>
      </c>
      <c r="T48" s="99">
        <v>0</v>
      </c>
      <c r="U48" s="99">
        <f t="shared" si="4"/>
        <v>53000</v>
      </c>
      <c r="V48" s="99">
        <v>51465.95</v>
      </c>
      <c r="W48" s="133">
        <f t="shared" si="6"/>
        <v>0.9710556603773585</v>
      </c>
      <c r="X48" s="99">
        <f t="shared" si="5"/>
        <v>1534.050000000003</v>
      </c>
    </row>
    <row r="49" spans="1:24" ht="12.75">
      <c r="A49" s="80">
        <v>2471</v>
      </c>
      <c r="B49" s="81" t="s">
        <v>74</v>
      </c>
      <c r="C49" s="99">
        <f>+'PE-PARTIDA'!C49</f>
        <v>0</v>
      </c>
      <c r="D49" s="99"/>
      <c r="E49" s="99"/>
      <c r="F49" s="99">
        <f>+'PE-PARTIDA'!Q49</f>
        <v>0</v>
      </c>
      <c r="G49" s="99">
        <f>+'PE-PARTIDA'!AA49</f>
        <v>20000</v>
      </c>
      <c r="H49" s="99">
        <v>0</v>
      </c>
      <c r="I49" s="99">
        <v>7000</v>
      </c>
      <c r="J49" s="99">
        <v>13000</v>
      </c>
      <c r="K49" s="99">
        <v>0</v>
      </c>
      <c r="L49" s="99">
        <v>0</v>
      </c>
      <c r="M49" s="99">
        <f>+'PE-PARTIDA'!G49+'PE-PARTIDA'!J49+'PE-PARTIDA'!N49+'PE-PARTIDA'!X49+'PE-PARTIDA'!AJ49+'PE-PARTIDA'!AS49+'PE-PARTIDA'!AV49+'PE-PARTIDA'!AB49+'PE-PARTIDA'!AP49</f>
        <v>0</v>
      </c>
      <c r="N49" s="99">
        <f>+'PE-PARTIDA'!H49+'PE-PARTIDA'!K49+'PE-PARTIDA'!O49+'PE-PARTIDA'!Y49+'PE-PARTIDA'!AC49+'PE-PARTIDA'!AK49+'PE-PARTIDA'!AT49+'PE-PARTIDA'!AW49+'PE-PARTIDA'!AQ48</f>
        <v>0</v>
      </c>
      <c r="O49" s="99">
        <f>+'PE-PARTIDA'!R49</f>
        <v>0</v>
      </c>
      <c r="P49" s="99">
        <f>+'PE-PARTIDA'!S49+'PE-PARTIDA'!V49+'PE-PARTIDA'!AD49</f>
        <v>0</v>
      </c>
      <c r="Q49" s="99">
        <f>+'PE-PARTIDA'!E49+'PE-PARTIDA'!M49</f>
        <v>0</v>
      </c>
      <c r="R49" s="99">
        <f>+'PE-PARTIDA'!AH49+'PE-PARTIDA'!AM49</f>
        <v>0</v>
      </c>
      <c r="S49" s="99">
        <v>0</v>
      </c>
      <c r="T49" s="99">
        <v>0</v>
      </c>
      <c r="U49" s="99">
        <f t="shared" si="4"/>
        <v>40000</v>
      </c>
      <c r="V49" s="99">
        <v>39925.5</v>
      </c>
      <c r="W49" s="133">
        <f t="shared" si="6"/>
        <v>0.9981375</v>
      </c>
      <c r="X49" s="99">
        <f t="shared" si="5"/>
        <v>74.5</v>
      </c>
    </row>
    <row r="50" spans="1:24" ht="12.75">
      <c r="A50" s="80">
        <v>2481</v>
      </c>
      <c r="B50" s="81" t="s">
        <v>179</v>
      </c>
      <c r="C50" s="99">
        <f>+'PE-PARTIDA'!C50</f>
        <v>0</v>
      </c>
      <c r="D50" s="99"/>
      <c r="E50" s="99"/>
      <c r="F50" s="99">
        <f>+'PE-PARTIDA'!Q50</f>
        <v>0</v>
      </c>
      <c r="G50" s="99">
        <f>+'PE-PARTIDA'!AA50</f>
        <v>21000</v>
      </c>
      <c r="H50" s="99">
        <v>0</v>
      </c>
      <c r="I50" s="99">
        <v>6000</v>
      </c>
      <c r="J50" s="99">
        <v>0</v>
      </c>
      <c r="K50" s="99">
        <v>0</v>
      </c>
      <c r="L50" s="99">
        <v>0</v>
      </c>
      <c r="M50" s="99">
        <f>+'PE-PARTIDA'!G50+'PE-PARTIDA'!J50+'PE-PARTIDA'!N50+'PE-PARTIDA'!X50+'PE-PARTIDA'!AJ50+'PE-PARTIDA'!AS50+'PE-PARTIDA'!AV50+'PE-PARTIDA'!AB50+'PE-PARTIDA'!AP50</f>
        <v>0</v>
      </c>
      <c r="N50" s="99">
        <f>+'PE-PARTIDA'!H50+'PE-PARTIDA'!K50+'PE-PARTIDA'!O50+'PE-PARTIDA'!Y50+'PE-PARTIDA'!AC50+'PE-PARTIDA'!AK50+'PE-PARTIDA'!AT50+'PE-PARTIDA'!AW50+'PE-PARTIDA'!AQ49</f>
        <v>0</v>
      </c>
      <c r="O50" s="99">
        <f>+'PE-PARTIDA'!R50</f>
        <v>0</v>
      </c>
      <c r="P50" s="99">
        <f>+'PE-PARTIDA'!S50+'PE-PARTIDA'!V50+'PE-PARTIDA'!AD50</f>
        <v>0</v>
      </c>
      <c r="Q50" s="99">
        <f>+'PE-PARTIDA'!E50+'PE-PARTIDA'!M50</f>
        <v>0</v>
      </c>
      <c r="R50" s="99">
        <f>+'PE-PARTIDA'!AH50+'PE-PARTIDA'!AM50</f>
        <v>0</v>
      </c>
      <c r="S50" s="99">
        <v>0</v>
      </c>
      <c r="T50" s="99">
        <v>0</v>
      </c>
      <c r="U50" s="99">
        <f t="shared" si="4"/>
        <v>27000</v>
      </c>
      <c r="V50" s="99">
        <v>26976.21</v>
      </c>
      <c r="W50" s="133">
        <f t="shared" si="6"/>
        <v>0.9991188888888889</v>
      </c>
      <c r="X50" s="99">
        <f t="shared" si="5"/>
        <v>23.790000000000873</v>
      </c>
    </row>
    <row r="51" spans="1:24" ht="25.5">
      <c r="A51" s="80">
        <v>2491</v>
      </c>
      <c r="B51" s="81" t="s">
        <v>45</v>
      </c>
      <c r="C51" s="99">
        <f>+'PE-PARTIDA'!C51</f>
        <v>0</v>
      </c>
      <c r="D51" s="99"/>
      <c r="E51" s="99"/>
      <c r="F51" s="99">
        <f>+'PE-PARTIDA'!Q51</f>
        <v>0</v>
      </c>
      <c r="G51" s="99">
        <f>+'PE-PARTIDA'!AA51</f>
        <v>10000</v>
      </c>
      <c r="H51" s="99">
        <v>0</v>
      </c>
      <c r="I51" s="99">
        <v>0</v>
      </c>
      <c r="J51" s="99">
        <v>80000</v>
      </c>
      <c r="K51" s="99">
        <v>0</v>
      </c>
      <c r="L51" s="99">
        <v>0</v>
      </c>
      <c r="M51" s="99">
        <f>+'PE-PARTIDA'!G51+'PE-PARTIDA'!J51+'PE-PARTIDA'!N51+'PE-PARTIDA'!X51+'PE-PARTIDA'!AJ51+'PE-PARTIDA'!AS51+'PE-PARTIDA'!AV51+'PE-PARTIDA'!AB51+'PE-PARTIDA'!AP51</f>
        <v>0</v>
      </c>
      <c r="N51" s="99">
        <f>+'PE-PARTIDA'!H51+'PE-PARTIDA'!K51+'PE-PARTIDA'!O51+'PE-PARTIDA'!Y51+'PE-PARTIDA'!AC51+'PE-PARTIDA'!AK51+'PE-PARTIDA'!AT51+'PE-PARTIDA'!AW51+'PE-PARTIDA'!AQ50</f>
        <v>0</v>
      </c>
      <c r="O51" s="99">
        <f>+'PE-PARTIDA'!R51</f>
        <v>0</v>
      </c>
      <c r="P51" s="99">
        <f>+'PE-PARTIDA'!S51+'PE-PARTIDA'!V51+'PE-PARTIDA'!AD51</f>
        <v>0</v>
      </c>
      <c r="Q51" s="99">
        <f>+'PE-PARTIDA'!E51+'PE-PARTIDA'!M51</f>
        <v>0</v>
      </c>
      <c r="R51" s="99">
        <f>+'PE-PARTIDA'!AH51+'PE-PARTIDA'!AM51</f>
        <v>0</v>
      </c>
      <c r="S51" s="99">
        <v>0</v>
      </c>
      <c r="T51" s="99">
        <v>0</v>
      </c>
      <c r="U51" s="99">
        <f t="shared" si="4"/>
        <v>90000</v>
      </c>
      <c r="V51" s="99">
        <v>79875.97</v>
      </c>
      <c r="W51" s="133">
        <f t="shared" si="6"/>
        <v>0.8875107777777778</v>
      </c>
      <c r="X51" s="99">
        <f t="shared" si="5"/>
        <v>10124.029999999999</v>
      </c>
    </row>
    <row r="52" spans="1:24" ht="12.75">
      <c r="A52" s="80">
        <v>2511</v>
      </c>
      <c r="B52" s="81" t="s">
        <v>180</v>
      </c>
      <c r="C52" s="99">
        <f>+'PE-PARTIDA'!C52</f>
        <v>0</v>
      </c>
      <c r="D52" s="99"/>
      <c r="E52" s="99"/>
      <c r="F52" s="99">
        <f>+'PE-PARTIDA'!Q52</f>
        <v>0</v>
      </c>
      <c r="G52" s="99">
        <f>+'PE-PARTIDA'!AA52</f>
        <v>10000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f>+'PE-PARTIDA'!G52+'PE-PARTIDA'!J52+'PE-PARTIDA'!N52+'PE-PARTIDA'!X52+'PE-PARTIDA'!AJ52+'PE-PARTIDA'!AS52+'PE-PARTIDA'!AV52+'PE-PARTIDA'!AB52+'PE-PARTIDA'!AP52</f>
        <v>0</v>
      </c>
      <c r="N52" s="99">
        <f>+'PE-PARTIDA'!H52+'PE-PARTIDA'!K52+'PE-PARTIDA'!O52+'PE-PARTIDA'!Y52+'PE-PARTIDA'!AC52+'PE-PARTIDA'!AK52+'PE-PARTIDA'!AT52+'PE-PARTIDA'!AW52+'PE-PARTIDA'!AQ51</f>
        <v>0</v>
      </c>
      <c r="O52" s="99">
        <f>+'PE-PARTIDA'!R52</f>
        <v>0</v>
      </c>
      <c r="P52" s="99">
        <f>+'PE-PARTIDA'!S52+'PE-PARTIDA'!V52+'PE-PARTIDA'!AD52</f>
        <v>0</v>
      </c>
      <c r="Q52" s="99">
        <f>+'PE-PARTIDA'!E52+'PE-PARTIDA'!M52</f>
        <v>0</v>
      </c>
      <c r="R52" s="99">
        <f>+'PE-PARTIDA'!AH52+'PE-PARTIDA'!AM52</f>
        <v>0</v>
      </c>
      <c r="S52" s="99">
        <v>0</v>
      </c>
      <c r="T52" s="99">
        <v>0</v>
      </c>
      <c r="U52" s="99">
        <f t="shared" si="4"/>
        <v>10000</v>
      </c>
      <c r="V52" s="99">
        <v>4451.48</v>
      </c>
      <c r="W52" s="133">
        <f t="shared" si="6"/>
        <v>0.44514799999999993</v>
      </c>
      <c r="X52" s="99">
        <f t="shared" si="5"/>
        <v>5548.52</v>
      </c>
    </row>
    <row r="53" spans="1:24" ht="12.75">
      <c r="A53" s="80">
        <v>2521</v>
      </c>
      <c r="B53" s="81" t="s">
        <v>181</v>
      </c>
      <c r="C53" s="99">
        <f>+'PE-PARTIDA'!C53</f>
        <v>0</v>
      </c>
      <c r="D53" s="99"/>
      <c r="E53" s="99"/>
      <c r="F53" s="99">
        <f>+'PE-PARTIDA'!Q53</f>
        <v>0</v>
      </c>
      <c r="G53" s="99">
        <f>+'PE-PARTIDA'!AA53</f>
        <v>10000</v>
      </c>
      <c r="H53" s="99">
        <v>0</v>
      </c>
      <c r="I53" s="99">
        <v>0</v>
      </c>
      <c r="J53" s="99">
        <v>20000</v>
      </c>
      <c r="K53" s="99">
        <v>0</v>
      </c>
      <c r="L53" s="99">
        <v>0</v>
      </c>
      <c r="M53" s="99">
        <f>+'PE-PARTIDA'!G53+'PE-PARTIDA'!J53+'PE-PARTIDA'!N53+'PE-PARTIDA'!X53+'PE-PARTIDA'!AJ53+'PE-PARTIDA'!AS53+'PE-PARTIDA'!AV53+'PE-PARTIDA'!AB53+'PE-PARTIDA'!AP53</f>
        <v>0</v>
      </c>
      <c r="N53" s="99">
        <f>+'PE-PARTIDA'!H53+'PE-PARTIDA'!K53+'PE-PARTIDA'!O53+'PE-PARTIDA'!Y53+'PE-PARTIDA'!AC53+'PE-PARTIDA'!AK53+'PE-PARTIDA'!AT53+'PE-PARTIDA'!AW53+'PE-PARTIDA'!AQ52</f>
        <v>0</v>
      </c>
      <c r="O53" s="99">
        <f>+'PE-PARTIDA'!R53</f>
        <v>0</v>
      </c>
      <c r="P53" s="99">
        <f>+'PE-PARTIDA'!S53+'PE-PARTIDA'!V53+'PE-PARTIDA'!AD53</f>
        <v>0</v>
      </c>
      <c r="Q53" s="99">
        <f>+'PE-PARTIDA'!E53+'PE-PARTIDA'!M53</f>
        <v>0</v>
      </c>
      <c r="R53" s="99">
        <f>+'PE-PARTIDA'!AH53+'PE-PARTIDA'!AM53</f>
        <v>0</v>
      </c>
      <c r="S53" s="99">
        <v>0</v>
      </c>
      <c r="T53" s="99">
        <v>0</v>
      </c>
      <c r="U53" s="99">
        <f t="shared" si="4"/>
        <v>30000</v>
      </c>
      <c r="V53" s="99">
        <v>28431.5</v>
      </c>
      <c r="W53" s="133">
        <f t="shared" si="6"/>
        <v>0.9477166666666667</v>
      </c>
      <c r="X53" s="99">
        <f t="shared" si="5"/>
        <v>1568.5</v>
      </c>
    </row>
    <row r="54" spans="1:24" ht="12.75">
      <c r="A54" s="80">
        <v>2531</v>
      </c>
      <c r="B54" s="81" t="s">
        <v>19</v>
      </c>
      <c r="C54" s="99">
        <f>+'PE-PARTIDA'!C54</f>
        <v>0</v>
      </c>
      <c r="D54" s="99"/>
      <c r="E54" s="99"/>
      <c r="F54" s="99">
        <f>+'PE-PARTIDA'!Q54</f>
        <v>0</v>
      </c>
      <c r="G54" s="99">
        <f>+'PE-PARTIDA'!AA54</f>
        <v>4000</v>
      </c>
      <c r="H54" s="99">
        <v>0</v>
      </c>
      <c r="I54" s="99">
        <v>2000</v>
      </c>
      <c r="J54" s="99">
        <v>0</v>
      </c>
      <c r="K54" s="99">
        <v>0</v>
      </c>
      <c r="L54" s="99">
        <v>0</v>
      </c>
      <c r="M54" s="99">
        <f>+'PE-PARTIDA'!G54+'PE-PARTIDA'!J54+'PE-PARTIDA'!N54+'PE-PARTIDA'!X54+'PE-PARTIDA'!AJ54+'PE-PARTIDA'!AS54+'PE-PARTIDA'!AV54+'PE-PARTIDA'!AB54+'PE-PARTIDA'!AP54</f>
        <v>0</v>
      </c>
      <c r="N54" s="99">
        <f>+'PE-PARTIDA'!H54+'PE-PARTIDA'!K54+'PE-PARTIDA'!O54+'PE-PARTIDA'!Y54+'PE-PARTIDA'!AC54+'PE-PARTIDA'!AK54+'PE-PARTIDA'!AT54+'PE-PARTIDA'!AW54+'PE-PARTIDA'!AQ53</f>
        <v>0</v>
      </c>
      <c r="O54" s="99">
        <f>+'PE-PARTIDA'!R54</f>
        <v>0</v>
      </c>
      <c r="P54" s="99">
        <f>+'PE-PARTIDA'!S54+'PE-PARTIDA'!V54+'PE-PARTIDA'!AD54</f>
        <v>0</v>
      </c>
      <c r="Q54" s="99">
        <f>+'PE-PARTIDA'!E54+'PE-PARTIDA'!M54</f>
        <v>0</v>
      </c>
      <c r="R54" s="99">
        <f>+'PE-PARTIDA'!AH54+'PE-PARTIDA'!AM54</f>
        <v>0</v>
      </c>
      <c r="S54" s="99">
        <v>0</v>
      </c>
      <c r="T54" s="99">
        <v>0</v>
      </c>
      <c r="U54" s="99">
        <f t="shared" si="4"/>
        <v>6000</v>
      </c>
      <c r="V54" s="99">
        <v>4277.37</v>
      </c>
      <c r="W54" s="133">
        <f t="shared" si="6"/>
        <v>0.712895</v>
      </c>
      <c r="X54" s="99">
        <f t="shared" si="5"/>
        <v>1722.63</v>
      </c>
    </row>
    <row r="55" spans="1:24" ht="12.75">
      <c r="A55" s="80">
        <v>2541</v>
      </c>
      <c r="B55" s="81" t="s">
        <v>182</v>
      </c>
      <c r="C55" s="99">
        <f>+'PE-PARTIDA'!C55</f>
        <v>0</v>
      </c>
      <c r="D55" s="99"/>
      <c r="E55" s="99"/>
      <c r="F55" s="99">
        <f>+'PE-PARTIDA'!Q55</f>
        <v>0</v>
      </c>
      <c r="G55" s="99">
        <f>+'PE-PARTIDA'!AA55</f>
        <v>3000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f>+'PE-PARTIDA'!G55+'PE-PARTIDA'!J55+'PE-PARTIDA'!N55+'PE-PARTIDA'!X55+'PE-PARTIDA'!AJ55+'PE-PARTIDA'!AS55+'PE-PARTIDA'!AV55+'PE-PARTIDA'!AB55+'PE-PARTIDA'!AP55</f>
        <v>0</v>
      </c>
      <c r="N55" s="99">
        <f>+'PE-PARTIDA'!H55+'PE-PARTIDA'!K55+'PE-PARTIDA'!O55+'PE-PARTIDA'!Y55+'PE-PARTIDA'!AC55+'PE-PARTIDA'!AK55+'PE-PARTIDA'!AT55+'PE-PARTIDA'!AW55+'PE-PARTIDA'!AQ54</f>
        <v>0</v>
      </c>
      <c r="O55" s="99">
        <f>+'PE-PARTIDA'!R55</f>
        <v>0</v>
      </c>
      <c r="P55" s="99">
        <f>+'PE-PARTIDA'!S55+'PE-PARTIDA'!V55+'PE-PARTIDA'!AD55</f>
        <v>0</v>
      </c>
      <c r="Q55" s="99">
        <f>+'PE-PARTIDA'!E55+'PE-PARTIDA'!M55</f>
        <v>0</v>
      </c>
      <c r="R55" s="99">
        <f>+'PE-PARTIDA'!AH55+'PE-PARTIDA'!AM55</f>
        <v>0</v>
      </c>
      <c r="S55" s="99">
        <v>0</v>
      </c>
      <c r="T55" s="99">
        <v>0</v>
      </c>
      <c r="U55" s="99">
        <f t="shared" si="4"/>
        <v>3000</v>
      </c>
      <c r="V55" s="99">
        <v>1005.19</v>
      </c>
      <c r="W55" s="133">
        <f t="shared" si="6"/>
        <v>0.3350633333333333</v>
      </c>
      <c r="X55" s="99">
        <f t="shared" si="5"/>
        <v>1994.81</v>
      </c>
    </row>
    <row r="56" spans="1:24" ht="12.75">
      <c r="A56" s="80">
        <v>2551</v>
      </c>
      <c r="B56" s="81" t="s">
        <v>183</v>
      </c>
      <c r="C56" s="99">
        <f>+'PE-PARTIDA'!C56</f>
        <v>0</v>
      </c>
      <c r="D56" s="99"/>
      <c r="E56" s="99"/>
      <c r="F56" s="99">
        <f>+'PE-PARTIDA'!Q56</f>
        <v>0</v>
      </c>
      <c r="G56" s="99">
        <f>+'PE-PARTIDA'!AA56</f>
        <v>5000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f>+'PE-PARTIDA'!G56+'PE-PARTIDA'!J56+'PE-PARTIDA'!N56+'PE-PARTIDA'!X56+'PE-PARTIDA'!AJ56+'PE-PARTIDA'!AS56+'PE-PARTIDA'!AV56+'PE-PARTIDA'!AB56+'PE-PARTIDA'!AP56</f>
        <v>0</v>
      </c>
      <c r="N56" s="99">
        <f>+'PE-PARTIDA'!H56+'PE-PARTIDA'!K56+'PE-PARTIDA'!O56+'PE-PARTIDA'!Y56+'PE-PARTIDA'!AC56+'PE-PARTIDA'!AK56+'PE-PARTIDA'!AT56+'PE-PARTIDA'!AW56+'PE-PARTIDA'!AQ55</f>
        <v>0</v>
      </c>
      <c r="O56" s="99">
        <f>+'PE-PARTIDA'!R56</f>
        <v>0</v>
      </c>
      <c r="P56" s="99">
        <f>+'PE-PARTIDA'!S56+'PE-PARTIDA'!V56+'PE-PARTIDA'!AD56</f>
        <v>0</v>
      </c>
      <c r="Q56" s="99">
        <f>+'PE-PARTIDA'!E56+'PE-PARTIDA'!M56</f>
        <v>0</v>
      </c>
      <c r="R56" s="99">
        <f>+'PE-PARTIDA'!AH56+'PE-PARTIDA'!AM56</f>
        <v>0</v>
      </c>
      <c r="S56" s="99">
        <v>0</v>
      </c>
      <c r="T56" s="99">
        <v>0</v>
      </c>
      <c r="U56" s="99">
        <f t="shared" si="4"/>
        <v>5000</v>
      </c>
      <c r="V56" s="99">
        <v>4999.5</v>
      </c>
      <c r="W56" s="133">
        <f t="shared" si="6"/>
        <v>0.9999</v>
      </c>
      <c r="X56" s="99">
        <f t="shared" si="5"/>
        <v>0.5</v>
      </c>
    </row>
    <row r="57" spans="1:24" ht="12.75">
      <c r="A57" s="80">
        <v>2561</v>
      </c>
      <c r="B57" s="81" t="s">
        <v>184</v>
      </c>
      <c r="C57" s="99">
        <f>+'PE-PARTIDA'!C57</f>
        <v>0</v>
      </c>
      <c r="D57" s="99"/>
      <c r="E57" s="99"/>
      <c r="F57" s="99">
        <f>+'PE-PARTIDA'!Q57</f>
        <v>0</v>
      </c>
      <c r="G57" s="99">
        <f>+'PE-PARTIDA'!AA57</f>
        <v>16000</v>
      </c>
      <c r="H57" s="99">
        <v>0</v>
      </c>
      <c r="I57" s="99">
        <v>0</v>
      </c>
      <c r="J57" s="99">
        <v>60000</v>
      </c>
      <c r="K57" s="99">
        <v>0</v>
      </c>
      <c r="L57" s="99">
        <v>0</v>
      </c>
      <c r="M57" s="99">
        <f>+'PE-PARTIDA'!G57+'PE-PARTIDA'!J57+'PE-PARTIDA'!N57+'PE-PARTIDA'!X57+'PE-PARTIDA'!AJ57+'PE-PARTIDA'!AS57+'PE-PARTIDA'!AV57+'PE-PARTIDA'!AB57+'PE-PARTIDA'!AP57</f>
        <v>0</v>
      </c>
      <c r="N57" s="99">
        <f>+'PE-PARTIDA'!H57+'PE-PARTIDA'!K57+'PE-PARTIDA'!O57+'PE-PARTIDA'!Y57+'PE-PARTIDA'!AC57+'PE-PARTIDA'!AK57+'PE-PARTIDA'!AT57+'PE-PARTIDA'!AW57+'PE-PARTIDA'!AQ56</f>
        <v>0</v>
      </c>
      <c r="O57" s="99">
        <f>+'PE-PARTIDA'!R57</f>
        <v>0</v>
      </c>
      <c r="P57" s="99">
        <f>+'PE-PARTIDA'!S57+'PE-PARTIDA'!V57+'PE-PARTIDA'!AD57</f>
        <v>0</v>
      </c>
      <c r="Q57" s="99">
        <f>+'PE-PARTIDA'!E57+'PE-PARTIDA'!M57</f>
        <v>0</v>
      </c>
      <c r="R57" s="99">
        <f>+'PE-PARTIDA'!AH57+'PE-PARTIDA'!AM57</f>
        <v>0</v>
      </c>
      <c r="S57" s="99">
        <v>0</v>
      </c>
      <c r="T57" s="99">
        <v>0</v>
      </c>
      <c r="U57" s="99">
        <f t="shared" si="4"/>
        <v>76000</v>
      </c>
      <c r="V57" s="99">
        <v>76000</v>
      </c>
      <c r="W57" s="133">
        <f t="shared" si="6"/>
        <v>1</v>
      </c>
      <c r="X57" s="99">
        <f t="shared" si="5"/>
        <v>0</v>
      </c>
    </row>
    <row r="58" spans="1:24" ht="12.75">
      <c r="A58" s="80">
        <v>2591</v>
      </c>
      <c r="B58" s="81" t="s">
        <v>75</v>
      </c>
      <c r="C58" s="99">
        <f>+'PE-PARTIDA'!C58</f>
        <v>0</v>
      </c>
      <c r="D58" s="99"/>
      <c r="E58" s="99"/>
      <c r="F58" s="99">
        <f>+'PE-PARTIDA'!Q58</f>
        <v>0</v>
      </c>
      <c r="G58" s="99">
        <f>+'PE-PARTIDA'!AA58</f>
        <v>2000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f>+'PE-PARTIDA'!G58+'PE-PARTIDA'!J58+'PE-PARTIDA'!N58+'PE-PARTIDA'!X58+'PE-PARTIDA'!AJ58+'PE-PARTIDA'!AS58+'PE-PARTIDA'!AV58+'PE-PARTIDA'!AB58+'PE-PARTIDA'!AP58</f>
        <v>0</v>
      </c>
      <c r="N58" s="99">
        <f>+'PE-PARTIDA'!H58+'PE-PARTIDA'!K58+'PE-PARTIDA'!O58+'PE-PARTIDA'!Y58+'PE-PARTIDA'!AC58+'PE-PARTIDA'!AK58+'PE-PARTIDA'!AT58+'PE-PARTIDA'!AW58+'PE-PARTIDA'!AQ57</f>
        <v>0</v>
      </c>
      <c r="O58" s="99">
        <f>+'PE-PARTIDA'!R58</f>
        <v>0</v>
      </c>
      <c r="P58" s="99">
        <f>+'PE-PARTIDA'!S58+'PE-PARTIDA'!V58+'PE-PARTIDA'!AD58</f>
        <v>0</v>
      </c>
      <c r="Q58" s="99">
        <f>+'PE-PARTIDA'!E58+'PE-PARTIDA'!M58</f>
        <v>0</v>
      </c>
      <c r="R58" s="99">
        <f>+'PE-PARTIDA'!AH58+'PE-PARTIDA'!AM58</f>
        <v>0</v>
      </c>
      <c r="S58" s="99">
        <v>0</v>
      </c>
      <c r="T58" s="99">
        <v>0</v>
      </c>
      <c r="U58" s="99">
        <f t="shared" si="4"/>
        <v>2000</v>
      </c>
      <c r="V58" s="99">
        <v>0</v>
      </c>
      <c r="W58" s="133">
        <f t="shared" si="6"/>
        <v>0</v>
      </c>
      <c r="X58" s="99">
        <f t="shared" si="5"/>
        <v>2000</v>
      </c>
    </row>
    <row r="59" spans="1:24" ht="25.5">
      <c r="A59" s="80">
        <v>2611</v>
      </c>
      <c r="B59" s="81" t="s">
        <v>185</v>
      </c>
      <c r="C59" s="99">
        <f>+'PE-PARTIDA'!C59</f>
        <v>60512</v>
      </c>
      <c r="D59" s="99"/>
      <c r="E59" s="99"/>
      <c r="F59" s="99">
        <f>+'PE-PARTIDA'!Q59</f>
        <v>0</v>
      </c>
      <c r="G59" s="99">
        <f>+'PE-PARTIDA'!AA59</f>
        <v>40000</v>
      </c>
      <c r="H59" s="99">
        <v>0</v>
      </c>
      <c r="I59" s="99">
        <v>1488</v>
      </c>
      <c r="J59" s="99">
        <v>69000</v>
      </c>
      <c r="K59" s="99">
        <v>0</v>
      </c>
      <c r="L59" s="99">
        <v>0</v>
      </c>
      <c r="M59" s="99">
        <f>+'PE-PARTIDA'!G59+'PE-PARTIDA'!J59+'PE-PARTIDA'!N59+'PE-PARTIDA'!X59+'PE-PARTIDA'!AJ59+'PE-PARTIDA'!AS59+'PE-PARTIDA'!AV59+'PE-PARTIDA'!AB59+'PE-PARTIDA'!AP59</f>
        <v>0</v>
      </c>
      <c r="N59" s="99">
        <f>+'PE-PARTIDA'!H59+'PE-PARTIDA'!K59+'PE-PARTIDA'!O59+'PE-PARTIDA'!Y59+'PE-PARTIDA'!AC59+'PE-PARTIDA'!AK59+'PE-PARTIDA'!AT59+'PE-PARTIDA'!AW59+'PE-PARTIDA'!AQ58</f>
        <v>39000</v>
      </c>
      <c r="O59" s="99">
        <f>+'PE-PARTIDA'!R59</f>
        <v>0</v>
      </c>
      <c r="P59" s="99">
        <f>+'PE-PARTIDA'!S59+'PE-PARTIDA'!V59+'PE-PARTIDA'!AD59</f>
        <v>0</v>
      </c>
      <c r="Q59" s="99">
        <f>+'PE-PARTIDA'!E59+'PE-PARTIDA'!M59</f>
        <v>0</v>
      </c>
      <c r="R59" s="99">
        <f>+'PE-PARTIDA'!AH59+'PE-PARTIDA'!AM59</f>
        <v>68504.18</v>
      </c>
      <c r="S59" s="99">
        <v>0</v>
      </c>
      <c r="T59" s="99">
        <v>0</v>
      </c>
      <c r="U59" s="99">
        <f>+C59+F59+G59+H59+I59+J59+K59+L59-M59+N59-O59+P59+Q59+R59+S59+T59</f>
        <v>278504.18</v>
      </c>
      <c r="V59" s="99">
        <v>277141.62</v>
      </c>
      <c r="W59" s="133">
        <f t="shared" si="6"/>
        <v>0.9951075779185792</v>
      </c>
      <c r="X59" s="99">
        <f t="shared" si="5"/>
        <v>1362.5599999999977</v>
      </c>
    </row>
    <row r="60" spans="1:24" ht="25.5" hidden="1">
      <c r="A60" s="80">
        <v>2614</v>
      </c>
      <c r="B60" s="86" t="s">
        <v>186</v>
      </c>
      <c r="C60" s="99">
        <f>+'PE-PARTIDA'!C60</f>
        <v>0</v>
      </c>
      <c r="D60" s="99"/>
      <c r="E60" s="99"/>
      <c r="F60" s="99">
        <f>+'PE-PARTIDA'!Q60</f>
        <v>0</v>
      </c>
      <c r="G60" s="99">
        <f>+'PE-PARTIDA'!AA60</f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f>+'PE-PARTIDA'!G60+'PE-PARTIDA'!J60+'PE-PARTIDA'!N60+'PE-PARTIDA'!X60+'PE-PARTIDA'!AJ60+'PE-PARTIDA'!AS60+'PE-PARTIDA'!AV60+'PE-PARTIDA'!AB60+'PE-PARTIDA'!AP60</f>
        <v>0</v>
      </c>
      <c r="N60" s="99">
        <f>+'PE-PARTIDA'!H60+'PE-PARTIDA'!K60+'PE-PARTIDA'!O60+'PE-PARTIDA'!Y60+'PE-PARTIDA'!AC60+'PE-PARTIDA'!AK60+'PE-PARTIDA'!AT60+'PE-PARTIDA'!AW60+'PE-PARTIDA'!AQ59</f>
        <v>0</v>
      </c>
      <c r="O60" s="99">
        <f>+'PE-PARTIDA'!R60</f>
        <v>0</v>
      </c>
      <c r="P60" s="99">
        <f>+'PE-PARTIDA'!S60+'PE-PARTIDA'!V60+'PE-PARTIDA'!AD60</f>
        <v>0</v>
      </c>
      <c r="Q60" s="99">
        <f>+'PE-PARTIDA'!E60+'PE-PARTIDA'!M60</f>
        <v>0</v>
      </c>
      <c r="R60" s="99">
        <f>+'PE-PARTIDA'!AH60+'PE-PARTIDA'!AM60</f>
        <v>0</v>
      </c>
      <c r="S60" s="99">
        <v>0</v>
      </c>
      <c r="T60" s="99">
        <v>0</v>
      </c>
      <c r="U60" s="99">
        <f t="shared" si="4"/>
        <v>0</v>
      </c>
      <c r="V60" s="99">
        <v>0</v>
      </c>
      <c r="W60" s="133">
        <v>0</v>
      </c>
      <c r="X60" s="99">
        <f t="shared" si="5"/>
        <v>0</v>
      </c>
    </row>
    <row r="61" spans="1:24" ht="12.75">
      <c r="A61" s="80">
        <v>2711</v>
      </c>
      <c r="B61" s="81" t="s">
        <v>187</v>
      </c>
      <c r="C61" s="99">
        <f>+'PE-PARTIDA'!C61</f>
        <v>0</v>
      </c>
      <c r="D61" s="99"/>
      <c r="E61" s="99"/>
      <c r="F61" s="99">
        <f>+'PE-PARTIDA'!Q61</f>
        <v>0</v>
      </c>
      <c r="G61" s="99">
        <f>+'PE-PARTIDA'!AA61</f>
        <v>0</v>
      </c>
      <c r="H61" s="99">
        <v>0</v>
      </c>
      <c r="I61" s="99">
        <v>5000</v>
      </c>
      <c r="J61" s="99">
        <v>95000</v>
      </c>
      <c r="K61" s="99">
        <v>0</v>
      </c>
      <c r="L61" s="99">
        <v>0</v>
      </c>
      <c r="M61" s="99">
        <f>+'PE-PARTIDA'!G61+'PE-PARTIDA'!J61+'PE-PARTIDA'!N61+'PE-PARTIDA'!X61+'PE-PARTIDA'!AJ61+'PE-PARTIDA'!AS61+'PE-PARTIDA'!AV61+'PE-PARTIDA'!AB61+'PE-PARTIDA'!AP61</f>
        <v>0</v>
      </c>
      <c r="N61" s="99">
        <f>+'PE-PARTIDA'!H61+'PE-PARTIDA'!K61+'PE-PARTIDA'!O61+'PE-PARTIDA'!Y61+'PE-PARTIDA'!AC61+'PE-PARTIDA'!AK61+'PE-PARTIDA'!AT61+'PE-PARTIDA'!AW61+'PE-PARTIDA'!AQ60</f>
        <v>0</v>
      </c>
      <c r="O61" s="99">
        <f>+'PE-PARTIDA'!R61</f>
        <v>0</v>
      </c>
      <c r="P61" s="99">
        <f>+'PE-PARTIDA'!S61+'PE-PARTIDA'!V61+'PE-PARTIDA'!AD61</f>
        <v>0</v>
      </c>
      <c r="Q61" s="99">
        <f>+'PE-PARTIDA'!E61+'PE-PARTIDA'!M61</f>
        <v>0</v>
      </c>
      <c r="R61" s="99">
        <f>+'PE-PARTIDA'!AH61+'PE-PARTIDA'!AM61</f>
        <v>0</v>
      </c>
      <c r="S61" s="99">
        <v>0</v>
      </c>
      <c r="T61" s="99">
        <v>0</v>
      </c>
      <c r="U61" s="99">
        <f t="shared" si="4"/>
        <v>100000</v>
      </c>
      <c r="V61" s="99">
        <v>99693.81</v>
      </c>
      <c r="W61" s="133">
        <f t="shared" si="6"/>
        <v>0.9969380999999999</v>
      </c>
      <c r="X61" s="99">
        <f t="shared" si="5"/>
        <v>306.1900000000023</v>
      </c>
    </row>
    <row r="62" spans="1:24" ht="12.75">
      <c r="A62" s="80">
        <v>2721</v>
      </c>
      <c r="B62" s="81" t="s">
        <v>46</v>
      </c>
      <c r="C62" s="99">
        <f>+'PE-PARTIDA'!C62</f>
        <v>0</v>
      </c>
      <c r="D62" s="99"/>
      <c r="E62" s="99"/>
      <c r="F62" s="99">
        <f>+'PE-PARTIDA'!Q62</f>
        <v>0</v>
      </c>
      <c r="G62" s="99">
        <f>+'PE-PARTIDA'!AA62</f>
        <v>5000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f>+'PE-PARTIDA'!G62+'PE-PARTIDA'!J62+'PE-PARTIDA'!N62+'PE-PARTIDA'!X62+'PE-PARTIDA'!AJ62+'PE-PARTIDA'!AS62+'PE-PARTIDA'!AV62+'PE-PARTIDA'!AB62+'PE-PARTIDA'!AP62</f>
        <v>0</v>
      </c>
      <c r="N62" s="99">
        <f>+'PE-PARTIDA'!H62+'PE-PARTIDA'!K62+'PE-PARTIDA'!O62+'PE-PARTIDA'!Y62+'PE-PARTIDA'!AC62+'PE-PARTIDA'!AK62+'PE-PARTIDA'!AT62+'PE-PARTIDA'!AW62+'PE-PARTIDA'!AQ61</f>
        <v>0</v>
      </c>
      <c r="O62" s="99">
        <f>+'PE-PARTIDA'!R62</f>
        <v>0</v>
      </c>
      <c r="P62" s="99">
        <f>+'PE-PARTIDA'!S62+'PE-PARTIDA'!V62+'PE-PARTIDA'!AD62</f>
        <v>0</v>
      </c>
      <c r="Q62" s="99">
        <f>+'PE-PARTIDA'!E62+'PE-PARTIDA'!M62</f>
        <v>0</v>
      </c>
      <c r="R62" s="99">
        <f>+'PE-PARTIDA'!AH62+'PE-PARTIDA'!AM62</f>
        <v>0</v>
      </c>
      <c r="S62" s="99">
        <v>0</v>
      </c>
      <c r="T62" s="99">
        <v>0</v>
      </c>
      <c r="U62" s="99">
        <f t="shared" si="4"/>
        <v>5000</v>
      </c>
      <c r="V62" s="99">
        <v>219.01</v>
      </c>
      <c r="W62" s="133">
        <f t="shared" si="6"/>
        <v>0.043802</v>
      </c>
      <c r="X62" s="99">
        <f t="shared" si="5"/>
        <v>4780.99</v>
      </c>
    </row>
    <row r="63" spans="1:24" ht="12.75">
      <c r="A63" s="80">
        <v>2731</v>
      </c>
      <c r="B63" s="81" t="s">
        <v>20</v>
      </c>
      <c r="C63" s="99">
        <f>+'PE-PARTIDA'!C63</f>
        <v>0</v>
      </c>
      <c r="D63" s="99"/>
      <c r="E63" s="99"/>
      <c r="F63" s="99">
        <f>+'PE-PARTIDA'!Q63</f>
        <v>0</v>
      </c>
      <c r="G63" s="99">
        <f>+'PE-PARTIDA'!AA63</f>
        <v>5000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f>+'PE-PARTIDA'!G63+'PE-PARTIDA'!J63+'PE-PARTIDA'!N63+'PE-PARTIDA'!X63+'PE-PARTIDA'!AJ63+'PE-PARTIDA'!AS63+'PE-PARTIDA'!AV63+'PE-PARTIDA'!AB63+'PE-PARTIDA'!AP63</f>
        <v>0</v>
      </c>
      <c r="N63" s="99">
        <f>+'PE-PARTIDA'!H63+'PE-PARTIDA'!K63+'PE-PARTIDA'!O63+'PE-PARTIDA'!Y63+'PE-PARTIDA'!AC63+'PE-PARTIDA'!AK63+'PE-PARTIDA'!AT63+'PE-PARTIDA'!AW63+'PE-PARTIDA'!AQ62</f>
        <v>0</v>
      </c>
      <c r="O63" s="99">
        <f>+'PE-PARTIDA'!R63</f>
        <v>0</v>
      </c>
      <c r="P63" s="99">
        <f>+'PE-PARTIDA'!S63+'PE-PARTIDA'!V63+'PE-PARTIDA'!AD63</f>
        <v>0</v>
      </c>
      <c r="Q63" s="99">
        <f>+'PE-PARTIDA'!E63+'PE-PARTIDA'!M63</f>
        <v>0</v>
      </c>
      <c r="R63" s="99">
        <f>+'PE-PARTIDA'!AH63+'PE-PARTIDA'!AM63</f>
        <v>0</v>
      </c>
      <c r="S63" s="99">
        <v>0</v>
      </c>
      <c r="T63" s="99">
        <v>0</v>
      </c>
      <c r="U63" s="99">
        <f t="shared" si="4"/>
        <v>5000</v>
      </c>
      <c r="V63" s="99">
        <v>0</v>
      </c>
      <c r="W63" s="133">
        <f t="shared" si="6"/>
        <v>0</v>
      </c>
      <c r="X63" s="99">
        <f t="shared" si="5"/>
        <v>5000</v>
      </c>
    </row>
    <row r="64" spans="1:24" ht="12.75">
      <c r="A64" s="80">
        <v>2741</v>
      </c>
      <c r="B64" s="81" t="s">
        <v>76</v>
      </c>
      <c r="C64" s="99">
        <f>+'PE-PARTIDA'!C64</f>
        <v>0</v>
      </c>
      <c r="D64" s="99"/>
      <c r="E64" s="99"/>
      <c r="F64" s="99">
        <f>+'PE-PARTIDA'!Q64</f>
        <v>0</v>
      </c>
      <c r="G64" s="99">
        <f>+'PE-PARTIDA'!AA64</f>
        <v>3000</v>
      </c>
      <c r="H64" s="99">
        <v>0</v>
      </c>
      <c r="I64" s="99">
        <v>8000</v>
      </c>
      <c r="J64" s="99">
        <v>0</v>
      </c>
      <c r="K64" s="99">
        <v>0</v>
      </c>
      <c r="L64" s="99">
        <v>0</v>
      </c>
      <c r="M64" s="99">
        <f>+'PE-PARTIDA'!G64+'PE-PARTIDA'!J64+'PE-PARTIDA'!N64+'PE-PARTIDA'!X64+'PE-PARTIDA'!AJ64+'PE-PARTIDA'!AS64+'PE-PARTIDA'!AV64+'PE-PARTIDA'!AB64+'PE-PARTIDA'!AP64</f>
        <v>0</v>
      </c>
      <c r="N64" s="99">
        <f>+'PE-PARTIDA'!H64+'PE-PARTIDA'!K64+'PE-PARTIDA'!O64+'PE-PARTIDA'!Y64+'PE-PARTIDA'!AC64+'PE-PARTIDA'!AK64+'PE-PARTIDA'!AT64+'PE-PARTIDA'!AW64+'PE-PARTIDA'!AQ63</f>
        <v>0</v>
      </c>
      <c r="O64" s="99">
        <f>+'PE-PARTIDA'!R64</f>
        <v>0</v>
      </c>
      <c r="P64" s="99">
        <f>+'PE-PARTIDA'!S64+'PE-PARTIDA'!V64+'PE-PARTIDA'!AD64</f>
        <v>0</v>
      </c>
      <c r="Q64" s="99">
        <f>+'PE-PARTIDA'!E64+'PE-PARTIDA'!M64</f>
        <v>0</v>
      </c>
      <c r="R64" s="99">
        <f>+'PE-PARTIDA'!AH64+'PE-PARTIDA'!AM64</f>
        <v>0</v>
      </c>
      <c r="S64" s="99">
        <v>0</v>
      </c>
      <c r="T64" s="99">
        <v>0</v>
      </c>
      <c r="U64" s="99">
        <f t="shared" si="4"/>
        <v>11000</v>
      </c>
      <c r="V64" s="99">
        <v>4464.7</v>
      </c>
      <c r="W64" s="133">
        <f t="shared" si="6"/>
        <v>0.4058818181818182</v>
      </c>
      <c r="X64" s="99">
        <f t="shared" si="5"/>
        <v>6535.3</v>
      </c>
    </row>
    <row r="65" spans="1:24" ht="12.75">
      <c r="A65" s="80">
        <v>2911</v>
      </c>
      <c r="B65" s="81" t="s">
        <v>21</v>
      </c>
      <c r="C65" s="99">
        <f>+'PE-PARTIDA'!C65</f>
        <v>0</v>
      </c>
      <c r="D65" s="99"/>
      <c r="E65" s="99"/>
      <c r="F65" s="99">
        <f>+'PE-PARTIDA'!Q65</f>
        <v>0</v>
      </c>
      <c r="G65" s="99">
        <f>+'PE-PARTIDA'!AA65</f>
        <v>5000</v>
      </c>
      <c r="H65" s="99">
        <v>0</v>
      </c>
      <c r="I65" s="99">
        <v>5000</v>
      </c>
      <c r="J65" s="99">
        <v>0</v>
      </c>
      <c r="K65" s="99">
        <v>0</v>
      </c>
      <c r="L65" s="99">
        <v>0</v>
      </c>
      <c r="M65" s="99">
        <f>+'PE-PARTIDA'!G65+'PE-PARTIDA'!J65+'PE-PARTIDA'!N65+'PE-PARTIDA'!X65+'PE-PARTIDA'!AJ65+'PE-PARTIDA'!AS65+'PE-PARTIDA'!AV65+'PE-PARTIDA'!AB65+'PE-PARTIDA'!AP65</f>
        <v>0</v>
      </c>
      <c r="N65" s="99">
        <f>+'PE-PARTIDA'!H65+'PE-PARTIDA'!K65+'PE-PARTIDA'!O65+'PE-PARTIDA'!Y65+'PE-PARTIDA'!AC65+'PE-PARTIDA'!AK65+'PE-PARTIDA'!AT65+'PE-PARTIDA'!AW65+'PE-PARTIDA'!AQ64</f>
        <v>0</v>
      </c>
      <c r="O65" s="99">
        <f>+'PE-PARTIDA'!R65</f>
        <v>0</v>
      </c>
      <c r="P65" s="99">
        <f>+'PE-PARTIDA'!S65+'PE-PARTIDA'!V65+'PE-PARTIDA'!AD65</f>
        <v>0</v>
      </c>
      <c r="Q65" s="99">
        <f>+'PE-PARTIDA'!E65+'PE-PARTIDA'!M65</f>
        <v>0</v>
      </c>
      <c r="R65" s="99">
        <f>+'PE-PARTIDA'!AH65+'PE-PARTIDA'!AM65</f>
        <v>0</v>
      </c>
      <c r="S65" s="99">
        <v>0</v>
      </c>
      <c r="T65" s="99">
        <v>0</v>
      </c>
      <c r="U65" s="99">
        <f t="shared" si="4"/>
        <v>10000</v>
      </c>
      <c r="V65" s="99">
        <v>8085.46</v>
      </c>
      <c r="W65" s="133">
        <f t="shared" si="6"/>
        <v>0.808546</v>
      </c>
      <c r="X65" s="99">
        <f t="shared" si="5"/>
        <v>1914.54</v>
      </c>
    </row>
    <row r="66" spans="1:24" ht="12.75">
      <c r="A66" s="80">
        <v>2921</v>
      </c>
      <c r="B66" s="81" t="s">
        <v>22</v>
      </c>
      <c r="C66" s="99">
        <f>+'PE-PARTIDA'!C66</f>
        <v>0</v>
      </c>
      <c r="D66" s="99"/>
      <c r="E66" s="99"/>
      <c r="F66" s="99">
        <f>+'PE-PARTIDA'!Q66</f>
        <v>0</v>
      </c>
      <c r="G66" s="99">
        <f>+'PE-PARTIDA'!AA66</f>
        <v>4000</v>
      </c>
      <c r="H66" s="99">
        <v>0</v>
      </c>
      <c r="I66" s="99">
        <v>0</v>
      </c>
      <c r="J66" s="99">
        <v>11000</v>
      </c>
      <c r="K66" s="99">
        <v>0</v>
      </c>
      <c r="L66" s="99">
        <v>0</v>
      </c>
      <c r="M66" s="99">
        <f>+'PE-PARTIDA'!G66+'PE-PARTIDA'!J66+'PE-PARTIDA'!N66+'PE-PARTIDA'!X66+'PE-PARTIDA'!AJ66+'PE-PARTIDA'!AS66+'PE-PARTIDA'!AV66+'PE-PARTIDA'!AB66+'PE-PARTIDA'!AP66</f>
        <v>0</v>
      </c>
      <c r="N66" s="99">
        <f>+'PE-PARTIDA'!H66+'PE-PARTIDA'!K66+'PE-PARTIDA'!O66+'PE-PARTIDA'!Y66+'PE-PARTIDA'!AC66+'PE-PARTIDA'!AK66+'PE-PARTIDA'!AT66+'PE-PARTIDA'!AW66+'PE-PARTIDA'!AQ65</f>
        <v>1000</v>
      </c>
      <c r="O66" s="99">
        <f>+'PE-PARTIDA'!R66</f>
        <v>0</v>
      </c>
      <c r="P66" s="99">
        <f>+'PE-PARTIDA'!S66+'PE-PARTIDA'!V66+'PE-PARTIDA'!AD66</f>
        <v>0</v>
      </c>
      <c r="Q66" s="99">
        <f>+'PE-PARTIDA'!E66+'PE-PARTIDA'!M66</f>
        <v>0</v>
      </c>
      <c r="R66" s="99">
        <f>+'PE-PARTIDA'!AH66+'PE-PARTIDA'!AM66</f>
        <v>0</v>
      </c>
      <c r="S66" s="99">
        <v>0</v>
      </c>
      <c r="T66" s="99">
        <v>0</v>
      </c>
      <c r="U66" s="99">
        <f t="shared" si="4"/>
        <v>16000</v>
      </c>
      <c r="V66" s="99">
        <v>11336.3</v>
      </c>
      <c r="W66" s="133">
        <f t="shared" si="6"/>
        <v>0.70851875</v>
      </c>
      <c r="X66" s="99">
        <f t="shared" si="5"/>
        <v>4663.700000000001</v>
      </c>
    </row>
    <row r="67" spans="1:24" ht="25.5">
      <c r="A67" s="80">
        <v>2931</v>
      </c>
      <c r="B67" s="81" t="s">
        <v>77</v>
      </c>
      <c r="C67" s="99">
        <f>+'PE-PARTIDA'!C67</f>
        <v>0</v>
      </c>
      <c r="D67" s="99"/>
      <c r="E67" s="99"/>
      <c r="F67" s="99">
        <f>+'PE-PARTIDA'!Q67</f>
        <v>0</v>
      </c>
      <c r="G67" s="99">
        <f>+'PE-PARTIDA'!AA67</f>
        <v>4000</v>
      </c>
      <c r="H67" s="99">
        <v>0</v>
      </c>
      <c r="I67" s="99">
        <v>11000</v>
      </c>
      <c r="J67" s="99">
        <v>0</v>
      </c>
      <c r="K67" s="99">
        <v>0</v>
      </c>
      <c r="L67" s="99">
        <v>0</v>
      </c>
      <c r="M67" s="99">
        <f>+'PE-PARTIDA'!G67+'PE-PARTIDA'!J67+'PE-PARTIDA'!N67+'PE-PARTIDA'!X67+'PE-PARTIDA'!AJ67+'PE-PARTIDA'!AS67+'PE-PARTIDA'!AV67+'PE-PARTIDA'!AB67+'PE-PARTIDA'!AP67</f>
        <v>0</v>
      </c>
      <c r="N67" s="99">
        <f>+'PE-PARTIDA'!H67+'PE-PARTIDA'!K67+'PE-PARTIDA'!O67+'PE-PARTIDA'!Y67+'PE-PARTIDA'!AC67+'PE-PARTIDA'!AK67+'PE-PARTIDA'!AT67+'PE-PARTIDA'!AW67+'PE-PARTIDA'!AQ66</f>
        <v>0</v>
      </c>
      <c r="O67" s="99">
        <f>+'PE-PARTIDA'!R67</f>
        <v>0</v>
      </c>
      <c r="P67" s="99">
        <f>+'PE-PARTIDA'!S67+'PE-PARTIDA'!V67+'PE-PARTIDA'!AD67</f>
        <v>0</v>
      </c>
      <c r="Q67" s="99">
        <f>+'PE-PARTIDA'!E67+'PE-PARTIDA'!M67</f>
        <v>0</v>
      </c>
      <c r="R67" s="99">
        <f>+'PE-PARTIDA'!AH67+'PE-PARTIDA'!AM67</f>
        <v>0</v>
      </c>
      <c r="S67" s="99">
        <v>0</v>
      </c>
      <c r="T67" s="99">
        <v>0</v>
      </c>
      <c r="U67" s="99">
        <f t="shared" si="4"/>
        <v>15000</v>
      </c>
      <c r="V67" s="99">
        <v>1432.22</v>
      </c>
      <c r="W67" s="133">
        <f t="shared" si="6"/>
        <v>0.09548133333333333</v>
      </c>
      <c r="X67" s="99">
        <f t="shared" si="5"/>
        <v>13567.78</v>
      </c>
    </row>
    <row r="68" spans="1:24" ht="25.5">
      <c r="A68" s="80">
        <v>2941</v>
      </c>
      <c r="B68" s="81" t="s">
        <v>188</v>
      </c>
      <c r="C68" s="99">
        <f>+'PE-PARTIDA'!C68</f>
        <v>0</v>
      </c>
      <c r="D68" s="99"/>
      <c r="E68" s="99"/>
      <c r="F68" s="99">
        <f>+'PE-PARTIDA'!Q68</f>
        <v>0</v>
      </c>
      <c r="G68" s="99">
        <f>+'PE-PARTIDA'!AA68</f>
        <v>15000</v>
      </c>
      <c r="H68" s="99">
        <v>0</v>
      </c>
      <c r="I68" s="99">
        <v>0</v>
      </c>
      <c r="J68" s="99">
        <v>50000</v>
      </c>
      <c r="K68" s="99">
        <v>0</v>
      </c>
      <c r="L68" s="99">
        <v>0</v>
      </c>
      <c r="M68" s="99">
        <f>+'PE-PARTIDA'!G68+'PE-PARTIDA'!J68+'PE-PARTIDA'!N68+'PE-PARTIDA'!X68+'PE-PARTIDA'!AJ68+'PE-PARTIDA'!AS68+'PE-PARTIDA'!AV68+'PE-PARTIDA'!AB68+'PE-PARTIDA'!AP68</f>
        <v>0</v>
      </c>
      <c r="N68" s="99">
        <f>+'PE-PARTIDA'!H68+'PE-PARTIDA'!K68+'PE-PARTIDA'!O68+'PE-PARTIDA'!Y68+'PE-PARTIDA'!AC68+'PE-PARTIDA'!AK68+'PE-PARTIDA'!AT68+'PE-PARTIDA'!AW68+'PE-PARTIDA'!AQ67</f>
        <v>0</v>
      </c>
      <c r="O68" s="99">
        <f>+'PE-PARTIDA'!R68</f>
        <v>0</v>
      </c>
      <c r="P68" s="99">
        <f>+'PE-PARTIDA'!S68+'PE-PARTIDA'!V68+'PE-PARTIDA'!AD68</f>
        <v>3000</v>
      </c>
      <c r="Q68" s="99">
        <f>+'PE-PARTIDA'!E68+'PE-PARTIDA'!M68</f>
        <v>0</v>
      </c>
      <c r="R68" s="99">
        <f>+'PE-PARTIDA'!AH68+'PE-PARTIDA'!AM68</f>
        <v>0</v>
      </c>
      <c r="S68" s="99">
        <v>0</v>
      </c>
      <c r="T68" s="99">
        <v>0</v>
      </c>
      <c r="U68" s="99">
        <f t="shared" si="4"/>
        <v>68000</v>
      </c>
      <c r="V68" s="99">
        <v>67137.08</v>
      </c>
      <c r="W68" s="133">
        <f t="shared" si="6"/>
        <v>0.98731</v>
      </c>
      <c r="X68" s="99">
        <f t="shared" si="5"/>
        <v>862.9199999999983</v>
      </c>
    </row>
    <row r="69" spans="1:24" ht="25.5">
      <c r="A69" s="80">
        <v>2951</v>
      </c>
      <c r="B69" s="81" t="s">
        <v>78</v>
      </c>
      <c r="C69" s="99">
        <f>+'PE-PARTIDA'!C69</f>
        <v>2000</v>
      </c>
      <c r="D69" s="99"/>
      <c r="E69" s="99"/>
      <c r="F69" s="99">
        <f>+'PE-PARTIDA'!Q69</f>
        <v>0</v>
      </c>
      <c r="G69" s="99">
        <f>+'PE-PARTIDA'!AA69</f>
        <v>15000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f>+'PE-PARTIDA'!G69+'PE-PARTIDA'!J69+'PE-PARTIDA'!N69+'PE-PARTIDA'!X69+'PE-PARTIDA'!AJ69+'PE-PARTIDA'!AS69+'PE-PARTIDA'!AV69+'PE-PARTIDA'!AB69+'PE-PARTIDA'!AP69</f>
        <v>0</v>
      </c>
      <c r="N69" s="99">
        <f>+'PE-PARTIDA'!H69+'PE-PARTIDA'!K69+'PE-PARTIDA'!O69+'PE-PARTIDA'!Y69+'PE-PARTIDA'!AC69+'PE-PARTIDA'!AK69+'PE-PARTIDA'!AT69+'PE-PARTIDA'!AW69+'PE-PARTIDA'!AQ68</f>
        <v>0</v>
      </c>
      <c r="O69" s="99">
        <f>+'PE-PARTIDA'!R69</f>
        <v>0</v>
      </c>
      <c r="P69" s="99">
        <f>+'PE-PARTIDA'!S69+'PE-PARTIDA'!V69+'PE-PARTIDA'!AD69</f>
        <v>0</v>
      </c>
      <c r="Q69" s="99">
        <f>+'PE-PARTIDA'!E69+'PE-PARTIDA'!M69</f>
        <v>0</v>
      </c>
      <c r="R69" s="99">
        <f>+'PE-PARTIDA'!AH69+'PE-PARTIDA'!AM69</f>
        <v>0</v>
      </c>
      <c r="S69" s="99">
        <v>0</v>
      </c>
      <c r="T69" s="99">
        <v>0</v>
      </c>
      <c r="U69" s="99">
        <f t="shared" si="4"/>
        <v>17000</v>
      </c>
      <c r="V69" s="99">
        <v>0</v>
      </c>
      <c r="W69" s="133">
        <f t="shared" si="6"/>
        <v>0</v>
      </c>
      <c r="X69" s="99">
        <f t="shared" si="5"/>
        <v>17000</v>
      </c>
    </row>
    <row r="70" spans="1:24" ht="25.5">
      <c r="A70" s="80">
        <v>2961</v>
      </c>
      <c r="B70" s="81" t="s">
        <v>23</v>
      </c>
      <c r="C70" s="99">
        <f>+'PE-PARTIDA'!C70</f>
        <v>20000</v>
      </c>
      <c r="D70" s="99"/>
      <c r="E70" s="99"/>
      <c r="F70" s="99">
        <f>+'PE-PARTIDA'!Q70</f>
        <v>0</v>
      </c>
      <c r="G70" s="99">
        <f>+'PE-PARTIDA'!AA70</f>
        <v>0</v>
      </c>
      <c r="H70" s="99">
        <v>0</v>
      </c>
      <c r="I70" s="99">
        <v>0</v>
      </c>
      <c r="J70" s="99">
        <v>30000</v>
      </c>
      <c r="K70" s="99">
        <v>0</v>
      </c>
      <c r="L70" s="99">
        <v>0</v>
      </c>
      <c r="M70" s="99">
        <f>+'PE-PARTIDA'!G70+'PE-PARTIDA'!J70+'PE-PARTIDA'!N70+'PE-PARTIDA'!X70+'PE-PARTIDA'!AJ70+'PE-PARTIDA'!AS70+'PE-PARTIDA'!AV70+'PE-PARTIDA'!AB70+'PE-PARTIDA'!AP70</f>
        <v>0</v>
      </c>
      <c r="N70" s="99">
        <f>+'PE-PARTIDA'!H70+'PE-PARTIDA'!K70+'PE-PARTIDA'!O70+'PE-PARTIDA'!Y70+'PE-PARTIDA'!AC70+'PE-PARTIDA'!AK70+'PE-PARTIDA'!AT70+'PE-PARTIDA'!AW70+'PE-PARTIDA'!AQ69</f>
        <v>0</v>
      </c>
      <c r="O70" s="99">
        <f>+'PE-PARTIDA'!R70</f>
        <v>0</v>
      </c>
      <c r="P70" s="99">
        <f>+'PE-PARTIDA'!S70+'PE-PARTIDA'!V70+'PE-PARTIDA'!AD70</f>
        <v>0</v>
      </c>
      <c r="Q70" s="99">
        <f>+'PE-PARTIDA'!E70+'PE-PARTIDA'!M70</f>
        <v>0</v>
      </c>
      <c r="R70" s="99">
        <f>+'PE-PARTIDA'!AH70+'PE-PARTIDA'!AM70</f>
        <v>0</v>
      </c>
      <c r="S70" s="99">
        <v>0</v>
      </c>
      <c r="T70" s="99">
        <v>0</v>
      </c>
      <c r="U70" s="99">
        <f t="shared" si="4"/>
        <v>50000</v>
      </c>
      <c r="V70" s="99">
        <v>35220</v>
      </c>
      <c r="W70" s="133">
        <f t="shared" si="6"/>
        <v>0.7044</v>
      </c>
      <c r="X70" s="99">
        <f t="shared" si="5"/>
        <v>14780</v>
      </c>
    </row>
    <row r="71" spans="1:24" ht="31.5" hidden="1">
      <c r="A71" s="87">
        <v>2981</v>
      </c>
      <c r="B71" s="88" t="s">
        <v>24</v>
      </c>
      <c r="C71" s="99">
        <f>+'PE-PARTIDA'!C71</f>
        <v>0</v>
      </c>
      <c r="D71" s="99"/>
      <c r="E71" s="99"/>
      <c r="F71" s="99">
        <f>+'PE-PARTIDA'!Q71</f>
        <v>0</v>
      </c>
      <c r="G71" s="99">
        <f>+'PE-PARTIDA'!AA71</f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f>+'PE-PARTIDA'!G71+'PE-PARTIDA'!J71+'PE-PARTIDA'!N71+'PE-PARTIDA'!X71+'PE-PARTIDA'!AJ71+'PE-PARTIDA'!AS71+'PE-PARTIDA'!AV71+'PE-PARTIDA'!AB71+'PE-PARTIDA'!AP71</f>
        <v>0</v>
      </c>
      <c r="N71" s="99">
        <f>+'PE-PARTIDA'!H71+'PE-PARTIDA'!K71+'PE-PARTIDA'!O71+'PE-PARTIDA'!Y71+'PE-PARTIDA'!AC71+'PE-PARTIDA'!AK71+'PE-PARTIDA'!AT71+'PE-PARTIDA'!AW71+'PE-PARTIDA'!AQ70</f>
        <v>0</v>
      </c>
      <c r="O71" s="99">
        <f>+'PE-PARTIDA'!R71</f>
        <v>0</v>
      </c>
      <c r="P71" s="99">
        <f>+'PE-PARTIDA'!S71+'PE-PARTIDA'!V71+'PE-PARTIDA'!AD71</f>
        <v>0</v>
      </c>
      <c r="Q71" s="99">
        <f>+'PE-PARTIDA'!E71+'PE-PARTIDA'!M71</f>
        <v>0</v>
      </c>
      <c r="R71" s="99">
        <f>+'PE-PARTIDA'!AH71+'PE-PARTIDA'!AM71</f>
        <v>0</v>
      </c>
      <c r="S71" s="99">
        <v>0</v>
      </c>
      <c r="T71" s="99">
        <v>0</v>
      </c>
      <c r="U71" s="99">
        <f t="shared" si="4"/>
        <v>0</v>
      </c>
      <c r="V71" s="99"/>
      <c r="W71" s="133"/>
      <c r="X71" s="99"/>
    </row>
    <row r="72" spans="1:24" ht="13.5" thickBot="1">
      <c r="A72" s="82"/>
      <c r="B72" s="83" t="s">
        <v>47</v>
      </c>
      <c r="C72" s="98">
        <f>SUM(C32:C71)</f>
        <v>86512</v>
      </c>
      <c r="D72" s="98">
        <f aca="true" t="shared" si="7" ref="D72:X72">SUM(D32:D71)</f>
        <v>0</v>
      </c>
      <c r="E72" s="98">
        <f t="shared" si="7"/>
        <v>0</v>
      </c>
      <c r="F72" s="98">
        <f t="shared" si="7"/>
        <v>0</v>
      </c>
      <c r="G72" s="98">
        <f t="shared" si="7"/>
        <v>524000</v>
      </c>
      <c r="H72" s="98">
        <f t="shared" si="7"/>
        <v>0</v>
      </c>
      <c r="I72" s="98">
        <f t="shared" si="7"/>
        <v>60838</v>
      </c>
      <c r="J72" s="98">
        <f t="shared" si="7"/>
        <v>1211000</v>
      </c>
      <c r="K72" s="98">
        <f t="shared" si="7"/>
        <v>0</v>
      </c>
      <c r="L72" s="98">
        <f t="shared" si="7"/>
        <v>0</v>
      </c>
      <c r="M72" s="98">
        <f t="shared" si="7"/>
        <v>45500</v>
      </c>
      <c r="N72" s="98">
        <f t="shared" si="7"/>
        <v>45500</v>
      </c>
      <c r="O72" s="98">
        <f t="shared" si="7"/>
        <v>0</v>
      </c>
      <c r="P72" s="98">
        <f t="shared" si="7"/>
        <v>16000</v>
      </c>
      <c r="Q72" s="98">
        <f t="shared" si="7"/>
        <v>0</v>
      </c>
      <c r="R72" s="98">
        <f t="shared" si="7"/>
        <v>68504.18</v>
      </c>
      <c r="S72" s="98">
        <f t="shared" si="7"/>
        <v>0</v>
      </c>
      <c r="T72" s="98">
        <f t="shared" si="7"/>
        <v>0</v>
      </c>
      <c r="U72" s="98">
        <f t="shared" si="7"/>
        <v>1966854.18</v>
      </c>
      <c r="V72" s="98">
        <f t="shared" si="7"/>
        <v>1792463.6999999997</v>
      </c>
      <c r="W72" s="134">
        <f>V72/U72</f>
        <v>0.9113353283770126</v>
      </c>
      <c r="X72" s="98">
        <f t="shared" si="7"/>
        <v>174390.47999999998</v>
      </c>
    </row>
    <row r="73" spans="1:24" ht="15.75">
      <c r="A73" s="178" t="s">
        <v>60</v>
      </c>
      <c r="B73" s="178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35"/>
      <c r="X73" s="100"/>
    </row>
    <row r="74" spans="1:24" ht="12.75">
      <c r="A74" s="89">
        <v>3111</v>
      </c>
      <c r="B74" s="81" t="s">
        <v>79</v>
      </c>
      <c r="C74" s="99">
        <f>+'PE-PARTIDA'!C74</f>
        <v>90000</v>
      </c>
      <c r="D74" s="99"/>
      <c r="E74" s="99"/>
      <c r="F74" s="99">
        <f>+'PE-PARTIDA'!Q74</f>
        <v>94500</v>
      </c>
      <c r="G74" s="99">
        <f>+'PE-PARTIDA'!AA74</f>
        <v>0</v>
      </c>
      <c r="H74" s="99">
        <v>0</v>
      </c>
      <c r="I74" s="101">
        <v>20000</v>
      </c>
      <c r="J74" s="99">
        <v>0</v>
      </c>
      <c r="K74" s="101">
        <v>0</v>
      </c>
      <c r="L74" s="101">
        <v>0</v>
      </c>
      <c r="M74" s="99">
        <f>+'PE-PARTIDA'!G74+'PE-PARTIDA'!J74+'PE-PARTIDA'!N74+'PE-PARTIDA'!X74+'PE-PARTIDA'!AJ74+'PE-PARTIDA'!AS74+'PE-PARTIDA'!AV74+'PE-PARTIDA'!AB74+'PE-PARTIDA'!AP74</f>
        <v>0</v>
      </c>
      <c r="N74" s="99">
        <f>+'PE-PARTIDA'!H74+'PE-PARTIDA'!K74+'PE-PARTIDA'!O74+'PE-PARTIDA'!Y74+'PE-PARTIDA'!AC74+'PE-PARTIDA'!AK74+'PE-PARTIDA'!AT74+'PE-PARTIDA'!AW74+'PE-PARTIDA'!AQ73</f>
        <v>0</v>
      </c>
      <c r="O74" s="99">
        <f>+'PE-PARTIDA'!R74</f>
        <v>20000</v>
      </c>
      <c r="P74" s="99">
        <f>+'PE-PARTIDA'!S74+'PE-PARTIDA'!V74+'PE-PARTIDA'!AD74</f>
        <v>0</v>
      </c>
      <c r="Q74" s="99">
        <f>+'PE-PARTIDA'!E74+'PE-PARTIDA'!M74</f>
        <v>0</v>
      </c>
      <c r="R74" s="99">
        <f>+'PE-PARTIDA'!AH74+'PE-PARTIDA'!AM74</f>
        <v>0</v>
      </c>
      <c r="S74" s="99">
        <v>0</v>
      </c>
      <c r="T74" s="99">
        <v>0</v>
      </c>
      <c r="U74" s="99">
        <f aca="true" t="shared" si="8" ref="U74:U120">+C74+F74+G74+N74+P74-O74-M74+Q74+R74+S74+T74+H74+I74+J74+K74+L74</f>
        <v>184500</v>
      </c>
      <c r="V74" s="101">
        <v>158473</v>
      </c>
      <c r="W74" s="136">
        <f>V74/U74</f>
        <v>0.8589322493224932</v>
      </c>
      <c r="X74" s="99">
        <f aca="true" t="shared" si="9" ref="X74:X123">+U74-V74</f>
        <v>26027</v>
      </c>
    </row>
    <row r="75" spans="1:24" ht="12.75">
      <c r="A75" s="89">
        <v>3131</v>
      </c>
      <c r="B75" s="81" t="s">
        <v>189</v>
      </c>
      <c r="C75" s="99">
        <f>+'PE-PARTIDA'!C75</f>
        <v>2500</v>
      </c>
      <c r="D75" s="99"/>
      <c r="E75" s="99"/>
      <c r="F75" s="99">
        <f>+'PE-PARTIDA'!Q75</f>
        <v>2625</v>
      </c>
      <c r="G75" s="99">
        <f>+'PE-PARTIDA'!AA75</f>
        <v>0</v>
      </c>
      <c r="H75" s="99">
        <v>0</v>
      </c>
      <c r="I75" s="101">
        <v>0</v>
      </c>
      <c r="J75" s="99">
        <v>0</v>
      </c>
      <c r="K75" s="101">
        <v>0</v>
      </c>
      <c r="L75" s="101">
        <v>0</v>
      </c>
      <c r="M75" s="99">
        <f>+'PE-PARTIDA'!G75+'PE-PARTIDA'!J75+'PE-PARTIDA'!N75+'PE-PARTIDA'!X75+'PE-PARTIDA'!AJ75+'PE-PARTIDA'!AS75+'PE-PARTIDA'!AV75+'PE-PARTIDA'!AB75+'PE-PARTIDA'!AP75</f>
        <v>0</v>
      </c>
      <c r="N75" s="99">
        <f>+'PE-PARTIDA'!H75+'PE-PARTIDA'!K75+'PE-PARTIDA'!O75+'PE-PARTIDA'!Y75+'PE-PARTIDA'!AC75+'PE-PARTIDA'!AK75+'PE-PARTIDA'!AT75+'PE-PARTIDA'!AW75+'PE-PARTIDA'!AQ74</f>
        <v>0</v>
      </c>
      <c r="O75" s="99">
        <f>+'PE-PARTIDA'!R75</f>
        <v>0</v>
      </c>
      <c r="P75" s="99">
        <f>+'PE-PARTIDA'!S75+'PE-PARTIDA'!V75+'PE-PARTIDA'!AD75</f>
        <v>0</v>
      </c>
      <c r="Q75" s="99">
        <f>+'PE-PARTIDA'!E75+'PE-PARTIDA'!M75</f>
        <v>0</v>
      </c>
      <c r="R75" s="99">
        <f>+'PE-PARTIDA'!AH75+'PE-PARTIDA'!AM75</f>
        <v>0</v>
      </c>
      <c r="S75" s="99">
        <v>0</v>
      </c>
      <c r="T75" s="99">
        <v>0</v>
      </c>
      <c r="U75" s="99">
        <f t="shared" si="8"/>
        <v>5125</v>
      </c>
      <c r="V75" s="101">
        <v>0</v>
      </c>
      <c r="W75" s="136">
        <f aca="true" t="shared" si="10" ref="W75:W120">V75/U75</f>
        <v>0</v>
      </c>
      <c r="X75" s="99">
        <f t="shared" si="9"/>
        <v>5125</v>
      </c>
    </row>
    <row r="76" spans="1:24" ht="12.75">
      <c r="A76" s="89">
        <v>3141</v>
      </c>
      <c r="B76" s="81" t="s">
        <v>80</v>
      </c>
      <c r="C76" s="99">
        <f>+'PE-PARTIDA'!C76</f>
        <v>40000</v>
      </c>
      <c r="D76" s="99"/>
      <c r="E76" s="99"/>
      <c r="F76" s="99">
        <f>+'PE-PARTIDA'!Q76</f>
        <v>189000</v>
      </c>
      <c r="G76" s="99">
        <f>+'PE-PARTIDA'!AA76</f>
        <v>0</v>
      </c>
      <c r="H76" s="99">
        <v>0</v>
      </c>
      <c r="I76" s="101">
        <v>11000</v>
      </c>
      <c r="J76" s="99">
        <v>10000</v>
      </c>
      <c r="K76" s="101">
        <v>0</v>
      </c>
      <c r="L76" s="101">
        <v>0</v>
      </c>
      <c r="M76" s="99">
        <f>+'PE-PARTIDA'!G76+'PE-PARTIDA'!J76+'PE-PARTIDA'!N76+'PE-PARTIDA'!X76+'PE-PARTIDA'!AJ76+'PE-PARTIDA'!AS76+'PE-PARTIDA'!AV76+'PE-PARTIDA'!AB76+'PE-PARTIDA'!AP76</f>
        <v>0</v>
      </c>
      <c r="N76" s="99">
        <f>+'PE-PARTIDA'!H76+'PE-PARTIDA'!K76+'PE-PARTIDA'!O76+'PE-PARTIDA'!Y76+'PE-PARTIDA'!AC76+'PE-PARTIDA'!AK76+'PE-PARTIDA'!AT76+'PE-PARTIDA'!AW76+'PE-PARTIDA'!AQ75</f>
        <v>0</v>
      </c>
      <c r="O76" s="99">
        <f>+'PE-PARTIDA'!R76</f>
        <v>20000</v>
      </c>
      <c r="P76" s="99">
        <f>+'PE-PARTIDA'!S76+'PE-PARTIDA'!V76+'PE-PARTIDA'!AD76</f>
        <v>32000</v>
      </c>
      <c r="Q76" s="99">
        <f>+'PE-PARTIDA'!E76+'PE-PARTIDA'!M76</f>
        <v>0</v>
      </c>
      <c r="R76" s="99">
        <f>+'PE-PARTIDA'!AH76+'PE-PARTIDA'!AM76</f>
        <v>0</v>
      </c>
      <c r="S76" s="99">
        <v>0</v>
      </c>
      <c r="T76" s="99">
        <v>0</v>
      </c>
      <c r="U76" s="99">
        <f t="shared" si="8"/>
        <v>262000</v>
      </c>
      <c r="V76" s="101">
        <v>261684.81000000003</v>
      </c>
      <c r="W76" s="136">
        <f t="shared" si="10"/>
        <v>0.9987969847328245</v>
      </c>
      <c r="X76" s="99">
        <f t="shared" si="9"/>
        <v>315.1899999999732</v>
      </c>
    </row>
    <row r="77" spans="1:24" ht="12.75" hidden="1">
      <c r="A77" s="89">
        <v>3151</v>
      </c>
      <c r="B77" s="81" t="s">
        <v>190</v>
      </c>
      <c r="C77" s="99">
        <f>+'PE-PARTIDA'!C77</f>
        <v>0</v>
      </c>
      <c r="D77" s="99"/>
      <c r="E77" s="99"/>
      <c r="F77" s="99">
        <f>+'PE-PARTIDA'!Q77</f>
        <v>0</v>
      </c>
      <c r="G77" s="99">
        <f>+'PE-PARTIDA'!AA77</f>
        <v>0</v>
      </c>
      <c r="H77" s="99">
        <v>0</v>
      </c>
      <c r="I77" s="101">
        <v>0</v>
      </c>
      <c r="J77" s="99">
        <v>0</v>
      </c>
      <c r="K77" s="101">
        <v>0</v>
      </c>
      <c r="L77" s="101">
        <v>0</v>
      </c>
      <c r="M77" s="99">
        <f>+'PE-PARTIDA'!G77+'PE-PARTIDA'!J77+'PE-PARTIDA'!N77+'PE-PARTIDA'!X77+'PE-PARTIDA'!AJ77+'PE-PARTIDA'!AS77+'PE-PARTIDA'!AV77+'PE-PARTIDA'!AB77+'PE-PARTIDA'!AP77</f>
        <v>0</v>
      </c>
      <c r="N77" s="99">
        <f>+'PE-PARTIDA'!H77+'PE-PARTIDA'!K77+'PE-PARTIDA'!O77+'PE-PARTIDA'!Y77+'PE-PARTIDA'!AC77+'PE-PARTIDA'!AK77+'PE-PARTIDA'!AT77+'PE-PARTIDA'!AW77+'PE-PARTIDA'!AQ76</f>
        <v>0</v>
      </c>
      <c r="O77" s="99">
        <f>+'PE-PARTIDA'!R77</f>
        <v>0</v>
      </c>
      <c r="P77" s="99">
        <f>+'PE-PARTIDA'!S77+'PE-PARTIDA'!V77+'PE-PARTIDA'!AD77</f>
        <v>0</v>
      </c>
      <c r="Q77" s="99">
        <f>+'PE-PARTIDA'!E77+'PE-PARTIDA'!M77</f>
        <v>0</v>
      </c>
      <c r="R77" s="99">
        <f>+'PE-PARTIDA'!AH77+'PE-PARTIDA'!AM77</f>
        <v>0</v>
      </c>
      <c r="S77" s="99">
        <v>0</v>
      </c>
      <c r="T77" s="99">
        <v>0</v>
      </c>
      <c r="U77" s="99">
        <f t="shared" si="8"/>
        <v>0</v>
      </c>
      <c r="V77" s="101">
        <v>0</v>
      </c>
      <c r="W77" s="136">
        <v>0</v>
      </c>
      <c r="X77" s="99">
        <f t="shared" si="9"/>
        <v>0</v>
      </c>
    </row>
    <row r="78" spans="1:24" ht="25.5">
      <c r="A78" s="89">
        <v>3171</v>
      </c>
      <c r="B78" s="81" t="s">
        <v>191</v>
      </c>
      <c r="C78" s="99">
        <f>+'PE-PARTIDA'!C78</f>
        <v>19200</v>
      </c>
      <c r="D78" s="99"/>
      <c r="E78" s="99"/>
      <c r="F78" s="99">
        <f>+'PE-PARTIDA'!Q78</f>
        <v>20160</v>
      </c>
      <c r="G78" s="99">
        <f>+'PE-PARTIDA'!AA78</f>
        <v>0</v>
      </c>
      <c r="H78" s="99">
        <v>0</v>
      </c>
      <c r="I78" s="101">
        <v>0</v>
      </c>
      <c r="J78" s="99">
        <v>0</v>
      </c>
      <c r="K78" s="101">
        <v>0</v>
      </c>
      <c r="L78" s="101">
        <v>0</v>
      </c>
      <c r="M78" s="99">
        <f>+'PE-PARTIDA'!G78+'PE-PARTIDA'!J78+'PE-PARTIDA'!N78+'PE-PARTIDA'!X78+'PE-PARTIDA'!AJ78+'PE-PARTIDA'!AS78+'PE-PARTIDA'!AV78+'PE-PARTIDA'!AB78+'PE-PARTIDA'!AP78</f>
        <v>0</v>
      </c>
      <c r="N78" s="99">
        <f>+'PE-PARTIDA'!H78+'PE-PARTIDA'!K78+'PE-PARTIDA'!O78+'PE-PARTIDA'!Y78+'PE-PARTIDA'!AC78+'PE-PARTIDA'!AK78+'PE-PARTIDA'!AT78+'PE-PARTIDA'!AW78+'PE-PARTIDA'!AQ77</f>
        <v>0</v>
      </c>
      <c r="O78" s="99">
        <f>+'PE-PARTIDA'!R78</f>
        <v>0</v>
      </c>
      <c r="P78" s="99">
        <f>+'PE-PARTIDA'!S78+'PE-PARTIDA'!V78+'PE-PARTIDA'!AD78</f>
        <v>0</v>
      </c>
      <c r="Q78" s="99">
        <f>+'PE-PARTIDA'!E78+'PE-PARTIDA'!M78</f>
        <v>0</v>
      </c>
      <c r="R78" s="99">
        <f>+'PE-PARTIDA'!AH78+'PE-PARTIDA'!AM78</f>
        <v>0</v>
      </c>
      <c r="S78" s="99">
        <v>0</v>
      </c>
      <c r="T78" s="99">
        <v>0</v>
      </c>
      <c r="U78" s="99">
        <f t="shared" si="8"/>
        <v>39360</v>
      </c>
      <c r="V78" s="101">
        <v>33032.99</v>
      </c>
      <c r="W78" s="136">
        <f t="shared" si="10"/>
        <v>0.8392527947154471</v>
      </c>
      <c r="X78" s="99">
        <f t="shared" si="9"/>
        <v>6327.010000000002</v>
      </c>
    </row>
    <row r="79" spans="1:24" ht="12.75">
      <c r="A79" s="89">
        <v>3181</v>
      </c>
      <c r="B79" s="81" t="s">
        <v>25</v>
      </c>
      <c r="C79" s="99">
        <f>+'PE-PARTIDA'!C79</f>
        <v>1750</v>
      </c>
      <c r="D79" s="99"/>
      <c r="E79" s="99"/>
      <c r="F79" s="99">
        <f>+'PE-PARTIDA'!Q79</f>
        <v>1838</v>
      </c>
      <c r="G79" s="99">
        <f>+'PE-PARTIDA'!AA79</f>
        <v>0</v>
      </c>
      <c r="H79" s="99">
        <v>0</v>
      </c>
      <c r="I79" s="101">
        <v>0</v>
      </c>
      <c r="J79" s="99">
        <v>0</v>
      </c>
      <c r="K79" s="101">
        <v>0</v>
      </c>
      <c r="L79" s="101">
        <v>0</v>
      </c>
      <c r="M79" s="99">
        <f>+'PE-PARTIDA'!G79+'PE-PARTIDA'!J79+'PE-PARTIDA'!N79+'PE-PARTIDA'!X79+'PE-PARTIDA'!AJ79+'PE-PARTIDA'!AS79+'PE-PARTIDA'!AV79+'PE-PARTIDA'!AB79+'PE-PARTIDA'!AP79</f>
        <v>0</v>
      </c>
      <c r="N79" s="99">
        <f>+'PE-PARTIDA'!H79+'PE-PARTIDA'!K79+'PE-PARTIDA'!O79+'PE-PARTIDA'!Y79+'PE-PARTIDA'!AC79+'PE-PARTIDA'!AK79+'PE-PARTIDA'!AT79+'PE-PARTIDA'!AW79+'PE-PARTIDA'!AQ78</f>
        <v>0</v>
      </c>
      <c r="O79" s="99">
        <f>+'PE-PARTIDA'!R79</f>
        <v>0</v>
      </c>
      <c r="P79" s="99">
        <f>+'PE-PARTIDA'!S79+'PE-PARTIDA'!V79+'PE-PARTIDA'!AD79</f>
        <v>1000</v>
      </c>
      <c r="Q79" s="99">
        <f>+'PE-PARTIDA'!E79+'PE-PARTIDA'!M79</f>
        <v>0</v>
      </c>
      <c r="R79" s="99">
        <f>+'PE-PARTIDA'!AH79+'PE-PARTIDA'!AM79</f>
        <v>0</v>
      </c>
      <c r="S79" s="99">
        <v>0</v>
      </c>
      <c r="T79" s="99">
        <v>0</v>
      </c>
      <c r="U79" s="99">
        <f t="shared" si="8"/>
        <v>4588</v>
      </c>
      <c r="V79" s="101">
        <v>3768.44</v>
      </c>
      <c r="W79" s="136">
        <f t="shared" si="10"/>
        <v>0.8213687881429818</v>
      </c>
      <c r="X79" s="99">
        <f t="shared" si="9"/>
        <v>819.56</v>
      </c>
    </row>
    <row r="80" spans="1:24" ht="12.75">
      <c r="A80" s="89">
        <v>3231</v>
      </c>
      <c r="B80" s="81" t="s">
        <v>81</v>
      </c>
      <c r="C80" s="99">
        <f>+'PE-PARTIDA'!C80</f>
        <v>0</v>
      </c>
      <c r="D80" s="99"/>
      <c r="E80" s="99"/>
      <c r="F80" s="99">
        <f>+'PE-PARTIDA'!Q80</f>
        <v>0</v>
      </c>
      <c r="G80" s="99">
        <f>+'PE-PARTIDA'!AA80</f>
        <v>0</v>
      </c>
      <c r="H80" s="99">
        <v>0</v>
      </c>
      <c r="I80" s="101">
        <v>0</v>
      </c>
      <c r="J80" s="99">
        <v>0</v>
      </c>
      <c r="K80" s="101">
        <v>0</v>
      </c>
      <c r="L80" s="101">
        <v>0</v>
      </c>
      <c r="M80" s="99">
        <f>+'PE-PARTIDA'!G80+'PE-PARTIDA'!J80+'PE-PARTIDA'!N80+'PE-PARTIDA'!X80+'PE-PARTIDA'!AJ80+'PE-PARTIDA'!AS80+'PE-PARTIDA'!AV80+'PE-PARTIDA'!AB80+'PE-PARTIDA'!AP80</f>
        <v>0</v>
      </c>
      <c r="N80" s="99">
        <f>+'PE-PARTIDA'!H80+'PE-PARTIDA'!K80+'PE-PARTIDA'!O80+'PE-PARTIDA'!Y80+'PE-PARTIDA'!AC80+'PE-PARTIDA'!AK80+'PE-PARTIDA'!AT80+'PE-PARTIDA'!AW80+'PE-PARTIDA'!AQ79</f>
        <v>0</v>
      </c>
      <c r="O80" s="99">
        <f>+'PE-PARTIDA'!R80</f>
        <v>0</v>
      </c>
      <c r="P80" s="99">
        <f>+'PE-PARTIDA'!S80+'PE-PARTIDA'!V80+'PE-PARTIDA'!AD80</f>
        <v>0</v>
      </c>
      <c r="Q80" s="99">
        <f>+'PE-PARTIDA'!E80+'PE-PARTIDA'!M80</f>
        <v>0</v>
      </c>
      <c r="R80" s="99">
        <f>+'PE-PARTIDA'!AH80+'PE-PARTIDA'!AM80</f>
        <v>0</v>
      </c>
      <c r="S80" s="99">
        <v>0</v>
      </c>
      <c r="T80" s="99">
        <v>0</v>
      </c>
      <c r="U80" s="99">
        <f t="shared" si="8"/>
        <v>0</v>
      </c>
      <c r="V80" s="101">
        <v>0</v>
      </c>
      <c r="W80" s="136">
        <v>0</v>
      </c>
      <c r="X80" s="99">
        <f t="shared" si="9"/>
        <v>0</v>
      </c>
    </row>
    <row r="81" spans="1:24" ht="12.75">
      <c r="A81" s="89">
        <v>3251</v>
      </c>
      <c r="B81" s="81" t="s">
        <v>192</v>
      </c>
      <c r="C81" s="99">
        <f>+'PE-PARTIDA'!C81</f>
        <v>0</v>
      </c>
      <c r="D81" s="99"/>
      <c r="E81" s="99"/>
      <c r="F81" s="99">
        <f>+'PE-PARTIDA'!Q81</f>
        <v>42000</v>
      </c>
      <c r="G81" s="99">
        <f>+'PE-PARTIDA'!AA81</f>
        <v>0</v>
      </c>
      <c r="H81" s="99">
        <v>0</v>
      </c>
      <c r="I81" s="101">
        <v>4267.06</v>
      </c>
      <c r="J81" s="99">
        <v>23732.94</v>
      </c>
      <c r="K81" s="101">
        <v>0</v>
      </c>
      <c r="L81" s="101">
        <v>0</v>
      </c>
      <c r="M81" s="99">
        <f>+'PE-PARTIDA'!G81+'PE-PARTIDA'!J81+'PE-PARTIDA'!N81+'PE-PARTIDA'!X81+'PE-PARTIDA'!AJ81+'PE-PARTIDA'!AS81+'PE-PARTIDA'!AV81+'PE-PARTIDA'!AB81+'PE-PARTIDA'!AP81</f>
        <v>0</v>
      </c>
      <c r="N81" s="99">
        <f>+'PE-PARTIDA'!H81+'PE-PARTIDA'!K81+'PE-PARTIDA'!O81+'PE-PARTIDA'!Y81+'PE-PARTIDA'!AC81+'PE-PARTIDA'!AK81+'PE-PARTIDA'!AT81+'PE-PARTIDA'!AW81+'PE-PARTIDA'!AQ80</f>
        <v>0</v>
      </c>
      <c r="O81" s="99">
        <f>+'PE-PARTIDA'!R81</f>
        <v>5000</v>
      </c>
      <c r="P81" s="99">
        <f>+'PE-PARTIDA'!S81+'PE-PARTIDA'!V81+'PE-PARTIDA'!AD81</f>
        <v>0</v>
      </c>
      <c r="Q81" s="99">
        <f>+'PE-PARTIDA'!E81+'PE-PARTIDA'!M81</f>
        <v>0</v>
      </c>
      <c r="R81" s="99">
        <f>+'PE-PARTIDA'!AH81+'PE-PARTIDA'!AM81</f>
        <v>0</v>
      </c>
      <c r="S81" s="99">
        <v>0</v>
      </c>
      <c r="T81" s="99">
        <v>0</v>
      </c>
      <c r="U81" s="99">
        <f t="shared" si="8"/>
        <v>65000</v>
      </c>
      <c r="V81" s="101">
        <v>63952.21</v>
      </c>
      <c r="W81" s="136">
        <f t="shared" si="10"/>
        <v>0.9838801538461538</v>
      </c>
      <c r="X81" s="99">
        <f t="shared" si="9"/>
        <v>1047.7900000000009</v>
      </c>
    </row>
    <row r="82" spans="1:24" ht="25.5">
      <c r="A82" s="89">
        <v>3261</v>
      </c>
      <c r="B82" s="81" t="s">
        <v>82</v>
      </c>
      <c r="C82" s="99">
        <f>+'PE-PARTIDA'!C82</f>
        <v>0</v>
      </c>
      <c r="D82" s="99"/>
      <c r="E82" s="99"/>
      <c r="F82" s="99">
        <f>+'PE-PARTIDA'!Q82</f>
        <v>34000</v>
      </c>
      <c r="G82" s="99">
        <f>+'PE-PARTIDA'!AA82</f>
        <v>0</v>
      </c>
      <c r="H82" s="99">
        <v>0</v>
      </c>
      <c r="I82" s="101">
        <v>6000</v>
      </c>
      <c r="J82" s="99">
        <v>30000</v>
      </c>
      <c r="K82" s="101">
        <v>0</v>
      </c>
      <c r="L82" s="101">
        <v>0</v>
      </c>
      <c r="M82" s="99">
        <f>+'PE-PARTIDA'!G82+'PE-PARTIDA'!J82+'PE-PARTIDA'!N82+'PE-PARTIDA'!X82+'PE-PARTIDA'!AJ82+'PE-PARTIDA'!AS82+'PE-PARTIDA'!AV82+'PE-PARTIDA'!AB82+'PE-PARTIDA'!AP82</f>
        <v>0</v>
      </c>
      <c r="N82" s="99">
        <f>+'PE-PARTIDA'!H82+'PE-PARTIDA'!K82+'PE-PARTIDA'!O82+'PE-PARTIDA'!Y82+'PE-PARTIDA'!AC82+'PE-PARTIDA'!AK82+'PE-PARTIDA'!AT82+'PE-PARTIDA'!AW82+'PE-PARTIDA'!AQ81</f>
        <v>0</v>
      </c>
      <c r="O82" s="99">
        <f>+'PE-PARTIDA'!R82</f>
        <v>0</v>
      </c>
      <c r="P82" s="99">
        <f>+'PE-PARTIDA'!S82+'PE-PARTIDA'!V82+'PE-PARTIDA'!AD82</f>
        <v>0</v>
      </c>
      <c r="Q82" s="99">
        <f>+'PE-PARTIDA'!E82+'PE-PARTIDA'!M82</f>
        <v>0</v>
      </c>
      <c r="R82" s="99">
        <f>+'PE-PARTIDA'!AH82+'PE-PARTIDA'!AM82</f>
        <v>0</v>
      </c>
      <c r="S82" s="99">
        <v>0</v>
      </c>
      <c r="T82" s="99">
        <v>0</v>
      </c>
      <c r="U82" s="99">
        <f t="shared" si="8"/>
        <v>70000</v>
      </c>
      <c r="V82" s="101">
        <v>69716</v>
      </c>
      <c r="W82" s="136">
        <f t="shared" si="10"/>
        <v>0.9959428571428571</v>
      </c>
      <c r="X82" s="99">
        <f t="shared" si="9"/>
        <v>284</v>
      </c>
    </row>
    <row r="83" spans="1:24" ht="12.75">
      <c r="A83" s="89">
        <v>3291</v>
      </c>
      <c r="B83" s="81" t="s">
        <v>83</v>
      </c>
      <c r="C83" s="99">
        <f>+'PE-PARTIDA'!C83</f>
        <v>5000</v>
      </c>
      <c r="D83" s="99"/>
      <c r="E83" s="99"/>
      <c r="F83" s="99">
        <f>+'PE-PARTIDA'!Q83</f>
        <v>0</v>
      </c>
      <c r="G83" s="99">
        <f>+'PE-PARTIDA'!AA83</f>
        <v>0</v>
      </c>
      <c r="H83" s="99">
        <v>0</v>
      </c>
      <c r="I83" s="101">
        <v>2000</v>
      </c>
      <c r="J83" s="99">
        <v>0</v>
      </c>
      <c r="K83" s="101">
        <v>0</v>
      </c>
      <c r="L83" s="101">
        <v>0</v>
      </c>
      <c r="M83" s="99">
        <f>+'PE-PARTIDA'!G83+'PE-PARTIDA'!J83+'PE-PARTIDA'!N83+'PE-PARTIDA'!X83+'PE-PARTIDA'!AJ83+'PE-PARTIDA'!AS83+'PE-PARTIDA'!AV83+'PE-PARTIDA'!AB83+'PE-PARTIDA'!AP83</f>
        <v>0</v>
      </c>
      <c r="N83" s="99">
        <f>+'PE-PARTIDA'!H83+'PE-PARTIDA'!K83+'PE-PARTIDA'!O83+'PE-PARTIDA'!Y83+'PE-PARTIDA'!AC83+'PE-PARTIDA'!AK83+'PE-PARTIDA'!AT83+'PE-PARTIDA'!AW83+'PE-PARTIDA'!AQ82</f>
        <v>0</v>
      </c>
      <c r="O83" s="99">
        <f>+'PE-PARTIDA'!R83</f>
        <v>0</v>
      </c>
      <c r="P83" s="99">
        <f>+'PE-PARTIDA'!S83+'PE-PARTIDA'!V83+'PE-PARTIDA'!AD83</f>
        <v>0</v>
      </c>
      <c r="Q83" s="99">
        <f>+'PE-PARTIDA'!E83+'PE-PARTIDA'!M83</f>
        <v>0</v>
      </c>
      <c r="R83" s="99">
        <f>+'PE-PARTIDA'!AH83+'PE-PARTIDA'!AM83</f>
        <v>0</v>
      </c>
      <c r="S83" s="99">
        <v>0</v>
      </c>
      <c r="T83" s="99">
        <v>0</v>
      </c>
      <c r="U83" s="99">
        <f t="shared" si="8"/>
        <v>7000</v>
      </c>
      <c r="V83" s="101">
        <v>3480</v>
      </c>
      <c r="W83" s="136">
        <f t="shared" si="10"/>
        <v>0.49714285714285716</v>
      </c>
      <c r="X83" s="99">
        <f t="shared" si="9"/>
        <v>3520</v>
      </c>
    </row>
    <row r="84" spans="1:24" ht="25.5">
      <c r="A84" s="89">
        <v>3311</v>
      </c>
      <c r="B84" s="81" t="s">
        <v>84</v>
      </c>
      <c r="C84" s="99">
        <f>+'PE-PARTIDA'!C84</f>
        <v>100000</v>
      </c>
      <c r="D84" s="99"/>
      <c r="E84" s="99"/>
      <c r="F84" s="99">
        <f>+'PE-PARTIDA'!Q84</f>
        <v>120000</v>
      </c>
      <c r="G84" s="99">
        <f>+'PE-PARTIDA'!AA84</f>
        <v>50000</v>
      </c>
      <c r="H84" s="99">
        <v>0</v>
      </c>
      <c r="I84" s="101">
        <v>0</v>
      </c>
      <c r="J84" s="99">
        <v>130000</v>
      </c>
      <c r="K84" s="101">
        <v>0</v>
      </c>
      <c r="L84" s="101">
        <v>0</v>
      </c>
      <c r="M84" s="99">
        <f>+'PE-PARTIDA'!G84+'PE-PARTIDA'!J84+'PE-PARTIDA'!N84+'PE-PARTIDA'!X84+'PE-PARTIDA'!AJ84+'PE-PARTIDA'!AS84+'PE-PARTIDA'!AV84+'PE-PARTIDA'!AB84+'PE-PARTIDA'!AP84</f>
        <v>0</v>
      </c>
      <c r="N84" s="99">
        <f>+'PE-PARTIDA'!H84+'PE-PARTIDA'!K84+'PE-PARTIDA'!O84+'PE-PARTIDA'!Y84+'PE-PARTIDA'!AC84+'PE-PARTIDA'!AK84+'PE-PARTIDA'!AT84+'PE-PARTIDA'!AW84+'PE-PARTIDA'!AQ83</f>
        <v>22000</v>
      </c>
      <c r="O84" s="99">
        <f>+'PE-PARTIDA'!R84</f>
        <v>80000</v>
      </c>
      <c r="P84" s="99">
        <f>+'PE-PARTIDA'!S84+'PE-PARTIDA'!V84+'PE-PARTIDA'!AD84</f>
        <v>0</v>
      </c>
      <c r="Q84" s="99">
        <f>+'PE-PARTIDA'!E84+'PE-PARTIDA'!M84</f>
        <v>0</v>
      </c>
      <c r="R84" s="99">
        <f>+'PE-PARTIDA'!AH84+'PE-PARTIDA'!AM84</f>
        <v>0</v>
      </c>
      <c r="S84" s="99">
        <v>0</v>
      </c>
      <c r="T84" s="99">
        <v>0</v>
      </c>
      <c r="U84" s="99">
        <f t="shared" si="8"/>
        <v>342000</v>
      </c>
      <c r="V84" s="101">
        <v>341428.14</v>
      </c>
      <c r="W84" s="136">
        <f t="shared" si="10"/>
        <v>0.9983278947368421</v>
      </c>
      <c r="X84" s="99">
        <f t="shared" si="9"/>
        <v>571.859999999986</v>
      </c>
    </row>
    <row r="85" spans="1:24" ht="12.75">
      <c r="A85" s="89">
        <v>3331</v>
      </c>
      <c r="B85" s="81" t="s">
        <v>193</v>
      </c>
      <c r="C85" s="99">
        <f>+'PE-PARTIDA'!C85</f>
        <v>0</v>
      </c>
      <c r="D85" s="99"/>
      <c r="E85" s="99"/>
      <c r="F85" s="99">
        <f>+'PE-PARTIDA'!Q85</f>
        <v>0</v>
      </c>
      <c r="G85" s="99">
        <f>+'PE-PARTIDA'!AA85</f>
        <v>0</v>
      </c>
      <c r="H85" s="99">
        <v>0</v>
      </c>
      <c r="I85" s="101">
        <v>0</v>
      </c>
      <c r="J85" s="99">
        <v>450000</v>
      </c>
      <c r="K85" s="101">
        <v>0</v>
      </c>
      <c r="L85" s="101">
        <v>0</v>
      </c>
      <c r="M85" s="99">
        <f>+'PE-PARTIDA'!G85+'PE-PARTIDA'!J85+'PE-PARTIDA'!N85+'PE-PARTIDA'!X85+'PE-PARTIDA'!AJ85+'PE-PARTIDA'!AS85+'PE-PARTIDA'!AV85+'PE-PARTIDA'!AB85+'PE-PARTIDA'!AP85</f>
        <v>0</v>
      </c>
      <c r="N85" s="99">
        <f>+'PE-PARTIDA'!H85+'PE-PARTIDA'!K85+'PE-PARTIDA'!O85+'PE-PARTIDA'!Y85+'PE-PARTIDA'!AC85+'PE-PARTIDA'!AK85+'PE-PARTIDA'!AT85+'PE-PARTIDA'!AW85+'PE-PARTIDA'!AQ84</f>
        <v>0</v>
      </c>
      <c r="O85" s="99">
        <f>+'PE-PARTIDA'!R85</f>
        <v>0</v>
      </c>
      <c r="P85" s="99">
        <f>+'PE-PARTIDA'!S85+'PE-PARTIDA'!V85+'PE-PARTIDA'!AD85</f>
        <v>0</v>
      </c>
      <c r="Q85" s="99">
        <f>+'PE-PARTIDA'!E85+'PE-PARTIDA'!M85</f>
        <v>0</v>
      </c>
      <c r="R85" s="99">
        <f>+'PE-PARTIDA'!AH85+'PE-PARTIDA'!AM85</f>
        <v>0</v>
      </c>
      <c r="S85" s="99">
        <v>0</v>
      </c>
      <c r="T85" s="99">
        <v>0</v>
      </c>
      <c r="U85" s="99">
        <f t="shared" si="8"/>
        <v>450000</v>
      </c>
      <c r="V85" s="101">
        <v>442247.49</v>
      </c>
      <c r="W85" s="136">
        <f t="shared" si="10"/>
        <v>0.9827722</v>
      </c>
      <c r="X85" s="99">
        <f t="shared" si="9"/>
        <v>7752.510000000009</v>
      </c>
    </row>
    <row r="86" spans="1:24" ht="12.75">
      <c r="A86" s="89">
        <v>3341</v>
      </c>
      <c r="B86" s="81" t="s">
        <v>26</v>
      </c>
      <c r="C86" s="99">
        <f>+'PE-PARTIDA'!C86</f>
        <v>35000</v>
      </c>
      <c r="D86" s="99"/>
      <c r="E86" s="99"/>
      <c r="F86" s="99">
        <f>+'PE-PARTIDA'!Q86</f>
        <v>50000</v>
      </c>
      <c r="G86" s="99">
        <f>+'PE-PARTIDA'!AA86</f>
        <v>0</v>
      </c>
      <c r="H86" s="99">
        <v>0</v>
      </c>
      <c r="I86" s="101">
        <v>0</v>
      </c>
      <c r="J86" s="99">
        <v>70000</v>
      </c>
      <c r="K86" s="101">
        <v>0</v>
      </c>
      <c r="L86" s="101">
        <v>0</v>
      </c>
      <c r="M86" s="99">
        <f>+'PE-PARTIDA'!G86+'PE-PARTIDA'!J86+'PE-PARTIDA'!N86+'PE-PARTIDA'!X86+'PE-PARTIDA'!AJ86+'PE-PARTIDA'!AS86+'PE-PARTIDA'!AV86+'PE-PARTIDA'!AB86+'PE-PARTIDA'!AP86</f>
        <v>0</v>
      </c>
      <c r="N86" s="99">
        <f>+'PE-PARTIDA'!H86+'PE-PARTIDA'!K86+'PE-PARTIDA'!O86+'PE-PARTIDA'!Y86+'PE-PARTIDA'!AC86+'PE-PARTIDA'!AK86+'PE-PARTIDA'!AT86+'PE-PARTIDA'!AW86+'PE-PARTIDA'!AQ85</f>
        <v>0</v>
      </c>
      <c r="O86" s="99">
        <f>+'PE-PARTIDA'!R86</f>
        <v>0</v>
      </c>
      <c r="P86" s="99">
        <f>+'PE-PARTIDA'!S86+'PE-PARTIDA'!V86+'PE-PARTIDA'!AD86</f>
        <v>0</v>
      </c>
      <c r="Q86" s="99">
        <f>+'PE-PARTIDA'!E86+'PE-PARTIDA'!M86</f>
        <v>0</v>
      </c>
      <c r="R86" s="99">
        <f>+'PE-PARTIDA'!AH86+'PE-PARTIDA'!AM86</f>
        <v>0</v>
      </c>
      <c r="S86" s="99">
        <v>0</v>
      </c>
      <c r="T86" s="99">
        <v>0</v>
      </c>
      <c r="U86" s="99">
        <f t="shared" si="8"/>
        <v>155000</v>
      </c>
      <c r="V86" s="101">
        <v>141414.05</v>
      </c>
      <c r="W86" s="136">
        <f t="shared" si="10"/>
        <v>0.9123487096774193</v>
      </c>
      <c r="X86" s="99">
        <f t="shared" si="9"/>
        <v>13585.950000000012</v>
      </c>
    </row>
    <row r="87" spans="1:24" ht="12.75">
      <c r="A87" s="89">
        <v>3342</v>
      </c>
      <c r="B87" s="81" t="s">
        <v>85</v>
      </c>
      <c r="C87" s="99">
        <f>+'PE-PARTIDA'!C87</f>
        <v>25000</v>
      </c>
      <c r="D87" s="99"/>
      <c r="E87" s="99"/>
      <c r="F87" s="99">
        <f>+'PE-PARTIDA'!Q87</f>
        <v>100000</v>
      </c>
      <c r="G87" s="99">
        <f>+'PE-PARTIDA'!AA87</f>
        <v>0</v>
      </c>
      <c r="H87" s="99">
        <v>0</v>
      </c>
      <c r="I87" s="101">
        <v>0</v>
      </c>
      <c r="J87" s="99">
        <v>230000</v>
      </c>
      <c r="K87" s="101">
        <v>0</v>
      </c>
      <c r="L87" s="101">
        <v>0</v>
      </c>
      <c r="M87" s="99">
        <f>+'PE-PARTIDA'!G87+'PE-PARTIDA'!J87+'PE-PARTIDA'!N87+'PE-PARTIDA'!X87+'PE-PARTIDA'!AJ87+'PE-PARTIDA'!AS87+'PE-PARTIDA'!AV87+'PE-PARTIDA'!AB87+'PE-PARTIDA'!AP87</f>
        <v>0</v>
      </c>
      <c r="N87" s="99">
        <f>+'PE-PARTIDA'!H87+'PE-PARTIDA'!K87+'PE-PARTIDA'!O87+'PE-PARTIDA'!Y87+'PE-PARTIDA'!AC87+'PE-PARTIDA'!AK87+'PE-PARTIDA'!AT87+'PE-PARTIDA'!AW87+'PE-PARTIDA'!AQ86</f>
        <v>0</v>
      </c>
      <c r="O87" s="99">
        <f>+'PE-PARTIDA'!R87</f>
        <v>80000</v>
      </c>
      <c r="P87" s="99">
        <f>+'PE-PARTIDA'!S87+'PE-PARTIDA'!V87+'PE-PARTIDA'!AD87</f>
        <v>0</v>
      </c>
      <c r="Q87" s="99">
        <f>+'PE-PARTIDA'!E87+'PE-PARTIDA'!M87</f>
        <v>0</v>
      </c>
      <c r="R87" s="99">
        <f>+'PE-PARTIDA'!AH87+'PE-PARTIDA'!AM87</f>
        <v>0</v>
      </c>
      <c r="S87" s="99">
        <v>0</v>
      </c>
      <c r="T87" s="99">
        <v>0</v>
      </c>
      <c r="U87" s="99">
        <f t="shared" si="8"/>
        <v>275000</v>
      </c>
      <c r="V87" s="101">
        <v>235474.89</v>
      </c>
      <c r="W87" s="136">
        <f t="shared" si="10"/>
        <v>0.8562723272727273</v>
      </c>
      <c r="X87" s="99">
        <f t="shared" si="9"/>
        <v>39525.109999999986</v>
      </c>
    </row>
    <row r="88" spans="1:24" ht="12.75" hidden="1">
      <c r="A88" s="89">
        <v>3361</v>
      </c>
      <c r="B88" s="81" t="s">
        <v>194</v>
      </c>
      <c r="C88" s="99">
        <f>+'PE-PARTIDA'!C88</f>
        <v>0</v>
      </c>
      <c r="D88" s="99"/>
      <c r="E88" s="99"/>
      <c r="F88" s="99">
        <f>+'PE-PARTIDA'!Q88</f>
        <v>0</v>
      </c>
      <c r="G88" s="99">
        <f>+'PE-PARTIDA'!AA88</f>
        <v>0</v>
      </c>
      <c r="H88" s="99">
        <v>0</v>
      </c>
      <c r="I88" s="101">
        <v>0</v>
      </c>
      <c r="J88" s="99">
        <v>0</v>
      </c>
      <c r="K88" s="101">
        <v>0</v>
      </c>
      <c r="L88" s="101">
        <v>0</v>
      </c>
      <c r="M88" s="99">
        <f>+'PE-PARTIDA'!G88+'PE-PARTIDA'!J88+'PE-PARTIDA'!N88+'PE-PARTIDA'!X88+'PE-PARTIDA'!AJ88+'PE-PARTIDA'!AS88+'PE-PARTIDA'!AV88+'PE-PARTIDA'!AB88+'PE-PARTIDA'!AP88</f>
        <v>0</v>
      </c>
      <c r="N88" s="99">
        <f>+'PE-PARTIDA'!H88+'PE-PARTIDA'!K88+'PE-PARTIDA'!O88+'PE-PARTIDA'!Y88+'PE-PARTIDA'!AC88+'PE-PARTIDA'!AK88+'PE-PARTIDA'!AT88+'PE-PARTIDA'!AW88+'PE-PARTIDA'!AQ87</f>
        <v>0</v>
      </c>
      <c r="O88" s="99">
        <f>+'PE-PARTIDA'!R88</f>
        <v>0</v>
      </c>
      <c r="P88" s="99">
        <f>+'PE-PARTIDA'!S88+'PE-PARTIDA'!V88+'PE-PARTIDA'!AD88</f>
        <v>0</v>
      </c>
      <c r="Q88" s="99">
        <f>+'PE-PARTIDA'!E88+'PE-PARTIDA'!M88</f>
        <v>0</v>
      </c>
      <c r="R88" s="99">
        <f>+'PE-PARTIDA'!AH88+'PE-PARTIDA'!AM88</f>
        <v>0</v>
      </c>
      <c r="S88" s="99">
        <v>0</v>
      </c>
      <c r="T88" s="99">
        <v>0</v>
      </c>
      <c r="U88" s="99">
        <f t="shared" si="8"/>
        <v>0</v>
      </c>
      <c r="V88" s="101">
        <v>0</v>
      </c>
      <c r="W88" s="136">
        <v>0</v>
      </c>
      <c r="X88" s="99">
        <f t="shared" si="9"/>
        <v>0</v>
      </c>
    </row>
    <row r="89" spans="1:24" ht="12.75" hidden="1">
      <c r="A89" s="89">
        <v>3362</v>
      </c>
      <c r="B89" s="81" t="s">
        <v>86</v>
      </c>
      <c r="C89" s="99">
        <f>+'PE-PARTIDA'!C89</f>
        <v>0</v>
      </c>
      <c r="D89" s="99"/>
      <c r="E89" s="99"/>
      <c r="F89" s="99">
        <f>+'PE-PARTIDA'!Q89</f>
        <v>0</v>
      </c>
      <c r="G89" s="99">
        <f>+'PE-PARTIDA'!AA89</f>
        <v>0</v>
      </c>
      <c r="H89" s="99">
        <v>0</v>
      </c>
      <c r="I89" s="101">
        <v>0</v>
      </c>
      <c r="J89" s="99">
        <v>0</v>
      </c>
      <c r="K89" s="101">
        <v>0</v>
      </c>
      <c r="L89" s="101">
        <v>0</v>
      </c>
      <c r="M89" s="99">
        <f>+'PE-PARTIDA'!G89+'PE-PARTIDA'!J89+'PE-PARTIDA'!N89+'PE-PARTIDA'!X89+'PE-PARTIDA'!AJ89+'PE-PARTIDA'!AS89+'PE-PARTIDA'!AV89+'PE-PARTIDA'!AB89+'PE-PARTIDA'!AP89</f>
        <v>0</v>
      </c>
      <c r="N89" s="99">
        <f>+'PE-PARTIDA'!H89+'PE-PARTIDA'!K89+'PE-PARTIDA'!O89+'PE-PARTIDA'!Y89+'PE-PARTIDA'!AC89+'PE-PARTIDA'!AK89+'PE-PARTIDA'!AT89+'PE-PARTIDA'!AW89+'PE-PARTIDA'!AQ88</f>
        <v>0</v>
      </c>
      <c r="O89" s="99">
        <f>+'PE-PARTIDA'!R89</f>
        <v>0</v>
      </c>
      <c r="P89" s="99">
        <f>+'PE-PARTIDA'!S89+'PE-PARTIDA'!V89+'PE-PARTIDA'!AD89</f>
        <v>0</v>
      </c>
      <c r="Q89" s="99">
        <f>+'PE-PARTIDA'!E89+'PE-PARTIDA'!M89</f>
        <v>0</v>
      </c>
      <c r="R89" s="99">
        <f>+'PE-PARTIDA'!AH89+'PE-PARTIDA'!AM89</f>
        <v>0</v>
      </c>
      <c r="S89" s="99">
        <v>0</v>
      </c>
      <c r="T89" s="99">
        <v>0</v>
      </c>
      <c r="U89" s="99">
        <f t="shared" si="8"/>
        <v>0</v>
      </c>
      <c r="V89" s="101">
        <v>0</v>
      </c>
      <c r="W89" s="136">
        <v>0</v>
      </c>
      <c r="X89" s="99">
        <f t="shared" si="9"/>
        <v>0</v>
      </c>
    </row>
    <row r="90" spans="1:24" ht="25.5" hidden="1">
      <c r="A90" s="89">
        <v>3363</v>
      </c>
      <c r="B90" s="81" t="s">
        <v>195</v>
      </c>
      <c r="C90" s="99">
        <f>+'PE-PARTIDA'!C90</f>
        <v>0</v>
      </c>
      <c r="D90" s="99"/>
      <c r="E90" s="99"/>
      <c r="F90" s="99">
        <f>+'PE-PARTIDA'!Q90</f>
        <v>0</v>
      </c>
      <c r="G90" s="99">
        <f>+'PE-PARTIDA'!AA90</f>
        <v>0</v>
      </c>
      <c r="H90" s="99">
        <v>0</v>
      </c>
      <c r="I90" s="101">
        <v>0</v>
      </c>
      <c r="J90" s="99">
        <v>0</v>
      </c>
      <c r="K90" s="101">
        <v>0</v>
      </c>
      <c r="L90" s="101">
        <v>0</v>
      </c>
      <c r="M90" s="99">
        <f>+'PE-PARTIDA'!G90+'PE-PARTIDA'!J90+'PE-PARTIDA'!N90+'PE-PARTIDA'!X90+'PE-PARTIDA'!AJ90+'PE-PARTIDA'!AS90+'PE-PARTIDA'!AV90+'PE-PARTIDA'!AB90+'PE-PARTIDA'!AP90</f>
        <v>0</v>
      </c>
      <c r="N90" s="99">
        <f>+'PE-PARTIDA'!H90+'PE-PARTIDA'!K90+'PE-PARTIDA'!O90+'PE-PARTIDA'!Y90+'PE-PARTIDA'!AC90+'PE-PARTIDA'!AK90+'PE-PARTIDA'!AT90+'PE-PARTIDA'!AW90+'PE-PARTIDA'!AQ89</f>
        <v>0</v>
      </c>
      <c r="O90" s="99">
        <f>+'PE-PARTIDA'!R90</f>
        <v>0</v>
      </c>
      <c r="P90" s="99">
        <f>+'PE-PARTIDA'!S90+'PE-PARTIDA'!V90+'PE-PARTIDA'!AD90</f>
        <v>0</v>
      </c>
      <c r="Q90" s="99">
        <f>+'PE-PARTIDA'!E90+'PE-PARTIDA'!M90</f>
        <v>0</v>
      </c>
      <c r="R90" s="99">
        <f>+'PE-PARTIDA'!AH90+'PE-PARTIDA'!AM90</f>
        <v>0</v>
      </c>
      <c r="S90" s="99">
        <v>0</v>
      </c>
      <c r="T90" s="99">
        <v>0</v>
      </c>
      <c r="U90" s="99">
        <f t="shared" si="8"/>
        <v>0</v>
      </c>
      <c r="V90" s="101">
        <v>0</v>
      </c>
      <c r="W90" s="136">
        <v>0</v>
      </c>
      <c r="X90" s="99">
        <f t="shared" si="9"/>
        <v>0</v>
      </c>
    </row>
    <row r="91" spans="1:24" ht="38.25" hidden="1">
      <c r="A91" s="89">
        <v>3365</v>
      </c>
      <c r="B91" s="81" t="s">
        <v>196</v>
      </c>
      <c r="C91" s="99">
        <f>+'PE-PARTIDA'!C91</f>
        <v>0</v>
      </c>
      <c r="D91" s="99"/>
      <c r="E91" s="99"/>
      <c r="F91" s="99">
        <f>+'PE-PARTIDA'!Q91</f>
        <v>0</v>
      </c>
      <c r="G91" s="99">
        <f>+'PE-PARTIDA'!AA91</f>
        <v>0</v>
      </c>
      <c r="H91" s="99">
        <v>0</v>
      </c>
      <c r="I91" s="101">
        <v>0</v>
      </c>
      <c r="J91" s="99">
        <v>0</v>
      </c>
      <c r="K91" s="101">
        <v>0</v>
      </c>
      <c r="L91" s="101">
        <v>0</v>
      </c>
      <c r="M91" s="99">
        <f>+'PE-PARTIDA'!G91+'PE-PARTIDA'!J91+'PE-PARTIDA'!N91+'PE-PARTIDA'!X91+'PE-PARTIDA'!AJ91+'PE-PARTIDA'!AS91+'PE-PARTIDA'!AV91+'PE-PARTIDA'!AB91+'PE-PARTIDA'!AP91</f>
        <v>0</v>
      </c>
      <c r="N91" s="99">
        <f>+'PE-PARTIDA'!H91+'PE-PARTIDA'!K91+'PE-PARTIDA'!O91+'PE-PARTIDA'!Y91+'PE-PARTIDA'!AC91+'PE-PARTIDA'!AK91+'PE-PARTIDA'!AT91+'PE-PARTIDA'!AW91+'PE-PARTIDA'!AQ90</f>
        <v>0</v>
      </c>
      <c r="O91" s="99">
        <f>+'PE-PARTIDA'!R91</f>
        <v>0</v>
      </c>
      <c r="P91" s="99">
        <f>+'PE-PARTIDA'!S91+'PE-PARTIDA'!V91+'PE-PARTIDA'!AD91</f>
        <v>0</v>
      </c>
      <c r="Q91" s="99">
        <f>+'PE-PARTIDA'!E91+'PE-PARTIDA'!M91</f>
        <v>0</v>
      </c>
      <c r="R91" s="99">
        <f>+'PE-PARTIDA'!AH91+'PE-PARTIDA'!AM91</f>
        <v>0</v>
      </c>
      <c r="S91" s="99">
        <v>0</v>
      </c>
      <c r="T91" s="99">
        <v>0</v>
      </c>
      <c r="U91" s="99">
        <f t="shared" si="8"/>
        <v>0</v>
      </c>
      <c r="V91" s="101">
        <v>0</v>
      </c>
      <c r="W91" s="136">
        <v>0</v>
      </c>
      <c r="X91" s="99">
        <f t="shared" si="9"/>
        <v>0</v>
      </c>
    </row>
    <row r="92" spans="1:24" ht="12.75" hidden="1">
      <c r="A92" s="89">
        <v>3381</v>
      </c>
      <c r="B92" s="81" t="s">
        <v>27</v>
      </c>
      <c r="C92" s="99">
        <f>+'PE-PARTIDA'!C92</f>
        <v>0</v>
      </c>
      <c r="D92" s="99"/>
      <c r="E92" s="99"/>
      <c r="F92" s="99">
        <f>+'PE-PARTIDA'!Q92</f>
        <v>0</v>
      </c>
      <c r="G92" s="99">
        <f>+'PE-PARTIDA'!AA92</f>
        <v>0</v>
      </c>
      <c r="H92" s="99">
        <v>0</v>
      </c>
      <c r="I92" s="101">
        <v>0</v>
      </c>
      <c r="J92" s="99">
        <v>0</v>
      </c>
      <c r="K92" s="101">
        <v>0</v>
      </c>
      <c r="L92" s="101">
        <v>0</v>
      </c>
      <c r="M92" s="99">
        <f>+'PE-PARTIDA'!G92+'PE-PARTIDA'!J92+'PE-PARTIDA'!N92+'PE-PARTIDA'!X92+'PE-PARTIDA'!AJ92+'PE-PARTIDA'!AS92+'PE-PARTIDA'!AV92+'PE-PARTIDA'!AB92+'PE-PARTIDA'!AP92</f>
        <v>0</v>
      </c>
      <c r="N92" s="99">
        <f>+'PE-PARTIDA'!H92+'PE-PARTIDA'!K92+'PE-PARTIDA'!O92+'PE-PARTIDA'!Y92+'PE-PARTIDA'!AC92+'PE-PARTIDA'!AK92+'PE-PARTIDA'!AT92+'PE-PARTIDA'!AW92+'PE-PARTIDA'!AQ91</f>
        <v>0</v>
      </c>
      <c r="O92" s="99">
        <f>+'PE-PARTIDA'!R92</f>
        <v>0</v>
      </c>
      <c r="P92" s="99">
        <f>+'PE-PARTIDA'!S92+'PE-PARTIDA'!V92+'PE-PARTIDA'!AD92</f>
        <v>0</v>
      </c>
      <c r="Q92" s="99">
        <f>+'PE-PARTIDA'!E92+'PE-PARTIDA'!M92</f>
        <v>0</v>
      </c>
      <c r="R92" s="99">
        <f>+'PE-PARTIDA'!AH92+'PE-PARTIDA'!AM92</f>
        <v>0</v>
      </c>
      <c r="S92" s="99">
        <v>0</v>
      </c>
      <c r="T92" s="99">
        <v>0</v>
      </c>
      <c r="U92" s="99">
        <f t="shared" si="8"/>
        <v>0</v>
      </c>
      <c r="V92" s="101">
        <v>0</v>
      </c>
      <c r="W92" s="136">
        <v>0</v>
      </c>
      <c r="X92" s="99">
        <f t="shared" si="9"/>
        <v>0</v>
      </c>
    </row>
    <row r="93" spans="1:24" ht="25.5" hidden="1">
      <c r="A93" s="89">
        <v>3391</v>
      </c>
      <c r="B93" s="81" t="s">
        <v>87</v>
      </c>
      <c r="C93" s="99">
        <f>+'PE-PARTIDA'!C93</f>
        <v>6040</v>
      </c>
      <c r="D93" s="99"/>
      <c r="E93" s="99"/>
      <c r="F93" s="99">
        <f>+'PE-PARTIDA'!Q93</f>
        <v>8960</v>
      </c>
      <c r="G93" s="99">
        <f>+'PE-PARTIDA'!AA93</f>
        <v>0</v>
      </c>
      <c r="H93" s="99">
        <v>0</v>
      </c>
      <c r="I93" s="101">
        <v>0</v>
      </c>
      <c r="J93" s="99">
        <v>15000</v>
      </c>
      <c r="K93" s="101">
        <v>0</v>
      </c>
      <c r="L93" s="101">
        <v>0</v>
      </c>
      <c r="M93" s="99">
        <f>+'PE-PARTIDA'!G93+'PE-PARTIDA'!J93+'PE-PARTIDA'!N93+'PE-PARTIDA'!X93+'PE-PARTIDA'!AJ93+'PE-PARTIDA'!AS93+'PE-PARTIDA'!AV93+'PE-PARTIDA'!AB93+'PE-PARTIDA'!AP93</f>
        <v>0</v>
      </c>
      <c r="N93" s="99">
        <f>+'PE-PARTIDA'!H93+'PE-PARTIDA'!K93+'PE-PARTIDA'!O93+'PE-PARTIDA'!Y93+'PE-PARTIDA'!AC93+'PE-PARTIDA'!AK93+'PE-PARTIDA'!AT93+'PE-PARTIDA'!AW93+'PE-PARTIDA'!AQ92</f>
        <v>0</v>
      </c>
      <c r="O93" s="99">
        <f>+'PE-PARTIDA'!R93</f>
        <v>0</v>
      </c>
      <c r="P93" s="99">
        <f>+'PE-PARTIDA'!S93+'PE-PARTIDA'!V93+'PE-PARTIDA'!AD93</f>
        <v>0</v>
      </c>
      <c r="Q93" s="99">
        <f>+'PE-PARTIDA'!E93+'PE-PARTIDA'!M93</f>
        <v>0</v>
      </c>
      <c r="R93" s="99">
        <f>+'PE-PARTIDA'!AH93+'PE-PARTIDA'!AM93</f>
        <v>0</v>
      </c>
      <c r="S93" s="99">
        <v>0</v>
      </c>
      <c r="T93" s="99">
        <v>0</v>
      </c>
      <c r="U93" s="99">
        <f t="shared" si="8"/>
        <v>30000</v>
      </c>
      <c r="V93" s="101">
        <v>0</v>
      </c>
      <c r="W93" s="136">
        <v>0</v>
      </c>
      <c r="X93" s="99">
        <f t="shared" si="9"/>
        <v>30000</v>
      </c>
    </row>
    <row r="94" spans="1:24" ht="12.75">
      <c r="A94" s="89">
        <v>3411</v>
      </c>
      <c r="B94" s="81" t="s">
        <v>28</v>
      </c>
      <c r="C94" s="99">
        <f>+'PE-PARTIDA'!C94</f>
        <v>10000</v>
      </c>
      <c r="D94" s="99"/>
      <c r="E94" s="99"/>
      <c r="F94" s="99">
        <f>+'PE-PARTIDA'!Q94</f>
        <v>15000</v>
      </c>
      <c r="G94" s="99">
        <f>+'PE-PARTIDA'!AA94</f>
        <v>0</v>
      </c>
      <c r="H94" s="99">
        <v>0</v>
      </c>
      <c r="I94" s="101">
        <v>0</v>
      </c>
      <c r="J94" s="99">
        <v>0</v>
      </c>
      <c r="K94" s="101">
        <v>0</v>
      </c>
      <c r="L94" s="101">
        <v>0</v>
      </c>
      <c r="M94" s="99">
        <f>+'PE-PARTIDA'!G94+'PE-PARTIDA'!J94+'PE-PARTIDA'!N94+'PE-PARTIDA'!X94+'PE-PARTIDA'!AJ94+'PE-PARTIDA'!AS94+'PE-PARTIDA'!AV94+'PE-PARTIDA'!AB94+'PE-PARTIDA'!AP94</f>
        <v>0</v>
      </c>
      <c r="N94" s="99">
        <f>+'PE-PARTIDA'!H94+'PE-PARTIDA'!K94+'PE-PARTIDA'!O94+'PE-PARTIDA'!Y94+'PE-PARTIDA'!AC94+'PE-PARTIDA'!AK94+'PE-PARTIDA'!AT94+'PE-PARTIDA'!AW94+'PE-PARTIDA'!AQ93</f>
        <v>0</v>
      </c>
      <c r="O94" s="99">
        <f>+'PE-PARTIDA'!R94</f>
        <v>0</v>
      </c>
      <c r="P94" s="99">
        <f>+'PE-PARTIDA'!S94+'PE-PARTIDA'!V94+'PE-PARTIDA'!AD94</f>
        <v>0</v>
      </c>
      <c r="Q94" s="99">
        <f>+'PE-PARTIDA'!E94+'PE-PARTIDA'!M94</f>
        <v>0</v>
      </c>
      <c r="R94" s="99">
        <f>+'PE-PARTIDA'!AH94+'PE-PARTIDA'!AM94</f>
        <v>0</v>
      </c>
      <c r="S94" s="99">
        <v>0</v>
      </c>
      <c r="T94" s="99">
        <v>0</v>
      </c>
      <c r="U94" s="99">
        <f t="shared" si="8"/>
        <v>25000</v>
      </c>
      <c r="V94" s="101">
        <v>19289.920000000002</v>
      </c>
      <c r="W94" s="136">
        <f t="shared" si="10"/>
        <v>0.7715968000000001</v>
      </c>
      <c r="X94" s="99">
        <f t="shared" si="9"/>
        <v>5710.079999999998</v>
      </c>
    </row>
    <row r="95" spans="1:24" ht="12.75">
      <c r="A95" s="89">
        <v>3451</v>
      </c>
      <c r="B95" s="81" t="s">
        <v>197</v>
      </c>
      <c r="C95" s="99">
        <f>+'PE-PARTIDA'!C95</f>
        <v>45000</v>
      </c>
      <c r="D95" s="99"/>
      <c r="E95" s="99"/>
      <c r="F95" s="99">
        <f>+'PE-PARTIDA'!Q95</f>
        <v>175000</v>
      </c>
      <c r="G95" s="99">
        <f>+'PE-PARTIDA'!AA95</f>
        <v>0</v>
      </c>
      <c r="H95" s="99">
        <v>0</v>
      </c>
      <c r="I95" s="101">
        <v>0</v>
      </c>
      <c r="J95" s="99">
        <v>0</v>
      </c>
      <c r="K95" s="101">
        <v>0</v>
      </c>
      <c r="L95" s="101">
        <v>0</v>
      </c>
      <c r="M95" s="99">
        <f>+'PE-PARTIDA'!G95+'PE-PARTIDA'!J95+'PE-PARTIDA'!N95+'PE-PARTIDA'!X95+'PE-PARTIDA'!AJ95+'PE-PARTIDA'!AS95+'PE-PARTIDA'!AV95+'PE-PARTIDA'!AB95+'PE-PARTIDA'!AP95</f>
        <v>0</v>
      </c>
      <c r="N95" s="99">
        <f>+'PE-PARTIDA'!H95+'PE-PARTIDA'!K95+'PE-PARTIDA'!O95+'PE-PARTIDA'!Y95+'PE-PARTIDA'!AC95+'PE-PARTIDA'!AK95+'PE-PARTIDA'!AT95+'PE-PARTIDA'!AW95+'PE-PARTIDA'!AQ94</f>
        <v>0</v>
      </c>
      <c r="O95" s="99">
        <f>+'PE-PARTIDA'!R95</f>
        <v>50000</v>
      </c>
      <c r="P95" s="99">
        <f>+'PE-PARTIDA'!S95+'PE-PARTIDA'!V95+'PE-PARTIDA'!AD95</f>
        <v>0</v>
      </c>
      <c r="Q95" s="99">
        <f>+'PE-PARTIDA'!E95+'PE-PARTIDA'!M95</f>
        <v>0</v>
      </c>
      <c r="R95" s="99">
        <f>+'PE-PARTIDA'!AH95+'PE-PARTIDA'!AM95</f>
        <v>0</v>
      </c>
      <c r="S95" s="99">
        <v>0</v>
      </c>
      <c r="T95" s="99">
        <v>0</v>
      </c>
      <c r="U95" s="99">
        <f t="shared" si="8"/>
        <v>170000</v>
      </c>
      <c r="V95" s="101">
        <v>101414.64</v>
      </c>
      <c r="W95" s="136">
        <f t="shared" si="10"/>
        <v>0.596556705882353</v>
      </c>
      <c r="X95" s="99">
        <f t="shared" si="9"/>
        <v>68585.36</v>
      </c>
    </row>
    <row r="96" spans="1:24" ht="12.75" hidden="1">
      <c r="A96" s="89">
        <v>3471</v>
      </c>
      <c r="B96" s="81" t="s">
        <v>29</v>
      </c>
      <c r="C96" s="99">
        <f>+'PE-PARTIDA'!C96</f>
        <v>0</v>
      </c>
      <c r="D96" s="99"/>
      <c r="E96" s="99"/>
      <c r="F96" s="99">
        <f>+'PE-PARTIDA'!Q96</f>
        <v>0</v>
      </c>
      <c r="G96" s="99">
        <f>+'PE-PARTIDA'!AA96</f>
        <v>0</v>
      </c>
      <c r="H96" s="99">
        <v>0</v>
      </c>
      <c r="I96" s="101">
        <v>0</v>
      </c>
      <c r="J96" s="99">
        <v>0</v>
      </c>
      <c r="K96" s="101">
        <v>0</v>
      </c>
      <c r="L96" s="101">
        <v>0</v>
      </c>
      <c r="M96" s="99">
        <f>+'PE-PARTIDA'!G96+'PE-PARTIDA'!J96+'PE-PARTIDA'!N96+'PE-PARTIDA'!X96+'PE-PARTIDA'!AJ96+'PE-PARTIDA'!AS96+'PE-PARTIDA'!AV96+'PE-PARTIDA'!AB96+'PE-PARTIDA'!AP96</f>
        <v>0</v>
      </c>
      <c r="N96" s="99">
        <f>+'PE-PARTIDA'!H96+'PE-PARTIDA'!K96+'PE-PARTIDA'!O96+'PE-PARTIDA'!Y96+'PE-PARTIDA'!AC96+'PE-PARTIDA'!AK96+'PE-PARTIDA'!AT96+'PE-PARTIDA'!AW96+'PE-PARTIDA'!AQ95</f>
        <v>0</v>
      </c>
      <c r="O96" s="99">
        <f>+'PE-PARTIDA'!R96</f>
        <v>0</v>
      </c>
      <c r="P96" s="99">
        <f>+'PE-PARTIDA'!S96+'PE-PARTIDA'!V96+'PE-PARTIDA'!AD96</f>
        <v>0</v>
      </c>
      <c r="Q96" s="99">
        <f>+'PE-PARTIDA'!E96+'PE-PARTIDA'!M96</f>
        <v>0</v>
      </c>
      <c r="R96" s="99">
        <f>+'PE-PARTIDA'!AH96+'PE-PARTIDA'!AM96</f>
        <v>0</v>
      </c>
      <c r="S96" s="99">
        <v>0</v>
      </c>
      <c r="T96" s="99">
        <v>0</v>
      </c>
      <c r="U96" s="99">
        <f t="shared" si="8"/>
        <v>0</v>
      </c>
      <c r="V96" s="101">
        <v>0</v>
      </c>
      <c r="W96" s="136">
        <v>0</v>
      </c>
      <c r="X96" s="99">
        <f t="shared" si="9"/>
        <v>0</v>
      </c>
    </row>
    <row r="97" spans="1:24" ht="12.75">
      <c r="A97" s="89">
        <v>3511</v>
      </c>
      <c r="B97" s="81" t="s">
        <v>198</v>
      </c>
      <c r="C97" s="99">
        <f>+'PE-PARTIDA'!C97</f>
        <v>25000</v>
      </c>
      <c r="D97" s="99"/>
      <c r="E97" s="99"/>
      <c r="F97" s="99">
        <f>+'PE-PARTIDA'!Q97</f>
        <v>25000</v>
      </c>
      <c r="G97" s="99">
        <f>+'PE-PARTIDA'!AA97</f>
        <v>0</v>
      </c>
      <c r="H97" s="99">
        <v>0</v>
      </c>
      <c r="I97" s="101">
        <v>0</v>
      </c>
      <c r="J97" s="99">
        <v>150000</v>
      </c>
      <c r="K97" s="101">
        <v>0</v>
      </c>
      <c r="L97" s="101">
        <v>0</v>
      </c>
      <c r="M97" s="99">
        <f>+'PE-PARTIDA'!G97+'PE-PARTIDA'!J97+'PE-PARTIDA'!N97+'PE-PARTIDA'!X97+'PE-PARTIDA'!AJ97+'PE-PARTIDA'!AS97+'PE-PARTIDA'!AV97+'PE-PARTIDA'!AB97+'PE-PARTIDA'!AP97</f>
        <v>0</v>
      </c>
      <c r="N97" s="99">
        <f>+'PE-PARTIDA'!H97+'PE-PARTIDA'!K97+'PE-PARTIDA'!O97+'PE-PARTIDA'!Y97+'PE-PARTIDA'!AC97+'PE-PARTIDA'!AK97+'PE-PARTIDA'!AT97+'PE-PARTIDA'!AW97+'PE-PARTIDA'!AQ96</f>
        <v>0</v>
      </c>
      <c r="O97" s="99">
        <f>+'PE-PARTIDA'!R97</f>
        <v>0</v>
      </c>
      <c r="P97" s="99">
        <f>+'PE-PARTIDA'!S97+'PE-PARTIDA'!V97+'PE-PARTIDA'!AD97</f>
        <v>510000</v>
      </c>
      <c r="Q97" s="99">
        <f>+'PE-PARTIDA'!E97+'PE-PARTIDA'!M97</f>
        <v>0</v>
      </c>
      <c r="R97" s="99">
        <f>+'PE-PARTIDA'!AH97+'PE-PARTIDA'!AM97</f>
        <v>10000</v>
      </c>
      <c r="S97" s="99">
        <v>0</v>
      </c>
      <c r="T97" s="99">
        <v>0</v>
      </c>
      <c r="U97" s="99">
        <f t="shared" si="8"/>
        <v>720000</v>
      </c>
      <c r="V97" s="101">
        <v>709902.4600000001</v>
      </c>
      <c r="W97" s="136">
        <f t="shared" si="10"/>
        <v>0.985975638888889</v>
      </c>
      <c r="X97" s="99">
        <f t="shared" si="9"/>
        <v>10097.53999999992</v>
      </c>
    </row>
    <row r="98" spans="1:24" ht="25.5">
      <c r="A98" s="89">
        <v>3521</v>
      </c>
      <c r="B98" s="81" t="s">
        <v>199</v>
      </c>
      <c r="C98" s="99">
        <f>+'PE-PARTIDA'!C98</f>
        <v>5000</v>
      </c>
      <c r="D98" s="99"/>
      <c r="E98" s="99"/>
      <c r="F98" s="99">
        <f>+'PE-PARTIDA'!Q98</f>
        <v>5000</v>
      </c>
      <c r="G98" s="99">
        <f>+'PE-PARTIDA'!AA98</f>
        <v>0</v>
      </c>
      <c r="H98" s="99">
        <v>0</v>
      </c>
      <c r="I98" s="101">
        <v>0</v>
      </c>
      <c r="J98" s="99">
        <v>20000</v>
      </c>
      <c r="K98" s="101">
        <v>0</v>
      </c>
      <c r="L98" s="101">
        <v>0</v>
      </c>
      <c r="M98" s="99">
        <f>+'PE-PARTIDA'!G98+'PE-PARTIDA'!J98+'PE-PARTIDA'!N98+'PE-PARTIDA'!X98+'PE-PARTIDA'!AJ98+'PE-PARTIDA'!AS98+'PE-PARTIDA'!AV98+'PE-PARTIDA'!AB98+'PE-PARTIDA'!AP98</f>
        <v>3000</v>
      </c>
      <c r="N98" s="99">
        <f>+'PE-PARTIDA'!H98+'PE-PARTIDA'!K98+'PE-PARTIDA'!O98+'PE-PARTIDA'!Y98+'PE-PARTIDA'!AC98+'PE-PARTIDA'!AK98+'PE-PARTIDA'!AT98+'PE-PARTIDA'!AW98+'PE-PARTIDA'!AQ97</f>
        <v>0</v>
      </c>
      <c r="O98" s="99">
        <f>+'PE-PARTIDA'!R98</f>
        <v>0</v>
      </c>
      <c r="P98" s="99">
        <f>+'PE-PARTIDA'!S98+'PE-PARTIDA'!V98+'PE-PARTIDA'!AD98</f>
        <v>0</v>
      </c>
      <c r="Q98" s="99">
        <f>+'PE-PARTIDA'!E98+'PE-PARTIDA'!M98</f>
        <v>0</v>
      </c>
      <c r="R98" s="99">
        <f>+'PE-PARTIDA'!AH98+'PE-PARTIDA'!AM98</f>
        <v>0</v>
      </c>
      <c r="S98" s="99">
        <v>0</v>
      </c>
      <c r="T98" s="99">
        <v>0</v>
      </c>
      <c r="U98" s="99">
        <f t="shared" si="8"/>
        <v>27000</v>
      </c>
      <c r="V98" s="101">
        <v>16214.419999999998</v>
      </c>
      <c r="W98" s="136">
        <f t="shared" si="10"/>
        <v>0.600534074074074</v>
      </c>
      <c r="X98" s="99">
        <f t="shared" si="9"/>
        <v>10785.580000000002</v>
      </c>
    </row>
    <row r="99" spans="1:24" ht="25.5">
      <c r="A99" s="89">
        <v>3531</v>
      </c>
      <c r="B99" s="81" t="s">
        <v>88</v>
      </c>
      <c r="C99" s="99">
        <f>+'PE-PARTIDA'!C99</f>
        <v>17000</v>
      </c>
      <c r="D99" s="99"/>
      <c r="E99" s="99"/>
      <c r="F99" s="99">
        <f>+'PE-PARTIDA'!Q99</f>
        <v>55000</v>
      </c>
      <c r="G99" s="99">
        <f>+'PE-PARTIDA'!AA99</f>
        <v>0</v>
      </c>
      <c r="H99" s="99">
        <v>0</v>
      </c>
      <c r="I99" s="101">
        <v>0</v>
      </c>
      <c r="J99" s="99">
        <v>0</v>
      </c>
      <c r="K99" s="101">
        <v>0</v>
      </c>
      <c r="L99" s="101">
        <v>0</v>
      </c>
      <c r="M99" s="99">
        <f>+'PE-PARTIDA'!G99+'PE-PARTIDA'!J99+'PE-PARTIDA'!N99+'PE-PARTIDA'!X99+'PE-PARTIDA'!AJ99+'PE-PARTIDA'!AS99+'PE-PARTIDA'!AV99+'PE-PARTIDA'!AB99+'PE-PARTIDA'!AP99</f>
        <v>0</v>
      </c>
      <c r="N99" s="99">
        <f>+'PE-PARTIDA'!H99+'PE-PARTIDA'!K99+'PE-PARTIDA'!O99+'PE-PARTIDA'!Y99+'PE-PARTIDA'!AC99+'PE-PARTIDA'!AK99+'PE-PARTIDA'!AT99+'PE-PARTIDA'!AW99+'PE-PARTIDA'!AQ98</f>
        <v>0</v>
      </c>
      <c r="O99" s="99">
        <f>+'PE-PARTIDA'!R99</f>
        <v>0</v>
      </c>
      <c r="P99" s="99">
        <f>+'PE-PARTIDA'!S99+'PE-PARTIDA'!V99+'PE-PARTIDA'!AD99</f>
        <v>0</v>
      </c>
      <c r="Q99" s="99">
        <f>+'PE-PARTIDA'!E99+'PE-PARTIDA'!M99</f>
        <v>0</v>
      </c>
      <c r="R99" s="99">
        <f>+'PE-PARTIDA'!AH99+'PE-PARTIDA'!AM99</f>
        <v>0</v>
      </c>
      <c r="S99" s="99">
        <v>0</v>
      </c>
      <c r="T99" s="99">
        <v>0</v>
      </c>
      <c r="U99" s="99">
        <f t="shared" si="8"/>
        <v>72000</v>
      </c>
      <c r="V99" s="101">
        <v>69200.90000000001</v>
      </c>
      <c r="W99" s="136">
        <f t="shared" si="10"/>
        <v>0.9611236111111112</v>
      </c>
      <c r="X99" s="99">
        <f t="shared" si="9"/>
        <v>2799.0999999999913</v>
      </c>
    </row>
    <row r="100" spans="1:24" ht="12.75">
      <c r="A100" s="89">
        <v>3551</v>
      </c>
      <c r="B100" s="81" t="s">
        <v>48</v>
      </c>
      <c r="C100" s="99">
        <f>+'PE-PARTIDA'!C100</f>
        <v>20000</v>
      </c>
      <c r="D100" s="99"/>
      <c r="E100" s="99"/>
      <c r="F100" s="99">
        <f>+'PE-PARTIDA'!Q100</f>
        <v>40000</v>
      </c>
      <c r="G100" s="99">
        <f>+'PE-PARTIDA'!AA100</f>
        <v>0</v>
      </c>
      <c r="H100" s="99">
        <v>0</v>
      </c>
      <c r="I100" s="101">
        <v>0</v>
      </c>
      <c r="J100" s="99">
        <v>30000</v>
      </c>
      <c r="K100" s="101">
        <v>0</v>
      </c>
      <c r="L100" s="101">
        <v>0</v>
      </c>
      <c r="M100" s="99">
        <f>+'PE-PARTIDA'!G100+'PE-PARTIDA'!J100+'PE-PARTIDA'!N100+'PE-PARTIDA'!X100+'PE-PARTIDA'!AJ100+'PE-PARTIDA'!AS100+'PE-PARTIDA'!AV100+'PE-PARTIDA'!AB100+'PE-PARTIDA'!AP100</f>
        <v>0</v>
      </c>
      <c r="N100" s="99">
        <f>+'PE-PARTIDA'!H100+'PE-PARTIDA'!K100+'PE-PARTIDA'!O100+'PE-PARTIDA'!Y100+'PE-PARTIDA'!AC100+'PE-PARTIDA'!AK100+'PE-PARTIDA'!AT100+'PE-PARTIDA'!AW100+'PE-PARTIDA'!AQ99</f>
        <v>0</v>
      </c>
      <c r="O100" s="99">
        <f>+'PE-PARTIDA'!R100</f>
        <v>0</v>
      </c>
      <c r="P100" s="99">
        <f>+'PE-PARTIDA'!S100+'PE-PARTIDA'!V100+'PE-PARTIDA'!AD100</f>
        <v>0</v>
      </c>
      <c r="Q100" s="99">
        <f>+'PE-PARTIDA'!E100+'PE-PARTIDA'!M100</f>
        <v>0</v>
      </c>
      <c r="R100" s="99">
        <f>+'PE-PARTIDA'!AH100+'PE-PARTIDA'!AM100</f>
        <v>20000</v>
      </c>
      <c r="S100" s="99">
        <v>0</v>
      </c>
      <c r="T100" s="99">
        <v>0</v>
      </c>
      <c r="U100" s="99">
        <f t="shared" si="8"/>
        <v>110000</v>
      </c>
      <c r="V100" s="101">
        <v>107265.46</v>
      </c>
      <c r="W100" s="136">
        <f t="shared" si="10"/>
        <v>0.9751405454545455</v>
      </c>
      <c r="X100" s="99">
        <f t="shared" si="9"/>
        <v>2734.5399999999936</v>
      </c>
    </row>
    <row r="101" spans="1:24" ht="25.5">
      <c r="A101" s="89">
        <v>3571</v>
      </c>
      <c r="B101" s="81" t="s">
        <v>200</v>
      </c>
      <c r="C101" s="99">
        <f>+'PE-PARTIDA'!C101</f>
        <v>0</v>
      </c>
      <c r="D101" s="99"/>
      <c r="E101" s="99"/>
      <c r="F101" s="99">
        <f>+'PE-PARTIDA'!Q101</f>
        <v>5000</v>
      </c>
      <c r="G101" s="99">
        <f>+'PE-PARTIDA'!AA101</f>
        <v>0</v>
      </c>
      <c r="H101" s="99">
        <v>0</v>
      </c>
      <c r="I101" s="101">
        <v>5000</v>
      </c>
      <c r="J101" s="99">
        <v>0</v>
      </c>
      <c r="K101" s="101">
        <v>0</v>
      </c>
      <c r="L101" s="101">
        <v>0</v>
      </c>
      <c r="M101" s="99">
        <f>+'PE-PARTIDA'!G101+'PE-PARTIDA'!J101+'PE-PARTIDA'!N101+'PE-PARTIDA'!X101+'PE-PARTIDA'!AJ101+'PE-PARTIDA'!AS101+'PE-PARTIDA'!AV101+'PE-PARTIDA'!AB101+'PE-PARTIDA'!AP101</f>
        <v>0</v>
      </c>
      <c r="N101" s="99">
        <f>+'PE-PARTIDA'!H101+'PE-PARTIDA'!K101+'PE-PARTIDA'!O101+'PE-PARTIDA'!Y101+'PE-PARTIDA'!AC101+'PE-PARTIDA'!AK101+'PE-PARTIDA'!AT101+'PE-PARTIDA'!AW101+'PE-PARTIDA'!AQ100</f>
        <v>0</v>
      </c>
      <c r="O101" s="99">
        <f>+'PE-PARTIDA'!R101</f>
        <v>0</v>
      </c>
      <c r="P101" s="99">
        <f>+'PE-PARTIDA'!S101+'PE-PARTIDA'!V101+'PE-PARTIDA'!AD101</f>
        <v>0</v>
      </c>
      <c r="Q101" s="99">
        <f>+'PE-PARTIDA'!E101+'PE-PARTIDA'!M101</f>
        <v>0</v>
      </c>
      <c r="R101" s="99">
        <f>+'PE-PARTIDA'!AH101+'PE-PARTIDA'!AM101</f>
        <v>0</v>
      </c>
      <c r="S101" s="99">
        <v>0</v>
      </c>
      <c r="T101" s="99">
        <v>0</v>
      </c>
      <c r="U101" s="99">
        <f t="shared" si="8"/>
        <v>10000</v>
      </c>
      <c r="V101" s="101">
        <v>9976.490000000002</v>
      </c>
      <c r="W101" s="136">
        <f t="shared" si="10"/>
        <v>0.9976490000000001</v>
      </c>
      <c r="X101" s="99">
        <f t="shared" si="9"/>
        <v>23.5099999999984</v>
      </c>
    </row>
    <row r="102" spans="1:24" ht="25.5">
      <c r="A102" s="89">
        <v>3572</v>
      </c>
      <c r="B102" s="81" t="s">
        <v>201</v>
      </c>
      <c r="C102" s="99">
        <f>+'PE-PARTIDA'!C102</f>
        <v>0</v>
      </c>
      <c r="D102" s="99"/>
      <c r="E102" s="99"/>
      <c r="F102" s="99">
        <f>+'PE-PARTIDA'!Q102</f>
        <v>5000</v>
      </c>
      <c r="G102" s="99">
        <f>+'PE-PARTIDA'!AA102</f>
        <v>0</v>
      </c>
      <c r="H102" s="99">
        <v>0</v>
      </c>
      <c r="I102" s="101">
        <v>0</v>
      </c>
      <c r="J102" s="99">
        <v>15000</v>
      </c>
      <c r="K102" s="101">
        <v>0</v>
      </c>
      <c r="L102" s="101">
        <v>0</v>
      </c>
      <c r="M102" s="99">
        <f>+'PE-PARTIDA'!G102+'PE-PARTIDA'!J102+'PE-PARTIDA'!N102+'PE-PARTIDA'!X102+'PE-PARTIDA'!AJ102+'PE-PARTIDA'!AS102+'PE-PARTIDA'!AV102+'PE-PARTIDA'!AB102+'PE-PARTIDA'!AP102</f>
        <v>0</v>
      </c>
      <c r="N102" s="99">
        <f>+'PE-PARTIDA'!H102+'PE-PARTIDA'!K102+'PE-PARTIDA'!O102+'PE-PARTIDA'!Y102+'PE-PARTIDA'!AC102+'PE-PARTIDA'!AK102+'PE-PARTIDA'!AT102+'PE-PARTIDA'!AW102+'PE-PARTIDA'!AQ101</f>
        <v>0</v>
      </c>
      <c r="O102" s="99">
        <f>+'PE-PARTIDA'!R102</f>
        <v>0</v>
      </c>
      <c r="P102" s="99">
        <f>+'PE-PARTIDA'!S102+'PE-PARTIDA'!V102+'PE-PARTIDA'!AD102</f>
        <v>0</v>
      </c>
      <c r="Q102" s="99">
        <f>+'PE-PARTIDA'!E102+'PE-PARTIDA'!M102</f>
        <v>0</v>
      </c>
      <c r="R102" s="99">
        <f>+'PE-PARTIDA'!AH102+'PE-PARTIDA'!AM102</f>
        <v>0</v>
      </c>
      <c r="S102" s="99">
        <v>0</v>
      </c>
      <c r="T102" s="99">
        <v>0</v>
      </c>
      <c r="U102" s="99">
        <f t="shared" si="8"/>
        <v>20000</v>
      </c>
      <c r="V102" s="101">
        <v>19700</v>
      </c>
      <c r="W102" s="136">
        <f t="shared" si="10"/>
        <v>0.985</v>
      </c>
      <c r="X102" s="99">
        <f t="shared" si="9"/>
        <v>300</v>
      </c>
    </row>
    <row r="103" spans="1:24" ht="12.75" hidden="1">
      <c r="A103" s="89">
        <v>3581</v>
      </c>
      <c r="B103" s="81" t="s">
        <v>39</v>
      </c>
      <c r="C103" s="99">
        <f>+'PE-PARTIDA'!C103</f>
        <v>0</v>
      </c>
      <c r="D103" s="99"/>
      <c r="E103" s="99"/>
      <c r="F103" s="99">
        <f>+'PE-PARTIDA'!Q103</f>
        <v>0</v>
      </c>
      <c r="G103" s="99">
        <f>+'PE-PARTIDA'!AA103</f>
        <v>0</v>
      </c>
      <c r="H103" s="99">
        <v>0</v>
      </c>
      <c r="I103" s="101">
        <v>0</v>
      </c>
      <c r="J103" s="99">
        <v>0</v>
      </c>
      <c r="K103" s="101">
        <v>0</v>
      </c>
      <c r="L103" s="101">
        <v>0</v>
      </c>
      <c r="M103" s="99">
        <f>+'PE-PARTIDA'!G103+'PE-PARTIDA'!J103+'PE-PARTIDA'!N103+'PE-PARTIDA'!X103+'PE-PARTIDA'!AJ103+'PE-PARTIDA'!AS103+'PE-PARTIDA'!AV103+'PE-PARTIDA'!AB103+'PE-PARTIDA'!AP103</f>
        <v>0</v>
      </c>
      <c r="N103" s="99">
        <f>+'PE-PARTIDA'!H103+'PE-PARTIDA'!K103+'PE-PARTIDA'!O103+'PE-PARTIDA'!Y103+'PE-PARTIDA'!AC103+'PE-PARTIDA'!AK103+'PE-PARTIDA'!AT103+'PE-PARTIDA'!AW103+'PE-PARTIDA'!AQ102</f>
        <v>0</v>
      </c>
      <c r="O103" s="99">
        <f>+'PE-PARTIDA'!R103</f>
        <v>0</v>
      </c>
      <c r="P103" s="99">
        <f>+'PE-PARTIDA'!S103+'PE-PARTIDA'!V103+'PE-PARTIDA'!AD103</f>
        <v>0</v>
      </c>
      <c r="Q103" s="99">
        <f>+'PE-PARTIDA'!E103+'PE-PARTIDA'!M103</f>
        <v>0</v>
      </c>
      <c r="R103" s="99">
        <f>+'PE-PARTIDA'!AH103+'PE-PARTIDA'!AM103</f>
        <v>0</v>
      </c>
      <c r="S103" s="99">
        <v>0</v>
      </c>
      <c r="T103" s="99">
        <v>0</v>
      </c>
      <c r="U103" s="99">
        <f t="shared" si="8"/>
        <v>0</v>
      </c>
      <c r="V103" s="101">
        <v>0</v>
      </c>
      <c r="W103" s="136">
        <v>0</v>
      </c>
      <c r="X103" s="99">
        <f t="shared" si="9"/>
        <v>0</v>
      </c>
    </row>
    <row r="104" spans="1:24" ht="12.75" hidden="1">
      <c r="A104" s="89">
        <v>3591</v>
      </c>
      <c r="B104" s="81" t="s">
        <v>49</v>
      </c>
      <c r="C104" s="99">
        <f>+'PE-PARTIDA'!C104</f>
        <v>0</v>
      </c>
      <c r="D104" s="99"/>
      <c r="E104" s="99"/>
      <c r="F104" s="99">
        <f>+'PE-PARTIDA'!Q104</f>
        <v>0</v>
      </c>
      <c r="G104" s="99">
        <f>+'PE-PARTIDA'!AA104</f>
        <v>0</v>
      </c>
      <c r="H104" s="99">
        <v>0</v>
      </c>
      <c r="I104" s="101">
        <v>0</v>
      </c>
      <c r="J104" s="99">
        <v>0</v>
      </c>
      <c r="K104" s="101">
        <v>0</v>
      </c>
      <c r="L104" s="101">
        <v>0</v>
      </c>
      <c r="M104" s="99">
        <f>+'PE-PARTIDA'!G104+'PE-PARTIDA'!J104+'PE-PARTIDA'!N104+'PE-PARTIDA'!X104+'PE-PARTIDA'!AJ104+'PE-PARTIDA'!AS104+'PE-PARTIDA'!AV104+'PE-PARTIDA'!AB104+'PE-PARTIDA'!AP104</f>
        <v>0</v>
      </c>
      <c r="N104" s="99">
        <f>+'PE-PARTIDA'!H104+'PE-PARTIDA'!K104+'PE-PARTIDA'!O104+'PE-PARTIDA'!Y104+'PE-PARTIDA'!AC104+'PE-PARTIDA'!AK104+'PE-PARTIDA'!AT104+'PE-PARTIDA'!AW104+'PE-PARTIDA'!AQ103</f>
        <v>0</v>
      </c>
      <c r="O104" s="99">
        <f>+'PE-PARTIDA'!R104</f>
        <v>0</v>
      </c>
      <c r="P104" s="99">
        <f>+'PE-PARTIDA'!S104+'PE-PARTIDA'!V104+'PE-PARTIDA'!AD104</f>
        <v>0</v>
      </c>
      <c r="Q104" s="99">
        <f>+'PE-PARTIDA'!E104+'PE-PARTIDA'!M104</f>
        <v>0</v>
      </c>
      <c r="R104" s="99">
        <f>+'PE-PARTIDA'!AH104+'PE-PARTIDA'!AM104</f>
        <v>0</v>
      </c>
      <c r="S104" s="99">
        <v>0</v>
      </c>
      <c r="T104" s="99">
        <v>0</v>
      </c>
      <c r="U104" s="99">
        <f t="shared" si="8"/>
        <v>0</v>
      </c>
      <c r="V104" s="101">
        <v>0</v>
      </c>
      <c r="W104" s="136">
        <v>0</v>
      </c>
      <c r="X104" s="99">
        <f t="shared" si="9"/>
        <v>0</v>
      </c>
    </row>
    <row r="105" spans="1:24" ht="38.25">
      <c r="A105" s="89">
        <v>3611</v>
      </c>
      <c r="B105" s="81" t="s">
        <v>202</v>
      </c>
      <c r="C105" s="99">
        <f>+'PE-PARTIDA'!C105</f>
        <v>100000</v>
      </c>
      <c r="D105" s="99"/>
      <c r="E105" s="99"/>
      <c r="F105" s="99">
        <f>+'PE-PARTIDA'!Q105</f>
        <v>20000</v>
      </c>
      <c r="G105" s="99">
        <f>+'PE-PARTIDA'!AA105</f>
        <v>0</v>
      </c>
      <c r="H105" s="99">
        <v>0</v>
      </c>
      <c r="I105" s="101">
        <v>0</v>
      </c>
      <c r="J105" s="99">
        <v>100000</v>
      </c>
      <c r="K105" s="101">
        <v>0</v>
      </c>
      <c r="L105" s="101">
        <v>0</v>
      </c>
      <c r="M105" s="99">
        <f>+'PE-PARTIDA'!G105+'PE-PARTIDA'!J105+'PE-PARTIDA'!N105+'PE-PARTIDA'!X105+'PE-PARTIDA'!AJ105+'PE-PARTIDA'!AS105+'PE-PARTIDA'!AV105+'PE-PARTIDA'!AB105+'PE-PARTIDA'!AP105</f>
        <v>17000</v>
      </c>
      <c r="N105" s="99">
        <f>+'PE-PARTIDA'!H105+'PE-PARTIDA'!K105+'PE-PARTIDA'!O105+'PE-PARTIDA'!Y105+'PE-PARTIDA'!AC105+'PE-PARTIDA'!AK105+'PE-PARTIDA'!AT105+'PE-PARTIDA'!AW105+'PE-PARTIDA'!AQ104</f>
        <v>0</v>
      </c>
      <c r="O105" s="99">
        <f>+'PE-PARTIDA'!R105</f>
        <v>0</v>
      </c>
      <c r="P105" s="99">
        <f>+'PE-PARTIDA'!S105+'PE-PARTIDA'!V105+'PE-PARTIDA'!AD105</f>
        <v>0</v>
      </c>
      <c r="Q105" s="99">
        <f>+'PE-PARTIDA'!E105+'PE-PARTIDA'!M105</f>
        <v>0</v>
      </c>
      <c r="R105" s="99">
        <f>+'PE-PARTIDA'!AH105+'PE-PARTIDA'!AM105</f>
        <v>0</v>
      </c>
      <c r="S105" s="99">
        <v>0</v>
      </c>
      <c r="T105" s="99">
        <v>0</v>
      </c>
      <c r="U105" s="99">
        <f t="shared" si="8"/>
        <v>203000</v>
      </c>
      <c r="V105" s="101">
        <v>202409.12</v>
      </c>
      <c r="W105" s="136">
        <f t="shared" si="10"/>
        <v>0.9970892610837438</v>
      </c>
      <c r="X105" s="99">
        <f t="shared" si="9"/>
        <v>590.8800000000047</v>
      </c>
    </row>
    <row r="106" spans="1:24" ht="38.25" hidden="1">
      <c r="A106" s="89">
        <v>3621</v>
      </c>
      <c r="B106" s="81" t="s">
        <v>89</v>
      </c>
      <c r="C106" s="99">
        <f>+'PE-PARTIDA'!C106</f>
        <v>0</v>
      </c>
      <c r="D106" s="99"/>
      <c r="E106" s="99"/>
      <c r="F106" s="99">
        <f>+'PE-PARTIDA'!Q106</f>
        <v>0</v>
      </c>
      <c r="G106" s="99">
        <f>+'PE-PARTIDA'!AA106</f>
        <v>0</v>
      </c>
      <c r="H106" s="99">
        <v>0</v>
      </c>
      <c r="I106" s="101">
        <v>0</v>
      </c>
      <c r="J106" s="99">
        <v>0</v>
      </c>
      <c r="K106" s="101">
        <v>0</v>
      </c>
      <c r="L106" s="101">
        <v>0</v>
      </c>
      <c r="M106" s="99">
        <f>+'PE-PARTIDA'!G106+'PE-PARTIDA'!J106+'PE-PARTIDA'!N106+'PE-PARTIDA'!X106+'PE-PARTIDA'!AJ106+'PE-PARTIDA'!AS106+'PE-PARTIDA'!AV106+'PE-PARTIDA'!AB106+'PE-PARTIDA'!AP106</f>
        <v>0</v>
      </c>
      <c r="N106" s="99">
        <f>+'PE-PARTIDA'!H106+'PE-PARTIDA'!K106+'PE-PARTIDA'!O106+'PE-PARTIDA'!Y106+'PE-PARTIDA'!AC106+'PE-PARTIDA'!AK106+'PE-PARTIDA'!AT106+'PE-PARTIDA'!AW106+'PE-PARTIDA'!AQ105</f>
        <v>0</v>
      </c>
      <c r="O106" s="99">
        <f>+'PE-PARTIDA'!R106</f>
        <v>0</v>
      </c>
      <c r="P106" s="99">
        <f>+'PE-PARTIDA'!S106+'PE-PARTIDA'!V106+'PE-PARTIDA'!AD106</f>
        <v>0</v>
      </c>
      <c r="Q106" s="99">
        <f>+'PE-PARTIDA'!E106+'PE-PARTIDA'!M106</f>
        <v>0</v>
      </c>
      <c r="R106" s="99">
        <f>+'PE-PARTIDA'!AH106+'PE-PARTIDA'!AM106</f>
        <v>0</v>
      </c>
      <c r="S106" s="99">
        <v>0</v>
      </c>
      <c r="T106" s="99">
        <v>0</v>
      </c>
      <c r="U106" s="99">
        <f t="shared" si="8"/>
        <v>0</v>
      </c>
      <c r="V106" s="101">
        <v>0</v>
      </c>
      <c r="W106" s="136">
        <v>0</v>
      </c>
      <c r="X106" s="99">
        <f t="shared" si="9"/>
        <v>0</v>
      </c>
    </row>
    <row r="107" spans="1:24" ht="25.5">
      <c r="A107" s="89">
        <v>3631</v>
      </c>
      <c r="B107" s="81" t="s">
        <v>203</v>
      </c>
      <c r="C107" s="99">
        <f>+'PE-PARTIDA'!C107</f>
        <v>30950</v>
      </c>
      <c r="D107" s="99"/>
      <c r="E107" s="99"/>
      <c r="F107" s="99">
        <f>+'PE-PARTIDA'!Q107</f>
        <v>20000</v>
      </c>
      <c r="G107" s="99">
        <f>+'PE-PARTIDA'!AA107</f>
        <v>0</v>
      </c>
      <c r="H107" s="99">
        <v>0</v>
      </c>
      <c r="I107" s="101">
        <v>4050</v>
      </c>
      <c r="J107" s="99">
        <v>0</v>
      </c>
      <c r="K107" s="101">
        <v>0</v>
      </c>
      <c r="L107" s="101">
        <v>0</v>
      </c>
      <c r="M107" s="99">
        <f>+'PE-PARTIDA'!G107+'PE-PARTIDA'!J107+'PE-PARTIDA'!N107+'PE-PARTIDA'!X107+'PE-PARTIDA'!AJ107+'PE-PARTIDA'!AS107+'PE-PARTIDA'!AV107+'PE-PARTIDA'!AB107+'PE-PARTIDA'!AP107</f>
        <v>5500</v>
      </c>
      <c r="N107" s="99">
        <f>+'PE-PARTIDA'!H107+'PE-PARTIDA'!K107+'PE-PARTIDA'!O107+'PE-PARTIDA'!Y107+'PE-PARTIDA'!AC107+'PE-PARTIDA'!AK107+'PE-PARTIDA'!AT107+'PE-PARTIDA'!AW107+'PE-PARTIDA'!AQ106</f>
        <v>0</v>
      </c>
      <c r="O107" s="99">
        <f>+'PE-PARTIDA'!R107</f>
        <v>0</v>
      </c>
      <c r="P107" s="99">
        <f>+'PE-PARTIDA'!S107+'PE-PARTIDA'!V107+'PE-PARTIDA'!AD107</f>
        <v>0</v>
      </c>
      <c r="Q107" s="99">
        <f>+'PE-PARTIDA'!E107+'PE-PARTIDA'!M107</f>
        <v>0</v>
      </c>
      <c r="R107" s="99">
        <f>+'PE-PARTIDA'!AH107+'PE-PARTIDA'!AM107</f>
        <v>0</v>
      </c>
      <c r="S107" s="99">
        <v>0</v>
      </c>
      <c r="T107" s="99">
        <v>0</v>
      </c>
      <c r="U107" s="99">
        <f t="shared" si="8"/>
        <v>49500</v>
      </c>
      <c r="V107" s="101">
        <v>0</v>
      </c>
      <c r="W107" s="136">
        <f t="shared" si="10"/>
        <v>0</v>
      </c>
      <c r="X107" s="99">
        <f t="shared" si="9"/>
        <v>49500</v>
      </c>
    </row>
    <row r="108" spans="1:24" ht="12.75">
      <c r="A108" s="89">
        <v>3651</v>
      </c>
      <c r="B108" s="81" t="s">
        <v>204</v>
      </c>
      <c r="C108" s="99">
        <f>+'PE-PARTIDA'!C108</f>
        <v>5000</v>
      </c>
      <c r="D108" s="99"/>
      <c r="E108" s="99"/>
      <c r="F108" s="99">
        <f>+'PE-PARTIDA'!Q108</f>
        <v>0</v>
      </c>
      <c r="G108" s="99">
        <f>+'PE-PARTIDA'!AA108</f>
        <v>0</v>
      </c>
      <c r="H108" s="99">
        <v>0</v>
      </c>
      <c r="I108" s="101">
        <v>10000</v>
      </c>
      <c r="J108" s="99">
        <v>0</v>
      </c>
      <c r="K108" s="101">
        <v>0</v>
      </c>
      <c r="L108" s="101">
        <v>0</v>
      </c>
      <c r="M108" s="99">
        <f>+'PE-PARTIDA'!G108+'PE-PARTIDA'!J108+'PE-PARTIDA'!N108+'PE-PARTIDA'!X108+'PE-PARTIDA'!AJ108+'PE-PARTIDA'!AS108+'PE-PARTIDA'!AV108+'PE-PARTIDA'!AB108+'PE-PARTIDA'!AP108</f>
        <v>0</v>
      </c>
      <c r="N108" s="99">
        <f>+'PE-PARTIDA'!H108+'PE-PARTIDA'!K108+'PE-PARTIDA'!O108+'PE-PARTIDA'!Y108+'PE-PARTIDA'!AC108+'PE-PARTIDA'!AK108+'PE-PARTIDA'!AT108+'PE-PARTIDA'!AW108+'PE-PARTIDA'!AQ107</f>
        <v>0</v>
      </c>
      <c r="O108" s="99">
        <f>+'PE-PARTIDA'!R108</f>
        <v>0</v>
      </c>
      <c r="P108" s="99">
        <f>+'PE-PARTIDA'!S108+'PE-PARTIDA'!V108+'PE-PARTIDA'!AD108</f>
        <v>6500</v>
      </c>
      <c r="Q108" s="99">
        <f>+'PE-PARTIDA'!E108+'PE-PARTIDA'!M108</f>
        <v>0</v>
      </c>
      <c r="R108" s="99">
        <f>+'PE-PARTIDA'!AH108+'PE-PARTIDA'!AM108</f>
        <v>0</v>
      </c>
      <c r="S108" s="99">
        <v>0</v>
      </c>
      <c r="T108" s="99">
        <v>0</v>
      </c>
      <c r="U108" s="99">
        <f t="shared" si="8"/>
        <v>21500</v>
      </c>
      <c r="V108" s="101">
        <v>6148</v>
      </c>
      <c r="W108" s="136">
        <f t="shared" si="10"/>
        <v>0.285953488372093</v>
      </c>
      <c r="X108" s="99">
        <f t="shared" si="9"/>
        <v>15352</v>
      </c>
    </row>
    <row r="109" spans="1:24" ht="25.5" hidden="1">
      <c r="A109" s="89">
        <v>3661</v>
      </c>
      <c r="B109" s="81" t="s">
        <v>205</v>
      </c>
      <c r="C109" s="99">
        <f>+'PE-PARTIDA'!C109</f>
        <v>0</v>
      </c>
      <c r="D109" s="99"/>
      <c r="E109" s="99"/>
      <c r="F109" s="99">
        <f>+'PE-PARTIDA'!Q109</f>
        <v>0</v>
      </c>
      <c r="G109" s="99">
        <f>+'PE-PARTIDA'!AA109</f>
        <v>0</v>
      </c>
      <c r="H109" s="99">
        <v>0</v>
      </c>
      <c r="I109" s="101">
        <v>0</v>
      </c>
      <c r="J109" s="99">
        <v>0</v>
      </c>
      <c r="K109" s="101">
        <v>0</v>
      </c>
      <c r="L109" s="101">
        <v>0</v>
      </c>
      <c r="M109" s="99">
        <f>+'PE-PARTIDA'!G109+'PE-PARTIDA'!J109+'PE-PARTIDA'!N109+'PE-PARTIDA'!X109+'PE-PARTIDA'!AJ109+'PE-PARTIDA'!AS109+'PE-PARTIDA'!AV109+'PE-PARTIDA'!AB109+'PE-PARTIDA'!AP109</f>
        <v>0</v>
      </c>
      <c r="N109" s="99">
        <f>+'PE-PARTIDA'!H109+'PE-PARTIDA'!K109+'PE-PARTIDA'!O109+'PE-PARTIDA'!Y109+'PE-PARTIDA'!AC109+'PE-PARTIDA'!AK109+'PE-PARTIDA'!AT109+'PE-PARTIDA'!AW109+'PE-PARTIDA'!AQ108</f>
        <v>0</v>
      </c>
      <c r="O109" s="99">
        <f>+'PE-PARTIDA'!R109</f>
        <v>0</v>
      </c>
      <c r="P109" s="99">
        <f>+'PE-PARTIDA'!S109+'PE-PARTIDA'!V109+'PE-PARTIDA'!AD109</f>
        <v>0</v>
      </c>
      <c r="Q109" s="99">
        <f>+'PE-PARTIDA'!E109+'PE-PARTIDA'!M109</f>
        <v>0</v>
      </c>
      <c r="R109" s="99">
        <f>+'PE-PARTIDA'!AH109+'PE-PARTIDA'!AM109</f>
        <v>0</v>
      </c>
      <c r="S109" s="99">
        <v>0</v>
      </c>
      <c r="T109" s="99">
        <v>0</v>
      </c>
      <c r="U109" s="99">
        <f t="shared" si="8"/>
        <v>0</v>
      </c>
      <c r="V109" s="101">
        <v>0</v>
      </c>
      <c r="W109" s="136">
        <v>0</v>
      </c>
      <c r="X109" s="99">
        <f t="shared" si="9"/>
        <v>0</v>
      </c>
    </row>
    <row r="110" spans="1:24" ht="12.75">
      <c r="A110" s="89">
        <v>3711</v>
      </c>
      <c r="B110" s="81" t="s">
        <v>206</v>
      </c>
      <c r="C110" s="99">
        <f>+'PE-PARTIDA'!C110</f>
        <v>20000</v>
      </c>
      <c r="D110" s="99"/>
      <c r="E110" s="99"/>
      <c r="F110" s="99">
        <f>+'PE-PARTIDA'!Q110</f>
        <v>60000</v>
      </c>
      <c r="G110" s="99">
        <f>+'PE-PARTIDA'!AA110</f>
        <v>0</v>
      </c>
      <c r="H110" s="99">
        <v>0</v>
      </c>
      <c r="I110" s="101">
        <v>25000</v>
      </c>
      <c r="J110" s="99">
        <v>15000</v>
      </c>
      <c r="K110" s="101">
        <v>0</v>
      </c>
      <c r="L110" s="101">
        <v>0</v>
      </c>
      <c r="M110" s="99">
        <f>+'PE-PARTIDA'!G110+'PE-PARTIDA'!J110+'PE-PARTIDA'!N110+'PE-PARTIDA'!X110+'PE-PARTIDA'!AJ110+'PE-PARTIDA'!AS110+'PE-PARTIDA'!AV110+'PE-PARTIDA'!AB110+'PE-PARTIDA'!AP110</f>
        <v>0</v>
      </c>
      <c r="N110" s="99">
        <f>+'PE-PARTIDA'!H110+'PE-PARTIDA'!K110+'PE-PARTIDA'!O110+'PE-PARTIDA'!Y110+'PE-PARTIDA'!AC110+'PE-PARTIDA'!AK110+'PE-PARTIDA'!AT110+'PE-PARTIDA'!AW110+'PE-PARTIDA'!AQ109</f>
        <v>0</v>
      </c>
      <c r="O110" s="99">
        <f>+'PE-PARTIDA'!R110</f>
        <v>20000</v>
      </c>
      <c r="P110" s="99">
        <f>+'PE-PARTIDA'!S110+'PE-PARTIDA'!V110+'PE-PARTIDA'!AD110</f>
        <v>0</v>
      </c>
      <c r="Q110" s="99">
        <f>+'PE-PARTIDA'!E110+'PE-PARTIDA'!M110</f>
        <v>0</v>
      </c>
      <c r="R110" s="99">
        <f>+'PE-PARTIDA'!AH110+'PE-PARTIDA'!AM110</f>
        <v>0</v>
      </c>
      <c r="S110" s="99">
        <v>0</v>
      </c>
      <c r="T110" s="99">
        <v>0</v>
      </c>
      <c r="U110" s="99">
        <f t="shared" si="8"/>
        <v>100000</v>
      </c>
      <c r="V110" s="101">
        <v>83877.63</v>
      </c>
      <c r="W110" s="136">
        <f t="shared" si="10"/>
        <v>0.8387763</v>
      </c>
      <c r="X110" s="99">
        <f t="shared" si="9"/>
        <v>16122.369999999995</v>
      </c>
    </row>
    <row r="111" spans="1:24" ht="12.75">
      <c r="A111" s="89">
        <v>3721</v>
      </c>
      <c r="B111" s="81" t="s">
        <v>207</v>
      </c>
      <c r="C111" s="99">
        <f>+'PE-PARTIDA'!C111</f>
        <v>0</v>
      </c>
      <c r="D111" s="99"/>
      <c r="E111" s="99"/>
      <c r="F111" s="99">
        <f>+'PE-PARTIDA'!Q111</f>
        <v>30000</v>
      </c>
      <c r="G111" s="99">
        <f>+'PE-PARTIDA'!AA111</f>
        <v>0</v>
      </c>
      <c r="H111" s="99">
        <v>0</v>
      </c>
      <c r="I111" s="101">
        <v>5000</v>
      </c>
      <c r="J111" s="99">
        <v>15000</v>
      </c>
      <c r="K111" s="101">
        <v>0</v>
      </c>
      <c r="L111" s="101">
        <v>0</v>
      </c>
      <c r="M111" s="99">
        <f>+'PE-PARTIDA'!G111+'PE-PARTIDA'!J111+'PE-PARTIDA'!N111+'PE-PARTIDA'!X111+'PE-PARTIDA'!AJ111+'PE-PARTIDA'!AS111+'PE-PARTIDA'!AV111+'PE-PARTIDA'!AB111+'PE-PARTIDA'!AP111</f>
        <v>5000</v>
      </c>
      <c r="N111" s="99">
        <f>+'PE-PARTIDA'!H111+'PE-PARTIDA'!K111+'PE-PARTIDA'!O111+'PE-PARTIDA'!Y111+'PE-PARTIDA'!AC111+'PE-PARTIDA'!AK111+'PE-PARTIDA'!AT111+'PE-PARTIDA'!AW111+'PE-PARTIDA'!AQ110</f>
        <v>0</v>
      </c>
      <c r="O111" s="99">
        <f>+'PE-PARTIDA'!R111</f>
        <v>0</v>
      </c>
      <c r="P111" s="99">
        <f>+'PE-PARTIDA'!S111+'PE-PARTIDA'!V111+'PE-PARTIDA'!AD111</f>
        <v>0</v>
      </c>
      <c r="Q111" s="99">
        <f>+'PE-PARTIDA'!E111+'PE-PARTIDA'!M111</f>
        <v>0</v>
      </c>
      <c r="R111" s="99">
        <f>+'PE-PARTIDA'!AH111+'PE-PARTIDA'!AM111</f>
        <v>0</v>
      </c>
      <c r="S111" s="99">
        <v>0</v>
      </c>
      <c r="T111" s="99">
        <v>0</v>
      </c>
      <c r="U111" s="99">
        <f t="shared" si="8"/>
        <v>45000</v>
      </c>
      <c r="V111" s="101">
        <v>25285</v>
      </c>
      <c r="W111" s="136">
        <f t="shared" si="10"/>
        <v>0.5618888888888889</v>
      </c>
      <c r="X111" s="99">
        <f t="shared" si="9"/>
        <v>19715</v>
      </c>
    </row>
    <row r="112" spans="1:24" ht="12.75">
      <c r="A112" s="89">
        <v>3751</v>
      </c>
      <c r="B112" s="81" t="s">
        <v>50</v>
      </c>
      <c r="C112" s="99">
        <f>+'PE-PARTIDA'!C112</f>
        <v>41000</v>
      </c>
      <c r="D112" s="99"/>
      <c r="E112" s="99"/>
      <c r="F112" s="99">
        <f>+'PE-PARTIDA'!Q112</f>
        <v>191234</v>
      </c>
      <c r="G112" s="99">
        <f>+'PE-PARTIDA'!AA112</f>
        <v>0</v>
      </c>
      <c r="H112" s="99">
        <v>0</v>
      </c>
      <c r="I112" s="101">
        <v>50000</v>
      </c>
      <c r="J112" s="99">
        <v>90000</v>
      </c>
      <c r="K112" s="101">
        <v>0</v>
      </c>
      <c r="L112" s="101">
        <v>0</v>
      </c>
      <c r="M112" s="99">
        <f>+'PE-PARTIDA'!G112+'PE-PARTIDA'!J112+'PE-PARTIDA'!N112+'PE-PARTIDA'!X112+'PE-PARTIDA'!AJ112+'PE-PARTIDA'!AS112+'PE-PARTIDA'!AV112+'PE-PARTIDA'!AB112+'PE-PARTIDA'!AP112</f>
        <v>0</v>
      </c>
      <c r="N112" s="99">
        <f>+'PE-PARTIDA'!H112+'PE-PARTIDA'!K112+'PE-PARTIDA'!O112+'PE-PARTIDA'!Y112+'PE-PARTIDA'!AC112+'PE-PARTIDA'!AK112+'PE-PARTIDA'!AT112+'PE-PARTIDA'!AW112+'PE-PARTIDA'!AQ111</f>
        <v>2800</v>
      </c>
      <c r="O112" s="99">
        <f>+'PE-PARTIDA'!R112</f>
        <v>52756</v>
      </c>
      <c r="P112" s="99">
        <f>+'PE-PARTIDA'!S112+'PE-PARTIDA'!V112+'PE-PARTIDA'!AD112</f>
        <v>0</v>
      </c>
      <c r="Q112" s="99">
        <f>+'PE-PARTIDA'!E112+'PE-PARTIDA'!M112</f>
        <v>0</v>
      </c>
      <c r="R112" s="99">
        <f>+'PE-PARTIDA'!AH112+'PE-PARTIDA'!AM112</f>
        <v>5040.97</v>
      </c>
      <c r="S112" s="99">
        <v>0</v>
      </c>
      <c r="T112" s="99">
        <v>0</v>
      </c>
      <c r="U112" s="99">
        <f t="shared" si="8"/>
        <v>327318.97</v>
      </c>
      <c r="V112" s="101">
        <v>324563.78</v>
      </c>
      <c r="W112" s="136">
        <f t="shared" si="10"/>
        <v>0.991582553250733</v>
      </c>
      <c r="X112" s="99">
        <f t="shared" si="9"/>
        <v>2755.189999999944</v>
      </c>
    </row>
    <row r="113" spans="1:24" ht="12.75" hidden="1">
      <c r="A113" s="89">
        <v>3761</v>
      </c>
      <c r="B113" s="81" t="s">
        <v>208</v>
      </c>
      <c r="C113" s="99">
        <f>+'PE-PARTIDA'!C113</f>
        <v>0</v>
      </c>
      <c r="D113" s="99"/>
      <c r="E113" s="99"/>
      <c r="F113" s="99">
        <f>+'PE-PARTIDA'!Q113</f>
        <v>0</v>
      </c>
      <c r="G113" s="99">
        <f>+'PE-PARTIDA'!AA113</f>
        <v>0</v>
      </c>
      <c r="H113" s="99">
        <v>0</v>
      </c>
      <c r="I113" s="101">
        <v>0</v>
      </c>
      <c r="J113" s="99">
        <v>0</v>
      </c>
      <c r="K113" s="101">
        <v>0</v>
      </c>
      <c r="L113" s="101">
        <v>0</v>
      </c>
      <c r="M113" s="99">
        <f>+'PE-PARTIDA'!G113+'PE-PARTIDA'!J113+'PE-PARTIDA'!N113+'PE-PARTIDA'!X113+'PE-PARTIDA'!AJ113+'PE-PARTIDA'!AS113+'PE-PARTIDA'!AV113+'PE-PARTIDA'!AB113+'PE-PARTIDA'!AP113</f>
        <v>0</v>
      </c>
      <c r="N113" s="99">
        <f>+'PE-PARTIDA'!H113+'PE-PARTIDA'!K113+'PE-PARTIDA'!O113+'PE-PARTIDA'!Y113+'PE-PARTIDA'!AC113+'PE-PARTIDA'!AK113+'PE-PARTIDA'!AT113+'PE-PARTIDA'!AW113+'PE-PARTIDA'!AQ112</f>
        <v>0</v>
      </c>
      <c r="O113" s="99">
        <f>+'PE-PARTIDA'!R113</f>
        <v>0</v>
      </c>
      <c r="P113" s="99">
        <f>+'PE-PARTIDA'!S113+'PE-PARTIDA'!V113+'PE-PARTIDA'!AD113</f>
        <v>0</v>
      </c>
      <c r="Q113" s="99">
        <f>+'PE-PARTIDA'!E113+'PE-PARTIDA'!M113</f>
        <v>0</v>
      </c>
      <c r="R113" s="99">
        <f>+'PE-PARTIDA'!AH113+'PE-PARTIDA'!AM113</f>
        <v>0</v>
      </c>
      <c r="S113" s="99">
        <v>0</v>
      </c>
      <c r="T113" s="99">
        <v>0</v>
      </c>
      <c r="U113" s="99">
        <f t="shared" si="8"/>
        <v>0</v>
      </c>
      <c r="V113" s="101">
        <v>0</v>
      </c>
      <c r="W113" s="136">
        <v>0</v>
      </c>
      <c r="X113" s="99">
        <f t="shared" si="9"/>
        <v>0</v>
      </c>
    </row>
    <row r="114" spans="1:24" ht="12.75">
      <c r="A114" s="89">
        <v>3791</v>
      </c>
      <c r="B114" s="81" t="s">
        <v>90</v>
      </c>
      <c r="C114" s="99">
        <f>+'PE-PARTIDA'!C114</f>
        <v>0</v>
      </c>
      <c r="D114" s="99"/>
      <c r="E114" s="99"/>
      <c r="F114" s="99">
        <f>+'PE-PARTIDA'!Q114</f>
        <v>10000</v>
      </c>
      <c r="G114" s="99">
        <f>+'PE-PARTIDA'!AA114</f>
        <v>0</v>
      </c>
      <c r="H114" s="99">
        <v>0</v>
      </c>
      <c r="I114" s="101">
        <v>5000</v>
      </c>
      <c r="J114" s="99">
        <v>0</v>
      </c>
      <c r="K114" s="101">
        <v>0</v>
      </c>
      <c r="L114" s="101">
        <v>0</v>
      </c>
      <c r="M114" s="99">
        <f>+'PE-PARTIDA'!G114+'PE-PARTIDA'!J114+'PE-PARTIDA'!N114+'PE-PARTIDA'!X114+'PE-PARTIDA'!AJ114+'PE-PARTIDA'!AS114+'PE-PARTIDA'!AV114+'PE-PARTIDA'!AB114+'PE-PARTIDA'!AP114</f>
        <v>0</v>
      </c>
      <c r="N114" s="99">
        <f>+'PE-PARTIDA'!H114+'PE-PARTIDA'!K114+'PE-PARTIDA'!O114+'PE-PARTIDA'!Y114+'PE-PARTIDA'!AC114+'PE-PARTIDA'!AK114+'PE-PARTIDA'!AT114+'PE-PARTIDA'!AW114+'PE-PARTIDA'!AQ113</f>
        <v>0</v>
      </c>
      <c r="O114" s="99">
        <f>+'PE-PARTIDA'!R114</f>
        <v>0</v>
      </c>
      <c r="P114" s="99">
        <f>+'PE-PARTIDA'!S114+'PE-PARTIDA'!V114+'PE-PARTIDA'!AD114</f>
        <v>0</v>
      </c>
      <c r="Q114" s="99">
        <f>+'PE-PARTIDA'!E114+'PE-PARTIDA'!M114</f>
        <v>0</v>
      </c>
      <c r="R114" s="99">
        <f>+'PE-PARTIDA'!AH114+'PE-PARTIDA'!AM114</f>
        <v>0</v>
      </c>
      <c r="S114" s="99">
        <v>0</v>
      </c>
      <c r="T114" s="99">
        <v>0</v>
      </c>
      <c r="U114" s="99">
        <f t="shared" si="8"/>
        <v>15000</v>
      </c>
      <c r="V114" s="101">
        <v>5556.77</v>
      </c>
      <c r="W114" s="136">
        <f t="shared" si="10"/>
        <v>0.37045133333333335</v>
      </c>
      <c r="X114" s="99">
        <f t="shared" si="9"/>
        <v>9443.23</v>
      </c>
    </row>
    <row r="115" spans="1:24" ht="12.75" hidden="1">
      <c r="A115" s="89">
        <v>3811</v>
      </c>
      <c r="B115" s="81" t="s">
        <v>209</v>
      </c>
      <c r="C115" s="99">
        <f>+'PE-PARTIDA'!C115</f>
        <v>0</v>
      </c>
      <c r="D115" s="99"/>
      <c r="E115" s="99"/>
      <c r="F115" s="99">
        <f>+'PE-PARTIDA'!Q115</f>
        <v>0</v>
      </c>
      <c r="G115" s="99">
        <f>+'PE-PARTIDA'!AA115</f>
        <v>0</v>
      </c>
      <c r="H115" s="99">
        <v>0</v>
      </c>
      <c r="I115" s="101">
        <v>0</v>
      </c>
      <c r="J115" s="99">
        <v>0</v>
      </c>
      <c r="K115" s="101">
        <v>0</v>
      </c>
      <c r="L115" s="101">
        <v>0</v>
      </c>
      <c r="M115" s="99">
        <f>+'PE-PARTIDA'!G115+'PE-PARTIDA'!J115+'PE-PARTIDA'!N115+'PE-PARTIDA'!X115+'PE-PARTIDA'!AJ115+'PE-PARTIDA'!AS115+'PE-PARTIDA'!AV115+'PE-PARTIDA'!AB115+'PE-PARTIDA'!AP115</f>
        <v>0</v>
      </c>
      <c r="N115" s="99">
        <f>+'PE-PARTIDA'!H115+'PE-PARTIDA'!K115+'PE-PARTIDA'!O115+'PE-PARTIDA'!Y115+'PE-PARTIDA'!AC115+'PE-PARTIDA'!AK115+'PE-PARTIDA'!AT115+'PE-PARTIDA'!AW115+'PE-PARTIDA'!AQ114</f>
        <v>0</v>
      </c>
      <c r="O115" s="99">
        <f>+'PE-PARTIDA'!R115</f>
        <v>0</v>
      </c>
      <c r="P115" s="99">
        <f>+'PE-PARTIDA'!S115+'PE-PARTIDA'!V115+'PE-PARTIDA'!AD115</f>
        <v>0</v>
      </c>
      <c r="Q115" s="99">
        <f>+'PE-PARTIDA'!E115+'PE-PARTIDA'!M115</f>
        <v>0</v>
      </c>
      <c r="R115" s="99">
        <f>+'PE-PARTIDA'!AH115+'PE-PARTIDA'!AM115</f>
        <v>0</v>
      </c>
      <c r="S115" s="99">
        <v>0</v>
      </c>
      <c r="T115" s="99">
        <v>0</v>
      </c>
      <c r="U115" s="99">
        <f t="shared" si="8"/>
        <v>0</v>
      </c>
      <c r="V115" s="101">
        <v>0</v>
      </c>
      <c r="W115" s="136">
        <v>0</v>
      </c>
      <c r="X115" s="99">
        <f t="shared" si="9"/>
        <v>0</v>
      </c>
    </row>
    <row r="116" spans="1:24" ht="12.75">
      <c r="A116" s="89">
        <v>3821</v>
      </c>
      <c r="B116" s="81" t="s">
        <v>210</v>
      </c>
      <c r="C116" s="99">
        <f>+'PE-PARTIDA'!C116</f>
        <v>30000</v>
      </c>
      <c r="D116" s="99"/>
      <c r="E116" s="99"/>
      <c r="F116" s="99">
        <f>+'PE-PARTIDA'!Q116</f>
        <v>81490</v>
      </c>
      <c r="G116" s="99">
        <f>+'PE-PARTIDA'!AA116</f>
        <v>0</v>
      </c>
      <c r="H116" s="99">
        <v>0</v>
      </c>
      <c r="I116" s="101">
        <v>0</v>
      </c>
      <c r="J116" s="99">
        <v>8510</v>
      </c>
      <c r="K116" s="101">
        <v>0</v>
      </c>
      <c r="L116" s="101">
        <v>0</v>
      </c>
      <c r="M116" s="99">
        <f>+'PE-PARTIDA'!G116+'PE-PARTIDA'!J116+'PE-PARTIDA'!N116+'PE-PARTIDA'!X116+'PE-PARTIDA'!AJ116+'PE-PARTIDA'!AS116+'PE-PARTIDA'!AV116+'PE-PARTIDA'!AB116+'PE-PARTIDA'!AP116</f>
        <v>0</v>
      </c>
      <c r="N116" s="99">
        <f>+'PE-PARTIDA'!H116+'PE-PARTIDA'!K116+'PE-PARTIDA'!O116+'PE-PARTIDA'!Y116+'PE-PARTIDA'!AC116+'PE-PARTIDA'!AK116+'PE-PARTIDA'!AT116+'PE-PARTIDA'!AW116+'PE-PARTIDA'!AQ115</f>
        <v>3700</v>
      </c>
      <c r="O116" s="99">
        <f>+'PE-PARTIDA'!R116</f>
        <v>30000</v>
      </c>
      <c r="P116" s="99">
        <f>+'PE-PARTIDA'!S116+'PE-PARTIDA'!V116+'PE-PARTIDA'!AD116</f>
        <v>20000</v>
      </c>
      <c r="Q116" s="99">
        <f>+'PE-PARTIDA'!E116+'PE-PARTIDA'!M116</f>
        <v>0</v>
      </c>
      <c r="R116" s="99">
        <f>+'PE-PARTIDA'!AH116+'PE-PARTIDA'!AM116</f>
        <v>0</v>
      </c>
      <c r="S116" s="99">
        <v>0</v>
      </c>
      <c r="T116" s="99">
        <v>0</v>
      </c>
      <c r="U116" s="99">
        <f t="shared" si="8"/>
        <v>113700</v>
      </c>
      <c r="V116" s="101">
        <v>113503.23</v>
      </c>
      <c r="W116" s="136">
        <f t="shared" si="10"/>
        <v>0.9982693931398416</v>
      </c>
      <c r="X116" s="99">
        <f t="shared" si="9"/>
        <v>196.77000000000407</v>
      </c>
    </row>
    <row r="117" spans="1:24" ht="12.75">
      <c r="A117" s="89">
        <v>3822</v>
      </c>
      <c r="B117" s="81" t="s">
        <v>91</v>
      </c>
      <c r="C117" s="99">
        <f>+'PE-PARTIDA'!C117</f>
        <v>10000</v>
      </c>
      <c r="D117" s="99"/>
      <c r="E117" s="99"/>
      <c r="F117" s="99">
        <f>+'PE-PARTIDA'!Q117</f>
        <v>60000</v>
      </c>
      <c r="G117" s="99">
        <f>+'PE-PARTIDA'!AA117</f>
        <v>0</v>
      </c>
      <c r="H117" s="99">
        <v>0</v>
      </c>
      <c r="I117" s="101">
        <v>0</v>
      </c>
      <c r="J117" s="99">
        <v>30000</v>
      </c>
      <c r="K117" s="101">
        <v>0</v>
      </c>
      <c r="L117" s="101">
        <v>0</v>
      </c>
      <c r="M117" s="99">
        <f>+'PE-PARTIDA'!G117+'PE-PARTIDA'!J117+'PE-PARTIDA'!N117+'PE-PARTIDA'!X117+'PE-PARTIDA'!AJ117+'PE-PARTIDA'!AS117+'PE-PARTIDA'!AV117+'PE-PARTIDA'!AB117+'PE-PARTIDA'!AP117</f>
        <v>0</v>
      </c>
      <c r="N117" s="99">
        <f>+'PE-PARTIDA'!H117+'PE-PARTIDA'!K117+'PE-PARTIDA'!O117+'PE-PARTIDA'!Y117+'PE-PARTIDA'!AC117+'PE-PARTIDA'!AK117+'PE-PARTIDA'!AT117+'PE-PARTIDA'!AW117+'PE-PARTIDA'!AQ116</f>
        <v>0</v>
      </c>
      <c r="O117" s="99">
        <f>+'PE-PARTIDA'!R117</f>
        <v>0</v>
      </c>
      <c r="P117" s="99">
        <f>+'PE-PARTIDA'!S117+'PE-PARTIDA'!V117+'PE-PARTIDA'!AD117</f>
        <v>60000</v>
      </c>
      <c r="Q117" s="99">
        <f>+'PE-PARTIDA'!E117+'PE-PARTIDA'!M117</f>
        <v>0</v>
      </c>
      <c r="R117" s="99">
        <f>+'PE-PARTIDA'!AH117+'PE-PARTIDA'!AM117</f>
        <v>0</v>
      </c>
      <c r="S117" s="99">
        <v>0</v>
      </c>
      <c r="T117" s="99">
        <v>0</v>
      </c>
      <c r="U117" s="99">
        <f t="shared" si="8"/>
        <v>160000</v>
      </c>
      <c r="V117" s="101">
        <v>159807.25999999998</v>
      </c>
      <c r="W117" s="136">
        <f t="shared" si="10"/>
        <v>0.9987953749999999</v>
      </c>
      <c r="X117" s="99">
        <f t="shared" si="9"/>
        <v>192.7400000000198</v>
      </c>
    </row>
    <row r="118" spans="1:24" ht="12.75">
      <c r="A118" s="89">
        <v>3831</v>
      </c>
      <c r="B118" s="81" t="s">
        <v>211</v>
      </c>
      <c r="C118" s="99">
        <f>+'PE-PARTIDA'!C118</f>
        <v>0</v>
      </c>
      <c r="D118" s="99"/>
      <c r="E118" s="99"/>
      <c r="F118" s="99">
        <f>+'PE-PARTIDA'!Q118</f>
        <v>70000</v>
      </c>
      <c r="G118" s="99">
        <f>+'PE-PARTIDA'!AA118</f>
        <v>0</v>
      </c>
      <c r="H118" s="99">
        <v>0</v>
      </c>
      <c r="I118" s="101">
        <v>0</v>
      </c>
      <c r="J118" s="99">
        <v>70000</v>
      </c>
      <c r="K118" s="101">
        <v>0</v>
      </c>
      <c r="L118" s="101">
        <v>0</v>
      </c>
      <c r="M118" s="99">
        <f>+'PE-PARTIDA'!G118+'PE-PARTIDA'!J118+'PE-PARTIDA'!N118+'PE-PARTIDA'!X118+'PE-PARTIDA'!AJ118+'PE-PARTIDA'!AS118+'PE-PARTIDA'!AV118+'PE-PARTIDA'!AB118+'PE-PARTIDA'!AP118</f>
        <v>0</v>
      </c>
      <c r="N118" s="99">
        <f>+'PE-PARTIDA'!H118+'PE-PARTIDA'!K118+'PE-PARTIDA'!O118+'PE-PARTIDA'!Y118+'PE-PARTIDA'!AC118+'PE-PARTIDA'!AK118+'PE-PARTIDA'!AT118+'PE-PARTIDA'!AW118+'PE-PARTIDA'!AQ117</f>
        <v>2000</v>
      </c>
      <c r="O118" s="99">
        <f>+'PE-PARTIDA'!R118</f>
        <v>20000</v>
      </c>
      <c r="P118" s="99">
        <f>+'PE-PARTIDA'!S118+'PE-PARTIDA'!V118+'PE-PARTIDA'!AD118</f>
        <v>25000</v>
      </c>
      <c r="Q118" s="99">
        <f>+'PE-PARTIDA'!E118+'PE-PARTIDA'!M118</f>
        <v>0</v>
      </c>
      <c r="R118" s="99">
        <f>+'PE-PARTIDA'!AH118+'PE-PARTIDA'!AM118</f>
        <v>25600</v>
      </c>
      <c r="S118" s="99">
        <v>0</v>
      </c>
      <c r="T118" s="99">
        <v>0</v>
      </c>
      <c r="U118" s="99">
        <f t="shared" si="8"/>
        <v>172600</v>
      </c>
      <c r="V118" s="101">
        <v>124235.31</v>
      </c>
      <c r="W118" s="136">
        <f t="shared" si="10"/>
        <v>0.7197874275782156</v>
      </c>
      <c r="X118" s="99">
        <f t="shared" si="9"/>
        <v>48364.69</v>
      </c>
    </row>
    <row r="119" spans="1:24" ht="12.75">
      <c r="A119" s="89">
        <v>3841</v>
      </c>
      <c r="B119" s="81" t="s">
        <v>212</v>
      </c>
      <c r="C119" s="99">
        <f>+'PE-PARTIDA'!C119</f>
        <v>0</v>
      </c>
      <c r="D119" s="99"/>
      <c r="E119" s="99"/>
      <c r="F119" s="99">
        <f>+'PE-PARTIDA'!Q119</f>
        <v>60000</v>
      </c>
      <c r="G119" s="99">
        <f>+'PE-PARTIDA'!AA119</f>
        <v>0</v>
      </c>
      <c r="H119" s="99">
        <v>0</v>
      </c>
      <c r="I119" s="101">
        <v>0</v>
      </c>
      <c r="J119" s="99">
        <v>20000</v>
      </c>
      <c r="K119" s="101">
        <v>0</v>
      </c>
      <c r="L119" s="101">
        <v>0</v>
      </c>
      <c r="M119" s="99">
        <f>+'PE-PARTIDA'!G119+'PE-PARTIDA'!J119+'PE-PARTIDA'!N119+'PE-PARTIDA'!X119+'PE-PARTIDA'!AJ119+'PE-PARTIDA'!AS119+'PE-PARTIDA'!AV119+'PE-PARTIDA'!AB119+'PE-PARTIDA'!AP119</f>
        <v>0</v>
      </c>
      <c r="N119" s="99">
        <f>+'PE-PARTIDA'!H119+'PE-PARTIDA'!K119+'PE-PARTIDA'!O119+'PE-PARTIDA'!Y119+'PE-PARTIDA'!AC119+'PE-PARTIDA'!AK119+'PE-PARTIDA'!AT119+'PE-PARTIDA'!AW119+'PE-PARTIDA'!AQ118</f>
        <v>0</v>
      </c>
      <c r="O119" s="99">
        <f>+'PE-PARTIDA'!R119</f>
        <v>10000</v>
      </c>
      <c r="P119" s="99">
        <f>+'PE-PARTIDA'!S119+'PE-PARTIDA'!V119+'PE-PARTIDA'!AD119</f>
        <v>25529.03</v>
      </c>
      <c r="Q119" s="99">
        <f>+'PE-PARTIDA'!E119+'PE-PARTIDA'!M119</f>
        <v>0</v>
      </c>
      <c r="R119" s="99">
        <f>+'PE-PARTIDA'!AH119+'PE-PARTIDA'!AM119</f>
        <v>22500</v>
      </c>
      <c r="S119" s="99">
        <v>0</v>
      </c>
      <c r="T119" s="99">
        <v>0</v>
      </c>
      <c r="U119" s="99">
        <f t="shared" si="8"/>
        <v>118029.03</v>
      </c>
      <c r="V119" s="101">
        <v>85895.90000000001</v>
      </c>
      <c r="W119" s="136">
        <f t="shared" si="10"/>
        <v>0.7277523165275527</v>
      </c>
      <c r="X119" s="99">
        <f t="shared" si="9"/>
        <v>32133.12999999999</v>
      </c>
    </row>
    <row r="120" spans="1:24" ht="12.75">
      <c r="A120" s="89">
        <v>3921</v>
      </c>
      <c r="B120" s="81" t="s">
        <v>92</v>
      </c>
      <c r="C120" s="99">
        <f>+'PE-PARTIDA'!C120</f>
        <v>0</v>
      </c>
      <c r="D120" s="99"/>
      <c r="E120" s="99"/>
      <c r="F120" s="99">
        <f>+'PE-PARTIDA'!Q120</f>
        <v>20000</v>
      </c>
      <c r="G120" s="99">
        <f>+'PE-PARTIDA'!AA120</f>
        <v>0</v>
      </c>
      <c r="H120" s="99">
        <v>0</v>
      </c>
      <c r="I120" s="101">
        <v>0</v>
      </c>
      <c r="J120" s="99">
        <v>0</v>
      </c>
      <c r="K120" s="101">
        <v>0</v>
      </c>
      <c r="L120" s="101">
        <v>0</v>
      </c>
      <c r="M120" s="99">
        <f>+'PE-PARTIDA'!G120+'PE-PARTIDA'!J120+'PE-PARTIDA'!N120+'PE-PARTIDA'!X120+'PE-PARTIDA'!AJ120+'PE-PARTIDA'!AS120+'PE-PARTIDA'!AV120+'PE-PARTIDA'!AB120+'PE-PARTIDA'!AP120</f>
        <v>0</v>
      </c>
      <c r="N120" s="99">
        <f>+'PE-PARTIDA'!H120+'PE-PARTIDA'!K120+'PE-PARTIDA'!O120+'PE-PARTIDA'!Y120+'PE-PARTIDA'!AC120+'PE-PARTIDA'!AK120+'PE-PARTIDA'!AT120+'PE-PARTIDA'!AW120+'PE-PARTIDA'!AQ119</f>
        <v>0</v>
      </c>
      <c r="O120" s="99">
        <f>+'PE-PARTIDA'!R120</f>
        <v>10000</v>
      </c>
      <c r="P120" s="99">
        <f>+'PE-PARTIDA'!S120+'PE-PARTIDA'!V120+'PE-PARTIDA'!AD120</f>
        <v>0</v>
      </c>
      <c r="Q120" s="99">
        <f>+'PE-PARTIDA'!E120+'PE-PARTIDA'!M120</f>
        <v>0</v>
      </c>
      <c r="R120" s="99">
        <f>+'PE-PARTIDA'!AH120+'PE-PARTIDA'!AM120</f>
        <v>35000</v>
      </c>
      <c r="S120" s="99">
        <v>0</v>
      </c>
      <c r="T120" s="99">
        <v>0</v>
      </c>
      <c r="U120" s="99">
        <f t="shared" si="8"/>
        <v>45000</v>
      </c>
      <c r="V120" s="101">
        <v>42287</v>
      </c>
      <c r="W120" s="136">
        <f t="shared" si="10"/>
        <v>0.9397111111111112</v>
      </c>
      <c r="X120" s="99">
        <f t="shared" si="9"/>
        <v>2713</v>
      </c>
    </row>
    <row r="121" spans="1:24" ht="12.75" hidden="1">
      <c r="A121" s="90"/>
      <c r="B121" s="91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99">
        <f>+C121+F121+G121+N121+P121-O121-M121+Q121+R121+S121+T121</f>
        <v>0</v>
      </c>
      <c r="V121" s="100"/>
      <c r="W121" s="135"/>
      <c r="X121" s="99">
        <f t="shared" si="9"/>
        <v>0</v>
      </c>
    </row>
    <row r="122" spans="1:24" ht="12.75" hidden="1">
      <c r="A122" s="90"/>
      <c r="B122" s="91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99">
        <f>+C122+F122+G122+N122+P122-O122-M122+Q122+R122+S122+T122</f>
        <v>0</v>
      </c>
      <c r="V122" s="100"/>
      <c r="W122" s="135"/>
      <c r="X122" s="99">
        <f t="shared" si="9"/>
        <v>0</v>
      </c>
    </row>
    <row r="123" spans="1:24" ht="12.75" hidden="1">
      <c r="A123" s="90"/>
      <c r="B123" s="91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99">
        <f>+C123+F123+G123+N123+P123-O123-M123+Q123+R123+S123+T123</f>
        <v>0</v>
      </c>
      <c r="V123" s="100"/>
      <c r="W123" s="135"/>
      <c r="X123" s="99">
        <f t="shared" si="9"/>
        <v>0</v>
      </c>
    </row>
    <row r="124" spans="1:24" ht="13.5" thickBot="1">
      <c r="A124" s="82"/>
      <c r="B124" s="83" t="s">
        <v>51</v>
      </c>
      <c r="C124" s="98">
        <f>SUM(C74:C123)</f>
        <v>683440</v>
      </c>
      <c r="D124" s="98">
        <f aca="true" t="shared" si="11" ref="D124:X124">SUM(D74:D123)</f>
        <v>0</v>
      </c>
      <c r="E124" s="98">
        <f t="shared" si="11"/>
        <v>0</v>
      </c>
      <c r="F124" s="98">
        <f t="shared" si="11"/>
        <v>1610807</v>
      </c>
      <c r="G124" s="98">
        <f t="shared" si="11"/>
        <v>50000</v>
      </c>
      <c r="H124" s="98">
        <f t="shared" si="11"/>
        <v>0</v>
      </c>
      <c r="I124" s="98">
        <f t="shared" si="11"/>
        <v>147317.06</v>
      </c>
      <c r="J124" s="98">
        <f t="shared" si="11"/>
        <v>1522242.94</v>
      </c>
      <c r="K124" s="98">
        <f t="shared" si="11"/>
        <v>0</v>
      </c>
      <c r="L124" s="98">
        <f t="shared" si="11"/>
        <v>0</v>
      </c>
      <c r="M124" s="98">
        <f t="shared" si="11"/>
        <v>30500</v>
      </c>
      <c r="N124" s="98">
        <f t="shared" si="11"/>
        <v>30500</v>
      </c>
      <c r="O124" s="98">
        <f t="shared" si="11"/>
        <v>397756</v>
      </c>
      <c r="P124" s="98">
        <f t="shared" si="11"/>
        <v>680029.03</v>
      </c>
      <c r="Q124" s="98">
        <f t="shared" si="11"/>
        <v>0</v>
      </c>
      <c r="R124" s="98">
        <f t="shared" si="11"/>
        <v>118140.97</v>
      </c>
      <c r="S124" s="98">
        <f t="shared" si="11"/>
        <v>0</v>
      </c>
      <c r="T124" s="98">
        <f t="shared" si="11"/>
        <v>0</v>
      </c>
      <c r="U124" s="98">
        <f t="shared" si="11"/>
        <v>4414221</v>
      </c>
      <c r="V124" s="98">
        <f t="shared" si="11"/>
        <v>3981205.3099999996</v>
      </c>
      <c r="W124" s="134">
        <f>V124/U124</f>
        <v>0.9019043926436849</v>
      </c>
      <c r="X124" s="98">
        <f t="shared" si="11"/>
        <v>433015.6899999999</v>
      </c>
    </row>
    <row r="125" spans="1:24" ht="16.5" customHeight="1">
      <c r="A125" s="181" t="s">
        <v>213</v>
      </c>
      <c r="B125" s="181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35"/>
      <c r="X125" s="100"/>
    </row>
    <row r="126" spans="1:24" ht="12.75">
      <c r="A126" s="80">
        <v>4246</v>
      </c>
      <c r="B126" s="81" t="s">
        <v>214</v>
      </c>
      <c r="C126" s="99">
        <f>+'PE-PARTIDA'!C126</f>
        <v>0</v>
      </c>
      <c r="D126" s="99"/>
      <c r="E126" s="99"/>
      <c r="F126" s="99">
        <f>+'PE-PARTIDA'!Q126</f>
        <v>0</v>
      </c>
      <c r="G126" s="99">
        <f>+'PE-PARTIDA'!AA126</f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f>+'PE-PARTIDA'!G126+'PE-PARTIDA'!J126+'PE-PARTIDA'!N126+'PE-PARTIDA'!X126+'PE-PARTIDA'!AJ126+'PE-PARTIDA'!AS126+'PE-PARTIDA'!AV126+'PE-PARTIDA'!AB126+'PE-PARTIDA'!AP126</f>
        <v>0</v>
      </c>
      <c r="N126" s="99">
        <f>+'PE-PARTIDA'!H126+'PE-PARTIDA'!K126+'PE-PARTIDA'!O126+'PE-PARTIDA'!Y126+'PE-PARTIDA'!AC126+'PE-PARTIDA'!AK126+'PE-PARTIDA'!AT126+'PE-PARTIDA'!AW126+'PE-PARTIDA'!AQ125+'PE-PARTIDA'!AQ126</f>
        <v>10000</v>
      </c>
      <c r="O126" s="99">
        <f>+'PE-PARTIDA'!R126</f>
        <v>0</v>
      </c>
      <c r="P126" s="99">
        <f>+'PE-PARTIDA'!S126+'PE-PARTIDA'!V126+'PE-PARTIDA'!AD126</f>
        <v>0</v>
      </c>
      <c r="Q126" s="99">
        <f>+'PE-PARTIDA'!E126+'PE-PARTIDA'!M126</f>
        <v>241027.93</v>
      </c>
      <c r="R126" s="99">
        <f>+'PE-PARTIDA'!AH126+'PE-PARTIDA'!AM126</f>
        <v>0</v>
      </c>
      <c r="S126" s="99">
        <v>0</v>
      </c>
      <c r="T126" s="99">
        <v>0</v>
      </c>
      <c r="U126" s="99">
        <f>+C126+F126+G126+N126+P126-O126-M126+Q126+R126+S126+T126+H126+I126+J126+K126+L126</f>
        <v>251027.93</v>
      </c>
      <c r="V126" s="99">
        <v>251027.79</v>
      </c>
      <c r="W126" s="133">
        <f>V126/U126</f>
        <v>0.9999994422931345</v>
      </c>
      <c r="X126" s="99">
        <f>+U126-V126</f>
        <v>0.139999999984866</v>
      </c>
    </row>
    <row r="127" spans="1:24" ht="12.75">
      <c r="A127" s="80">
        <v>4419</v>
      </c>
      <c r="B127" s="81" t="s">
        <v>215</v>
      </c>
      <c r="C127" s="99">
        <f>+'PE-PARTIDA'!C127</f>
        <v>15000</v>
      </c>
      <c r="D127" s="99"/>
      <c r="E127" s="99"/>
      <c r="F127" s="99">
        <f>+'PE-PARTIDA'!Q127</f>
        <v>0</v>
      </c>
      <c r="G127" s="99">
        <f>+'PE-PARTIDA'!AA127</f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f>+'PE-PARTIDA'!G127+'PE-PARTIDA'!J127+'PE-PARTIDA'!N127+'PE-PARTIDA'!X127+'PE-PARTIDA'!AJ127+'PE-PARTIDA'!AS127+'PE-PARTIDA'!AV127+'PE-PARTIDA'!AB127+'PE-PARTIDA'!AP127</f>
        <v>0</v>
      </c>
      <c r="N127" s="99">
        <f>+'PE-PARTIDA'!H127+'PE-PARTIDA'!K127+'PE-PARTIDA'!O127+'PE-PARTIDA'!Y127+'PE-PARTIDA'!AC127+'PE-PARTIDA'!AK127+'PE-PARTIDA'!AT127+'PE-PARTIDA'!AW127</f>
        <v>0</v>
      </c>
      <c r="O127" s="99">
        <f>+'PE-PARTIDA'!R127</f>
        <v>0</v>
      </c>
      <c r="P127" s="99">
        <f>+'PE-PARTIDA'!S127+'PE-PARTIDA'!V127+'PE-PARTIDA'!AD127</f>
        <v>0</v>
      </c>
      <c r="Q127" s="99">
        <f>+'PE-PARTIDA'!E127+'PE-PARTIDA'!M127</f>
        <v>0</v>
      </c>
      <c r="R127" s="99">
        <f>+'PE-PARTIDA'!AH127+'PE-PARTIDA'!AM127</f>
        <v>0</v>
      </c>
      <c r="S127" s="99">
        <v>0</v>
      </c>
      <c r="T127" s="99">
        <v>0</v>
      </c>
      <c r="U127" s="99">
        <f>+C127+F127+G127+N127+P127-O127-M127+Q127+R127+S127+T127+H127+I127+J127+K127+L127</f>
        <v>15000</v>
      </c>
      <c r="V127" s="99">
        <v>0</v>
      </c>
      <c r="W127" s="133">
        <f>V127/U127</f>
        <v>0</v>
      </c>
      <c r="X127" s="99">
        <f>+U127-V127</f>
        <v>15000</v>
      </c>
    </row>
    <row r="128" spans="1:24" ht="12.75">
      <c r="A128" s="80">
        <v>4422</v>
      </c>
      <c r="B128" s="81" t="s">
        <v>216</v>
      </c>
      <c r="C128" s="99">
        <f>+'PE-PARTIDA'!C128</f>
        <v>50000</v>
      </c>
      <c r="D128" s="99"/>
      <c r="E128" s="99"/>
      <c r="F128" s="99">
        <f>+'PE-PARTIDA'!Q128</f>
        <v>0</v>
      </c>
      <c r="G128" s="99">
        <f>+'PE-PARTIDA'!AA128</f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f>+'PE-PARTIDA'!G128+'PE-PARTIDA'!J128+'PE-PARTIDA'!N128+'PE-PARTIDA'!X128+'PE-PARTIDA'!AJ128+'PE-PARTIDA'!AS128+'PE-PARTIDA'!AV128+'PE-PARTIDA'!AB128+'PE-PARTIDA'!AP128</f>
        <v>0</v>
      </c>
      <c r="N128" s="99">
        <f>+'PE-PARTIDA'!H128+'PE-PARTIDA'!K128+'PE-PARTIDA'!O128+'PE-PARTIDA'!Y128+'PE-PARTIDA'!AC128+'PE-PARTIDA'!AK128+'PE-PARTIDA'!AT128+'PE-PARTIDA'!AW128+'PE-PARTIDA'!AQ127</f>
        <v>0</v>
      </c>
      <c r="O128" s="99">
        <f>+'PE-PARTIDA'!R128</f>
        <v>0</v>
      </c>
      <c r="P128" s="99">
        <f>+'PE-PARTIDA'!S128+'PE-PARTIDA'!V128+'PE-PARTIDA'!AD128</f>
        <v>0</v>
      </c>
      <c r="Q128" s="99">
        <f>+'PE-PARTIDA'!E128+'PE-PARTIDA'!M128</f>
        <v>0</v>
      </c>
      <c r="R128" s="99">
        <f>+'PE-PARTIDA'!AH128+'PE-PARTIDA'!AM128</f>
        <v>0</v>
      </c>
      <c r="S128" s="99">
        <v>0</v>
      </c>
      <c r="T128" s="99">
        <v>0</v>
      </c>
      <c r="U128" s="99">
        <f>+C128+F128+G128+N128+P128-O128-M128+Q128+R128+S128+T128+H128+I128+J128+K128+L128</f>
        <v>50000</v>
      </c>
      <c r="V128" s="99">
        <v>34185.75</v>
      </c>
      <c r="W128" s="133">
        <f>V128/U128</f>
        <v>0.683715</v>
      </c>
      <c r="X128" s="99">
        <f>+U128-V128</f>
        <v>15814.25</v>
      </c>
    </row>
    <row r="129" spans="1:24" ht="12.75">
      <c r="A129" s="80">
        <v>4451</v>
      </c>
      <c r="B129" s="81" t="s">
        <v>217</v>
      </c>
      <c r="C129" s="99">
        <f>+'PE-PARTIDA'!C129</f>
        <v>36000</v>
      </c>
      <c r="D129" s="99"/>
      <c r="E129" s="99"/>
      <c r="F129" s="99">
        <f>+'PE-PARTIDA'!Q129</f>
        <v>0</v>
      </c>
      <c r="G129" s="99">
        <f>+'PE-PARTIDA'!AA129</f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f>+'PE-PARTIDA'!G129+'PE-PARTIDA'!J129+'PE-PARTIDA'!N129+'PE-PARTIDA'!X129+'PE-PARTIDA'!AJ129+'PE-PARTIDA'!AS129+'PE-PARTIDA'!AV129+'PE-PARTIDA'!AB129+'PE-PARTIDA'!AP129</f>
        <v>0</v>
      </c>
      <c r="N129" s="99">
        <f>+'PE-PARTIDA'!H129+'PE-PARTIDA'!K129+'PE-PARTIDA'!O129+'PE-PARTIDA'!Y129+'PE-PARTIDA'!AC129+'PE-PARTIDA'!AK129+'PE-PARTIDA'!AT129+'PE-PARTIDA'!AW129+'PE-PARTIDA'!AQ128</f>
        <v>0</v>
      </c>
      <c r="O129" s="99">
        <f>+'PE-PARTIDA'!R129</f>
        <v>0</v>
      </c>
      <c r="P129" s="99">
        <f>+'PE-PARTIDA'!S129+'PE-PARTIDA'!V129+'PE-PARTIDA'!AD129</f>
        <v>0</v>
      </c>
      <c r="Q129" s="99">
        <f>+'PE-PARTIDA'!E129+'PE-PARTIDA'!M129</f>
        <v>0</v>
      </c>
      <c r="R129" s="99">
        <f>+'PE-PARTIDA'!AH129+'PE-PARTIDA'!AM129</f>
        <v>0</v>
      </c>
      <c r="S129" s="99">
        <v>0</v>
      </c>
      <c r="T129" s="99">
        <v>0</v>
      </c>
      <c r="U129" s="99">
        <f>+C129+F129+G129+N129+P129-O129-M129+Q129+R129+S129+T129+H129+I129+J129+K129+L129</f>
        <v>36000</v>
      </c>
      <c r="V129" s="99">
        <v>30000</v>
      </c>
      <c r="W129" s="133">
        <f>V129/U129</f>
        <v>0.8333333333333334</v>
      </c>
      <c r="X129" s="99">
        <f>+U129-V129</f>
        <v>6000</v>
      </c>
    </row>
    <row r="130" spans="1:24" ht="26.25" thickBot="1">
      <c r="A130" s="82"/>
      <c r="B130" s="92" t="s">
        <v>52</v>
      </c>
      <c r="C130" s="98">
        <f>SUM(C126:C129)</f>
        <v>101000</v>
      </c>
      <c r="D130" s="98">
        <f aca="true" t="shared" si="12" ref="D130:X130">SUM(D126:D129)</f>
        <v>0</v>
      </c>
      <c r="E130" s="98">
        <f t="shared" si="12"/>
        <v>0</v>
      </c>
      <c r="F130" s="98">
        <f t="shared" si="12"/>
        <v>0</v>
      </c>
      <c r="G130" s="98">
        <f t="shared" si="12"/>
        <v>0</v>
      </c>
      <c r="H130" s="98">
        <f t="shared" si="12"/>
        <v>0</v>
      </c>
      <c r="I130" s="98">
        <f t="shared" si="12"/>
        <v>0</v>
      </c>
      <c r="J130" s="98">
        <f t="shared" si="12"/>
        <v>0</v>
      </c>
      <c r="K130" s="98">
        <f t="shared" si="12"/>
        <v>0</v>
      </c>
      <c r="L130" s="98">
        <f t="shared" si="12"/>
        <v>0</v>
      </c>
      <c r="M130" s="98">
        <f t="shared" si="12"/>
        <v>0</v>
      </c>
      <c r="N130" s="98">
        <f t="shared" si="12"/>
        <v>10000</v>
      </c>
      <c r="O130" s="98">
        <f t="shared" si="12"/>
        <v>0</v>
      </c>
      <c r="P130" s="98">
        <f t="shared" si="12"/>
        <v>0</v>
      </c>
      <c r="Q130" s="98">
        <f t="shared" si="12"/>
        <v>241027.93</v>
      </c>
      <c r="R130" s="98">
        <f t="shared" si="12"/>
        <v>0</v>
      </c>
      <c r="S130" s="98">
        <f t="shared" si="12"/>
        <v>0</v>
      </c>
      <c r="T130" s="98">
        <f t="shared" si="12"/>
        <v>0</v>
      </c>
      <c r="U130" s="98">
        <f t="shared" si="12"/>
        <v>352027.93</v>
      </c>
      <c r="V130" s="98">
        <f t="shared" si="12"/>
        <v>315213.54000000004</v>
      </c>
      <c r="W130" s="134">
        <f t="shared" si="12"/>
        <v>2.5170477756264678</v>
      </c>
      <c r="X130" s="98">
        <f t="shared" si="12"/>
        <v>36814.389999999985</v>
      </c>
    </row>
    <row r="131" spans="1:24" ht="15.75">
      <c r="A131" s="178" t="s">
        <v>61</v>
      </c>
      <c r="B131" s="178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35"/>
      <c r="X131" s="100"/>
    </row>
    <row r="132" spans="1:24" ht="12.75">
      <c r="A132" s="80">
        <v>5111</v>
      </c>
      <c r="B132" s="81" t="s">
        <v>93</v>
      </c>
      <c r="C132" s="99">
        <f>+'PE-PARTIDA'!C132</f>
        <v>0</v>
      </c>
      <c r="D132" s="99"/>
      <c r="E132" s="99"/>
      <c r="F132" s="99">
        <f>+'PE-PARTIDA'!Q132</f>
        <v>0</v>
      </c>
      <c r="G132" s="99">
        <f>+'PE-PARTIDA'!AA132</f>
        <v>0</v>
      </c>
      <c r="H132" s="99">
        <v>0</v>
      </c>
      <c r="I132" s="99">
        <v>0</v>
      </c>
      <c r="J132" s="99">
        <v>100000</v>
      </c>
      <c r="K132" s="99">
        <v>0</v>
      </c>
      <c r="L132" s="99">
        <v>0</v>
      </c>
      <c r="M132" s="99">
        <f>+'PE-PARTIDA'!G132+'PE-PARTIDA'!J132+'PE-PARTIDA'!N132+'PE-PARTIDA'!X132+'PE-PARTIDA'!AJ132+'PE-PARTIDA'!AS132+'PE-PARTIDA'!AV132+'PE-PARTIDA'!AB132+'PE-PARTIDA'!AP132</f>
        <v>0</v>
      </c>
      <c r="N132" s="99">
        <f>+'PE-PARTIDA'!H132+'PE-PARTIDA'!K132+'PE-PARTIDA'!O132+'PE-PARTIDA'!Y132+'PE-PARTIDA'!AC132+'PE-PARTIDA'!AK132+'PE-PARTIDA'!AT132+'PE-PARTIDA'!AW132+'PE-PARTIDA'!AQ131</f>
        <v>0</v>
      </c>
      <c r="O132" s="99">
        <f>+'PE-PARTIDA'!R132</f>
        <v>0</v>
      </c>
      <c r="P132" s="99">
        <f>+'PE-PARTIDA'!S132+'PE-PARTIDA'!V132+'PE-PARTIDA'!AD132</f>
        <v>0</v>
      </c>
      <c r="Q132" s="99">
        <f>+'PE-PARTIDA'!E132+'PE-PARTIDA'!M132</f>
        <v>0</v>
      </c>
      <c r="R132" s="99">
        <f>+'PE-PARTIDA'!AH132+'PE-PARTIDA'!AM132</f>
        <v>0</v>
      </c>
      <c r="S132" s="99">
        <v>0</v>
      </c>
      <c r="T132" s="99">
        <v>0</v>
      </c>
      <c r="U132" s="99">
        <f aca="true" t="shared" si="13" ref="U132:U145">+C132+F132+G132+N132+P132-O132-M132+Q132+R132+S132+T132+H132+I132+J132+K132+L132</f>
        <v>100000</v>
      </c>
      <c r="V132" s="99">
        <v>95295.93</v>
      </c>
      <c r="W132" s="133">
        <f>V132/U132</f>
        <v>0.9529593</v>
      </c>
      <c r="X132" s="99">
        <f aca="true" t="shared" si="14" ref="X132:X146">+U132-V132</f>
        <v>4704.070000000007</v>
      </c>
    </row>
    <row r="133" spans="1:24" ht="12.75">
      <c r="A133" s="80">
        <v>5151</v>
      </c>
      <c r="B133" s="81" t="s">
        <v>94</v>
      </c>
      <c r="C133" s="99">
        <f>+'PE-PARTIDA'!C133</f>
        <v>0</v>
      </c>
      <c r="D133" s="99"/>
      <c r="E133" s="99"/>
      <c r="F133" s="99">
        <f>+'PE-PARTIDA'!Q133</f>
        <v>0</v>
      </c>
      <c r="G133" s="99">
        <f>+'PE-PARTIDA'!AA133</f>
        <v>0</v>
      </c>
      <c r="H133" s="99">
        <v>0</v>
      </c>
      <c r="I133" s="99">
        <v>0</v>
      </c>
      <c r="J133" s="99">
        <v>350000</v>
      </c>
      <c r="K133" s="99">
        <v>0</v>
      </c>
      <c r="L133" s="99">
        <v>0</v>
      </c>
      <c r="M133" s="99">
        <f>+'PE-PARTIDA'!G133+'PE-PARTIDA'!J133+'PE-PARTIDA'!N133+'PE-PARTIDA'!X133+'PE-PARTIDA'!AJ133+'PE-PARTIDA'!AS133+'PE-PARTIDA'!AV133+'PE-PARTIDA'!AB133+'PE-PARTIDA'!AP133</f>
        <v>0</v>
      </c>
      <c r="N133" s="99">
        <f>+'PE-PARTIDA'!H133+'PE-PARTIDA'!K133+'PE-PARTIDA'!O133+'PE-PARTIDA'!Y133+'PE-PARTIDA'!AC133+'PE-PARTIDA'!AK133+'PE-PARTIDA'!AT133+'PE-PARTIDA'!AW133+'PE-PARTIDA'!AQ132</f>
        <v>0</v>
      </c>
      <c r="O133" s="99">
        <f>+'PE-PARTIDA'!R133</f>
        <v>0</v>
      </c>
      <c r="P133" s="99">
        <f>+'PE-PARTIDA'!S133+'PE-PARTIDA'!V133+'PE-PARTIDA'!AD133</f>
        <v>0</v>
      </c>
      <c r="Q133" s="99">
        <f>+'PE-PARTIDA'!E133+'PE-PARTIDA'!M133</f>
        <v>0</v>
      </c>
      <c r="R133" s="99">
        <f>+'PE-PARTIDA'!AH133+'PE-PARTIDA'!AM133</f>
        <v>0</v>
      </c>
      <c r="S133" s="99">
        <v>0</v>
      </c>
      <c r="T133" s="99">
        <v>0</v>
      </c>
      <c r="U133" s="99">
        <f t="shared" si="13"/>
        <v>350000</v>
      </c>
      <c r="V133" s="99">
        <v>349755.30000000005</v>
      </c>
      <c r="W133" s="133">
        <f aca="true" t="shared" si="15" ref="W133:W145">V133/U133</f>
        <v>0.9993008571428573</v>
      </c>
      <c r="X133" s="99">
        <f t="shared" si="14"/>
        <v>244.69999999995343</v>
      </c>
    </row>
    <row r="134" spans="1:24" ht="12.75">
      <c r="A134" s="80">
        <v>5191</v>
      </c>
      <c r="B134" s="81" t="s">
        <v>95</v>
      </c>
      <c r="C134" s="99">
        <f>+'PE-PARTIDA'!C134</f>
        <v>0</v>
      </c>
      <c r="D134" s="99"/>
      <c r="E134" s="99"/>
      <c r="F134" s="99">
        <f>+'PE-PARTIDA'!Q134</f>
        <v>0</v>
      </c>
      <c r="G134" s="99">
        <f>+'PE-PARTIDA'!AA134</f>
        <v>0</v>
      </c>
      <c r="H134" s="99">
        <v>0</v>
      </c>
      <c r="I134" s="99">
        <v>0</v>
      </c>
      <c r="J134" s="99">
        <v>100000</v>
      </c>
      <c r="K134" s="99">
        <v>0</v>
      </c>
      <c r="L134" s="99">
        <v>0</v>
      </c>
      <c r="M134" s="99">
        <f>+'PE-PARTIDA'!G134+'PE-PARTIDA'!J134+'PE-PARTIDA'!N134+'PE-PARTIDA'!X134+'PE-PARTIDA'!AJ134+'PE-PARTIDA'!AS134+'PE-PARTIDA'!AV134+'PE-PARTIDA'!AB134+'PE-PARTIDA'!AP134</f>
        <v>0</v>
      </c>
      <c r="N134" s="99">
        <f>+'PE-PARTIDA'!H134+'PE-PARTIDA'!K134+'PE-PARTIDA'!O134+'PE-PARTIDA'!Y134+'PE-PARTIDA'!AC134+'PE-PARTIDA'!AK134+'PE-PARTIDA'!AT134+'PE-PARTIDA'!AW134+'PE-PARTIDA'!AQ133</f>
        <v>0</v>
      </c>
      <c r="O134" s="99">
        <f>+'PE-PARTIDA'!R134</f>
        <v>0</v>
      </c>
      <c r="P134" s="99">
        <f>+'PE-PARTIDA'!S134+'PE-PARTIDA'!V134+'PE-PARTIDA'!AD134</f>
        <v>0</v>
      </c>
      <c r="Q134" s="99">
        <f>+'PE-PARTIDA'!E134+'PE-PARTIDA'!M134</f>
        <v>0</v>
      </c>
      <c r="R134" s="99">
        <f>+'PE-PARTIDA'!AH134+'PE-PARTIDA'!AM134</f>
        <v>0</v>
      </c>
      <c r="S134" s="99">
        <v>0</v>
      </c>
      <c r="T134" s="99">
        <v>0</v>
      </c>
      <c r="U134" s="99">
        <f t="shared" si="13"/>
        <v>100000</v>
      </c>
      <c r="V134" s="99">
        <v>99214.8</v>
      </c>
      <c r="W134" s="133">
        <f t="shared" si="15"/>
        <v>0.992148</v>
      </c>
      <c r="X134" s="99">
        <f t="shared" si="14"/>
        <v>785.1999999999971</v>
      </c>
    </row>
    <row r="135" spans="1:24" ht="12.75">
      <c r="A135" s="80">
        <v>5211</v>
      </c>
      <c r="B135" s="81" t="s">
        <v>53</v>
      </c>
      <c r="C135" s="99">
        <f>+'PE-PARTIDA'!C135</f>
        <v>0</v>
      </c>
      <c r="D135" s="99"/>
      <c r="E135" s="99"/>
      <c r="F135" s="99">
        <f>+'PE-PARTIDA'!Q135</f>
        <v>0</v>
      </c>
      <c r="G135" s="99">
        <f>+'PE-PARTIDA'!AA135</f>
        <v>0</v>
      </c>
      <c r="H135" s="99">
        <v>0</v>
      </c>
      <c r="I135" s="99">
        <v>0</v>
      </c>
      <c r="J135" s="99">
        <v>200000</v>
      </c>
      <c r="K135" s="99">
        <v>0</v>
      </c>
      <c r="L135" s="99">
        <v>0</v>
      </c>
      <c r="M135" s="99">
        <f>+'PE-PARTIDA'!G135+'PE-PARTIDA'!J135+'PE-PARTIDA'!N135+'PE-PARTIDA'!X135+'PE-PARTIDA'!AJ135+'PE-PARTIDA'!AS135+'PE-PARTIDA'!AV135+'PE-PARTIDA'!AB135+'PE-PARTIDA'!AP135</f>
        <v>0</v>
      </c>
      <c r="N135" s="99">
        <f>+'PE-PARTIDA'!H135+'PE-PARTIDA'!K135+'PE-PARTIDA'!O135+'PE-PARTIDA'!Y135+'PE-PARTIDA'!AC135+'PE-PARTIDA'!AK135+'PE-PARTIDA'!AT135+'PE-PARTIDA'!AW135+'PE-PARTIDA'!AQ134</f>
        <v>0</v>
      </c>
      <c r="O135" s="99">
        <f>+'PE-PARTIDA'!R135</f>
        <v>0</v>
      </c>
      <c r="P135" s="99">
        <f>+'PE-PARTIDA'!S135+'PE-PARTIDA'!V135+'PE-PARTIDA'!AD135</f>
        <v>0</v>
      </c>
      <c r="Q135" s="99">
        <f>+'PE-PARTIDA'!E135+'PE-PARTIDA'!M135</f>
        <v>0</v>
      </c>
      <c r="R135" s="99">
        <f>+'PE-PARTIDA'!AH135+'PE-PARTIDA'!AM135</f>
        <v>0</v>
      </c>
      <c r="S135" s="99">
        <v>0</v>
      </c>
      <c r="T135" s="99">
        <v>0</v>
      </c>
      <c r="U135" s="99">
        <f t="shared" si="13"/>
        <v>200000</v>
      </c>
      <c r="V135" s="99">
        <v>200000</v>
      </c>
      <c r="W135" s="133">
        <f t="shared" si="15"/>
        <v>1</v>
      </c>
      <c r="X135" s="99">
        <f t="shared" si="14"/>
        <v>0</v>
      </c>
    </row>
    <row r="136" spans="1:24" ht="12.75">
      <c r="A136" s="80">
        <v>5231</v>
      </c>
      <c r="B136" s="81" t="s">
        <v>96</v>
      </c>
      <c r="C136" s="99">
        <f>+'PE-PARTIDA'!C136</f>
        <v>0</v>
      </c>
      <c r="D136" s="99"/>
      <c r="E136" s="99"/>
      <c r="F136" s="99">
        <f>+'PE-PARTIDA'!Q136</f>
        <v>0</v>
      </c>
      <c r="G136" s="99">
        <f>+'PE-PARTIDA'!AA136</f>
        <v>0</v>
      </c>
      <c r="H136" s="99">
        <v>0</v>
      </c>
      <c r="I136" s="99">
        <v>0</v>
      </c>
      <c r="J136" s="99">
        <v>50000</v>
      </c>
      <c r="K136" s="99">
        <v>0</v>
      </c>
      <c r="L136" s="99">
        <v>0</v>
      </c>
      <c r="M136" s="99">
        <f>+'PE-PARTIDA'!G136+'PE-PARTIDA'!J136+'PE-PARTIDA'!N136+'PE-PARTIDA'!X136+'PE-PARTIDA'!AJ136+'PE-PARTIDA'!AS136+'PE-PARTIDA'!AV136+'PE-PARTIDA'!AB136+'PE-PARTIDA'!AP136</f>
        <v>0</v>
      </c>
      <c r="N136" s="99">
        <f>+'PE-PARTIDA'!H136+'PE-PARTIDA'!K136+'PE-PARTIDA'!O136+'PE-PARTIDA'!Y136+'PE-PARTIDA'!AC136+'PE-PARTIDA'!AK136+'PE-PARTIDA'!AT136+'PE-PARTIDA'!AW136+'PE-PARTIDA'!AQ135</f>
        <v>0</v>
      </c>
      <c r="O136" s="99">
        <f>+'PE-PARTIDA'!R136</f>
        <v>0</v>
      </c>
      <c r="P136" s="99">
        <f>+'PE-PARTIDA'!S136+'PE-PARTIDA'!V136+'PE-PARTIDA'!AD136</f>
        <v>0</v>
      </c>
      <c r="Q136" s="99">
        <f>+'PE-PARTIDA'!E136+'PE-PARTIDA'!M136</f>
        <v>0</v>
      </c>
      <c r="R136" s="99">
        <f>+'PE-PARTIDA'!AH136+'PE-PARTIDA'!AM136</f>
        <v>0</v>
      </c>
      <c r="S136" s="99">
        <v>0</v>
      </c>
      <c r="T136" s="99">
        <v>0</v>
      </c>
      <c r="U136" s="99">
        <f t="shared" si="13"/>
        <v>50000</v>
      </c>
      <c r="V136" s="99">
        <v>49806.9</v>
      </c>
      <c r="W136" s="133">
        <f t="shared" si="15"/>
        <v>0.9961380000000001</v>
      </c>
      <c r="X136" s="99">
        <f t="shared" si="14"/>
        <v>193.09999999999854</v>
      </c>
    </row>
    <row r="137" spans="1:24" ht="12.75">
      <c r="A137" s="80">
        <v>5291</v>
      </c>
      <c r="B137" s="81" t="s">
        <v>54</v>
      </c>
      <c r="C137" s="99">
        <f>+'PE-PARTIDA'!C137</f>
        <v>0</v>
      </c>
      <c r="D137" s="99"/>
      <c r="E137" s="99"/>
      <c r="F137" s="99">
        <f>+'PE-PARTIDA'!Q137</f>
        <v>0</v>
      </c>
      <c r="G137" s="99">
        <f>+'PE-PARTIDA'!AA137</f>
        <v>0</v>
      </c>
      <c r="H137" s="99">
        <v>0</v>
      </c>
      <c r="I137" s="99">
        <v>0</v>
      </c>
      <c r="J137" s="99">
        <v>100000</v>
      </c>
      <c r="K137" s="99">
        <v>0</v>
      </c>
      <c r="L137" s="99">
        <v>0</v>
      </c>
      <c r="M137" s="99">
        <f>+'PE-PARTIDA'!G137+'PE-PARTIDA'!J137+'PE-PARTIDA'!N137+'PE-PARTIDA'!X137+'PE-PARTIDA'!AJ137+'PE-PARTIDA'!AS137+'PE-PARTIDA'!AV137+'PE-PARTIDA'!AB137+'PE-PARTIDA'!AP137</f>
        <v>0</v>
      </c>
      <c r="N137" s="99">
        <f>+'PE-PARTIDA'!H137+'PE-PARTIDA'!K137+'PE-PARTIDA'!O137+'PE-PARTIDA'!Y137+'PE-PARTIDA'!AC137+'PE-PARTIDA'!AK137+'PE-PARTIDA'!AT137+'PE-PARTIDA'!AW137+'PE-PARTIDA'!AQ136</f>
        <v>0</v>
      </c>
      <c r="O137" s="99">
        <f>+'PE-PARTIDA'!R137</f>
        <v>0</v>
      </c>
      <c r="P137" s="99">
        <f>+'PE-PARTIDA'!S137+'PE-PARTIDA'!V137+'PE-PARTIDA'!AD137</f>
        <v>0</v>
      </c>
      <c r="Q137" s="99">
        <f>+'PE-PARTIDA'!E137+'PE-PARTIDA'!M137</f>
        <v>0</v>
      </c>
      <c r="R137" s="99">
        <f>+'PE-PARTIDA'!AH137+'PE-PARTIDA'!AM137</f>
        <v>0</v>
      </c>
      <c r="S137" s="99">
        <v>0</v>
      </c>
      <c r="T137" s="99">
        <v>0</v>
      </c>
      <c r="U137" s="99">
        <f t="shared" si="13"/>
        <v>100000</v>
      </c>
      <c r="V137" s="99">
        <v>91666.65</v>
      </c>
      <c r="W137" s="133">
        <f t="shared" si="15"/>
        <v>0.9166664999999999</v>
      </c>
      <c r="X137" s="99">
        <f t="shared" si="14"/>
        <v>8333.350000000006</v>
      </c>
    </row>
    <row r="138" spans="1:24" ht="12.75">
      <c r="A138" s="80">
        <v>5411</v>
      </c>
      <c r="B138" s="81" t="s">
        <v>218</v>
      </c>
      <c r="C138" s="99">
        <f>+'PE-PARTIDA'!C138</f>
        <v>0</v>
      </c>
      <c r="D138" s="99"/>
      <c r="E138" s="99"/>
      <c r="F138" s="99">
        <f>+'PE-PARTIDA'!Q138</f>
        <v>0</v>
      </c>
      <c r="G138" s="99">
        <f>+'PE-PARTIDA'!AA138</f>
        <v>0</v>
      </c>
      <c r="H138" s="99">
        <v>0</v>
      </c>
      <c r="I138" s="99">
        <v>431062</v>
      </c>
      <c r="J138" s="99">
        <v>0</v>
      </c>
      <c r="K138" s="99">
        <v>0</v>
      </c>
      <c r="L138" s="99">
        <v>0</v>
      </c>
      <c r="M138" s="99">
        <f>+'PE-PARTIDA'!G138+'PE-PARTIDA'!J138+'PE-PARTIDA'!N138+'PE-PARTIDA'!X138+'PE-PARTIDA'!AJ138+'PE-PARTIDA'!AS138+'PE-PARTIDA'!AV138+'PE-PARTIDA'!AB138+'PE-PARTIDA'!AP138</f>
        <v>0</v>
      </c>
      <c r="N138" s="99">
        <f>+'PE-PARTIDA'!H138+'PE-PARTIDA'!K138+'PE-PARTIDA'!O138+'PE-PARTIDA'!Y138+'PE-PARTIDA'!AC138+'PE-PARTIDA'!AK138+'PE-PARTIDA'!AT138+'PE-PARTIDA'!AW138+'PE-PARTIDA'!AQ137</f>
        <v>0</v>
      </c>
      <c r="O138" s="99">
        <f>+'PE-PARTIDA'!R138</f>
        <v>0</v>
      </c>
      <c r="P138" s="99">
        <f>+'PE-PARTIDA'!S138+'PE-PARTIDA'!V138+'PE-PARTIDA'!AD138</f>
        <v>0</v>
      </c>
      <c r="Q138" s="99">
        <f>+'PE-PARTIDA'!E138+'PE-PARTIDA'!M138</f>
        <v>0</v>
      </c>
      <c r="R138" s="99">
        <f>+'PE-PARTIDA'!AH138+'PE-PARTIDA'!AM138</f>
        <v>0</v>
      </c>
      <c r="S138" s="99">
        <v>0</v>
      </c>
      <c r="T138" s="99">
        <v>0</v>
      </c>
      <c r="U138" s="99">
        <f t="shared" si="13"/>
        <v>431062</v>
      </c>
      <c r="V138" s="99">
        <v>303796</v>
      </c>
      <c r="W138" s="133">
        <f t="shared" si="15"/>
        <v>0.7047617280112838</v>
      </c>
      <c r="X138" s="99">
        <f t="shared" si="14"/>
        <v>127266</v>
      </c>
    </row>
    <row r="139" spans="1:24" ht="12.75" hidden="1">
      <c r="A139" s="80">
        <v>5491</v>
      </c>
      <c r="B139" s="81" t="s">
        <v>219</v>
      </c>
      <c r="C139" s="99">
        <f>+'PE-PARTIDA'!C139</f>
        <v>0</v>
      </c>
      <c r="D139" s="99"/>
      <c r="E139" s="99"/>
      <c r="F139" s="99">
        <f>+'PE-PARTIDA'!Q139</f>
        <v>0</v>
      </c>
      <c r="G139" s="99">
        <f>+'PE-PARTIDA'!AA139</f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f>+'PE-PARTIDA'!G139+'PE-PARTIDA'!J139+'PE-PARTIDA'!N139+'PE-PARTIDA'!X139+'PE-PARTIDA'!AJ139+'PE-PARTIDA'!AS139+'PE-PARTIDA'!AV139+'PE-PARTIDA'!AB139+'PE-PARTIDA'!AP139</f>
        <v>0</v>
      </c>
      <c r="N139" s="99">
        <f>+'PE-PARTIDA'!H139+'PE-PARTIDA'!K139+'PE-PARTIDA'!O139+'PE-PARTIDA'!Y139+'PE-PARTIDA'!AC139+'PE-PARTIDA'!AK139+'PE-PARTIDA'!AT139+'PE-PARTIDA'!AW139+'PE-PARTIDA'!AQ138</f>
        <v>0</v>
      </c>
      <c r="O139" s="99">
        <f>+'PE-PARTIDA'!R139</f>
        <v>0</v>
      </c>
      <c r="P139" s="99">
        <f>+'PE-PARTIDA'!S139+'PE-PARTIDA'!V139+'PE-PARTIDA'!AD139</f>
        <v>0</v>
      </c>
      <c r="Q139" s="99">
        <f>+'PE-PARTIDA'!E139+'PE-PARTIDA'!M139</f>
        <v>0</v>
      </c>
      <c r="R139" s="99">
        <f>+'PE-PARTIDA'!AH139+'PE-PARTIDA'!AM139</f>
        <v>0</v>
      </c>
      <c r="S139" s="99">
        <v>0</v>
      </c>
      <c r="T139" s="99">
        <v>0</v>
      </c>
      <c r="U139" s="99">
        <f t="shared" si="13"/>
        <v>0</v>
      </c>
      <c r="V139" s="99">
        <v>0</v>
      </c>
      <c r="W139" s="133">
        <v>0</v>
      </c>
      <c r="X139" s="99">
        <f t="shared" si="14"/>
        <v>0</v>
      </c>
    </row>
    <row r="140" spans="1:24" ht="12.75">
      <c r="A140" s="80">
        <v>5611</v>
      </c>
      <c r="B140" s="81" t="s">
        <v>220</v>
      </c>
      <c r="C140" s="99">
        <f>+'PE-PARTIDA'!C140</f>
        <v>0</v>
      </c>
      <c r="D140" s="99"/>
      <c r="E140" s="99"/>
      <c r="F140" s="99">
        <f>+'PE-PARTIDA'!Q140</f>
        <v>0</v>
      </c>
      <c r="G140" s="99">
        <f>+'PE-PARTIDA'!AA140</f>
        <v>0</v>
      </c>
      <c r="H140" s="99">
        <v>0</v>
      </c>
      <c r="I140" s="99">
        <v>0</v>
      </c>
      <c r="J140" s="99">
        <v>350000</v>
      </c>
      <c r="K140" s="99">
        <v>0</v>
      </c>
      <c r="L140" s="99">
        <v>0</v>
      </c>
      <c r="M140" s="99">
        <f>+'PE-PARTIDA'!G140+'PE-PARTIDA'!J140+'PE-PARTIDA'!N140+'PE-PARTIDA'!X140+'PE-PARTIDA'!AJ140+'PE-PARTIDA'!AS140+'PE-PARTIDA'!AV140+'PE-PARTIDA'!AB140+'PE-PARTIDA'!AP140</f>
        <v>0</v>
      </c>
      <c r="N140" s="99">
        <f>+'PE-PARTIDA'!H140+'PE-PARTIDA'!K140+'PE-PARTIDA'!O140+'PE-PARTIDA'!Y140+'PE-PARTIDA'!AC140+'PE-PARTIDA'!AK140+'PE-PARTIDA'!AT140+'PE-PARTIDA'!AW140+'PE-PARTIDA'!AQ139</f>
        <v>0</v>
      </c>
      <c r="O140" s="99">
        <f>+'PE-PARTIDA'!R140</f>
        <v>0</v>
      </c>
      <c r="P140" s="99">
        <f>+'PE-PARTIDA'!S140+'PE-PARTIDA'!V140+'PE-PARTIDA'!AD140</f>
        <v>0</v>
      </c>
      <c r="Q140" s="99">
        <f>+'PE-PARTIDA'!E140+'PE-PARTIDA'!M140</f>
        <v>0</v>
      </c>
      <c r="R140" s="99">
        <f>+'PE-PARTIDA'!AH140+'PE-PARTIDA'!AM140</f>
        <v>0</v>
      </c>
      <c r="S140" s="99">
        <v>0</v>
      </c>
      <c r="T140" s="99">
        <v>0</v>
      </c>
      <c r="U140" s="99">
        <f t="shared" si="13"/>
        <v>350000</v>
      </c>
      <c r="V140" s="99">
        <v>318000</v>
      </c>
      <c r="W140" s="133">
        <f t="shared" si="15"/>
        <v>0.9085714285714286</v>
      </c>
      <c r="X140" s="99">
        <f t="shared" si="14"/>
        <v>32000</v>
      </c>
    </row>
    <row r="141" spans="1:24" ht="12.75" hidden="1">
      <c r="A141" s="80">
        <v>5621</v>
      </c>
      <c r="B141" s="81" t="s">
        <v>221</v>
      </c>
      <c r="C141" s="99">
        <f>+'PE-PARTIDA'!C141</f>
        <v>0</v>
      </c>
      <c r="D141" s="99"/>
      <c r="E141" s="99"/>
      <c r="F141" s="99">
        <f>+'PE-PARTIDA'!Q141</f>
        <v>0</v>
      </c>
      <c r="G141" s="99">
        <f>+'PE-PARTIDA'!AA141</f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f>+'PE-PARTIDA'!G141+'PE-PARTIDA'!J141+'PE-PARTIDA'!N141+'PE-PARTIDA'!X141+'PE-PARTIDA'!AJ141+'PE-PARTIDA'!AS141+'PE-PARTIDA'!AV141+'PE-PARTIDA'!AB141+'PE-PARTIDA'!AP141</f>
        <v>0</v>
      </c>
      <c r="N141" s="99">
        <f>+'PE-PARTIDA'!H141+'PE-PARTIDA'!K141+'PE-PARTIDA'!O141+'PE-PARTIDA'!Y141+'PE-PARTIDA'!AC141+'PE-PARTIDA'!AK141+'PE-PARTIDA'!AT141+'PE-PARTIDA'!AW141+'PE-PARTIDA'!AQ140</f>
        <v>0</v>
      </c>
      <c r="O141" s="99">
        <f>+'PE-PARTIDA'!R141</f>
        <v>0</v>
      </c>
      <c r="P141" s="99">
        <f>+'PE-PARTIDA'!S141+'PE-PARTIDA'!V141+'PE-PARTIDA'!AD141</f>
        <v>0</v>
      </c>
      <c r="Q141" s="99">
        <f>+'PE-PARTIDA'!E141+'PE-PARTIDA'!M141</f>
        <v>0</v>
      </c>
      <c r="R141" s="99">
        <f>+'PE-PARTIDA'!AH141+'PE-PARTIDA'!AM141</f>
        <v>0</v>
      </c>
      <c r="S141" s="99">
        <v>0</v>
      </c>
      <c r="T141" s="99">
        <v>0</v>
      </c>
      <c r="U141" s="99">
        <f t="shared" si="13"/>
        <v>0</v>
      </c>
      <c r="V141" s="99">
        <v>0</v>
      </c>
      <c r="W141" s="133">
        <v>0</v>
      </c>
      <c r="X141" s="99">
        <f t="shared" si="14"/>
        <v>0</v>
      </c>
    </row>
    <row r="142" spans="1:24" ht="25.5">
      <c r="A142" s="80">
        <v>5641</v>
      </c>
      <c r="B142" s="81" t="s">
        <v>222</v>
      </c>
      <c r="C142" s="99">
        <f>+'PE-PARTIDA'!C142</f>
        <v>0</v>
      </c>
      <c r="D142" s="99"/>
      <c r="E142" s="99"/>
      <c r="F142" s="99">
        <f>+'PE-PARTIDA'!Q142</f>
        <v>0</v>
      </c>
      <c r="G142" s="99">
        <f>+'PE-PARTIDA'!AA142</f>
        <v>0</v>
      </c>
      <c r="H142" s="99">
        <v>0</v>
      </c>
      <c r="I142" s="99">
        <v>0</v>
      </c>
      <c r="J142" s="99">
        <v>50000</v>
      </c>
      <c r="K142" s="99">
        <v>0</v>
      </c>
      <c r="L142" s="99">
        <v>0</v>
      </c>
      <c r="M142" s="99">
        <f>+'PE-PARTIDA'!G142+'PE-PARTIDA'!J142+'PE-PARTIDA'!N142+'PE-PARTIDA'!X142+'PE-PARTIDA'!AJ142+'PE-PARTIDA'!AS142+'PE-PARTIDA'!AV142+'PE-PARTIDA'!AB142+'PE-PARTIDA'!AP142</f>
        <v>0</v>
      </c>
      <c r="N142" s="99">
        <f>+'PE-PARTIDA'!H142+'PE-PARTIDA'!K142+'PE-PARTIDA'!O142+'PE-PARTIDA'!Y142+'PE-PARTIDA'!AC142+'PE-PARTIDA'!AK142+'PE-PARTIDA'!AT142+'PE-PARTIDA'!AW142+'PE-PARTIDA'!AQ141</f>
        <v>0</v>
      </c>
      <c r="O142" s="99">
        <f>+'PE-PARTIDA'!R142</f>
        <v>0</v>
      </c>
      <c r="P142" s="99">
        <f>+'PE-PARTIDA'!S142+'PE-PARTIDA'!V142+'PE-PARTIDA'!AD142</f>
        <v>0</v>
      </c>
      <c r="Q142" s="99">
        <f>+'PE-PARTIDA'!E142+'PE-PARTIDA'!M142</f>
        <v>0</v>
      </c>
      <c r="R142" s="99">
        <f>+'PE-PARTIDA'!AH142+'PE-PARTIDA'!AM142</f>
        <v>0</v>
      </c>
      <c r="S142" s="99">
        <v>0</v>
      </c>
      <c r="T142" s="99">
        <v>0</v>
      </c>
      <c r="U142" s="99">
        <f t="shared" si="13"/>
        <v>50000</v>
      </c>
      <c r="V142" s="99">
        <v>49671.2</v>
      </c>
      <c r="W142" s="133">
        <f t="shared" si="15"/>
        <v>0.993424</v>
      </c>
      <c r="X142" s="99">
        <f t="shared" si="14"/>
        <v>328.8000000000029</v>
      </c>
    </row>
    <row r="143" spans="1:24" ht="12.75">
      <c r="A143" s="80">
        <v>5651</v>
      </c>
      <c r="B143" s="81" t="s">
        <v>40</v>
      </c>
      <c r="C143" s="99">
        <f>+'PE-PARTIDA'!C143</f>
        <v>0</v>
      </c>
      <c r="D143" s="99"/>
      <c r="E143" s="99"/>
      <c r="F143" s="99">
        <f>+'PE-PARTIDA'!Q143</f>
        <v>0</v>
      </c>
      <c r="G143" s="99">
        <f>+'PE-PARTIDA'!AA143</f>
        <v>0</v>
      </c>
      <c r="H143" s="99">
        <v>0</v>
      </c>
      <c r="I143" s="99">
        <v>0</v>
      </c>
      <c r="J143" s="99">
        <v>25000</v>
      </c>
      <c r="K143" s="99">
        <v>0</v>
      </c>
      <c r="L143" s="99">
        <v>0</v>
      </c>
      <c r="M143" s="99">
        <f>+'PE-PARTIDA'!G143+'PE-PARTIDA'!J143+'PE-PARTIDA'!N143+'PE-PARTIDA'!X143+'PE-PARTIDA'!AJ143+'PE-PARTIDA'!AS143+'PE-PARTIDA'!AV143+'PE-PARTIDA'!AB143+'PE-PARTIDA'!AP143</f>
        <v>0</v>
      </c>
      <c r="N143" s="99">
        <f>+'PE-PARTIDA'!H143+'PE-PARTIDA'!K143+'PE-PARTIDA'!O143+'PE-PARTIDA'!Y143+'PE-PARTIDA'!AC143+'PE-PARTIDA'!AK143+'PE-PARTIDA'!AT143+'PE-PARTIDA'!AW143+'PE-PARTIDA'!AQ142</f>
        <v>0</v>
      </c>
      <c r="O143" s="99">
        <f>+'PE-PARTIDA'!R143</f>
        <v>0</v>
      </c>
      <c r="P143" s="99">
        <f>+'PE-PARTIDA'!S143+'PE-PARTIDA'!V143+'PE-PARTIDA'!AD143</f>
        <v>0</v>
      </c>
      <c r="Q143" s="99">
        <f>+'PE-PARTIDA'!E143+'PE-PARTIDA'!M143</f>
        <v>0</v>
      </c>
      <c r="R143" s="99">
        <f>+'PE-PARTIDA'!AH143+'PE-PARTIDA'!AM143</f>
        <v>0</v>
      </c>
      <c r="S143" s="99">
        <v>0</v>
      </c>
      <c r="T143" s="99">
        <v>0</v>
      </c>
      <c r="U143" s="99">
        <f t="shared" si="13"/>
        <v>25000</v>
      </c>
      <c r="V143" s="99">
        <v>0</v>
      </c>
      <c r="W143" s="133">
        <f t="shared" si="15"/>
        <v>0</v>
      </c>
      <c r="X143" s="99">
        <f t="shared" si="14"/>
        <v>25000</v>
      </c>
    </row>
    <row r="144" spans="1:24" ht="12.75">
      <c r="A144" s="80">
        <v>5671</v>
      </c>
      <c r="B144" s="81" t="s">
        <v>223</v>
      </c>
      <c r="C144" s="99">
        <f>+'PE-PARTIDA'!C144</f>
        <v>0</v>
      </c>
      <c r="D144" s="99"/>
      <c r="E144" s="99"/>
      <c r="F144" s="99">
        <f>+'PE-PARTIDA'!Q144</f>
        <v>0</v>
      </c>
      <c r="G144" s="99">
        <f>+'PE-PARTIDA'!AA144</f>
        <v>0</v>
      </c>
      <c r="H144" s="99">
        <v>0</v>
      </c>
      <c r="I144" s="99">
        <v>0</v>
      </c>
      <c r="J144" s="99">
        <v>50000</v>
      </c>
      <c r="K144" s="99">
        <v>0</v>
      </c>
      <c r="L144" s="99">
        <v>0</v>
      </c>
      <c r="M144" s="99">
        <f>+'PE-PARTIDA'!G144+'PE-PARTIDA'!J144+'PE-PARTIDA'!N144+'PE-PARTIDA'!X144+'PE-PARTIDA'!AJ144+'PE-PARTIDA'!AS144+'PE-PARTIDA'!AV144+'PE-PARTIDA'!AB144+'PE-PARTIDA'!AP144</f>
        <v>0</v>
      </c>
      <c r="N144" s="99">
        <f>+'PE-PARTIDA'!H144+'PE-PARTIDA'!K144+'PE-PARTIDA'!O144+'PE-PARTIDA'!Y144+'PE-PARTIDA'!AC144+'PE-PARTIDA'!AK144+'PE-PARTIDA'!AT144+'PE-PARTIDA'!AW144+'PE-PARTIDA'!AQ143</f>
        <v>0</v>
      </c>
      <c r="O144" s="99">
        <f>+'PE-PARTIDA'!R144</f>
        <v>0</v>
      </c>
      <c r="P144" s="99">
        <f>+'PE-PARTIDA'!S144+'PE-PARTIDA'!V144+'PE-PARTIDA'!AD144</f>
        <v>0</v>
      </c>
      <c r="Q144" s="99">
        <f>+'PE-PARTIDA'!E144+'PE-PARTIDA'!M144</f>
        <v>0</v>
      </c>
      <c r="R144" s="99">
        <f>+'PE-PARTIDA'!AH144+'PE-PARTIDA'!AM144</f>
        <v>0</v>
      </c>
      <c r="S144" s="99">
        <v>0</v>
      </c>
      <c r="T144" s="99">
        <v>0</v>
      </c>
      <c r="U144" s="99">
        <f t="shared" si="13"/>
        <v>50000</v>
      </c>
      <c r="V144" s="99">
        <v>49706</v>
      </c>
      <c r="W144" s="133">
        <f t="shared" si="15"/>
        <v>0.99412</v>
      </c>
      <c r="X144" s="99">
        <f t="shared" si="14"/>
        <v>294</v>
      </c>
    </row>
    <row r="145" spans="1:24" ht="12.75">
      <c r="A145" s="80">
        <v>5911</v>
      </c>
      <c r="B145" s="81" t="s">
        <v>55</v>
      </c>
      <c r="C145" s="99">
        <f>+'PE-PARTIDA'!C145</f>
        <v>0</v>
      </c>
      <c r="D145" s="99"/>
      <c r="E145" s="99"/>
      <c r="F145" s="99">
        <f>+'PE-PARTIDA'!Q145</f>
        <v>0</v>
      </c>
      <c r="G145" s="99">
        <f>+'PE-PARTIDA'!AA145</f>
        <v>0</v>
      </c>
      <c r="H145" s="99">
        <v>0</v>
      </c>
      <c r="I145" s="99">
        <v>0</v>
      </c>
      <c r="J145" s="99">
        <v>370000</v>
      </c>
      <c r="K145" s="99">
        <v>0</v>
      </c>
      <c r="L145" s="99">
        <v>0</v>
      </c>
      <c r="M145" s="99">
        <f>+'PE-PARTIDA'!G145+'PE-PARTIDA'!J145+'PE-PARTIDA'!N145+'PE-PARTIDA'!X145+'PE-PARTIDA'!AJ145+'PE-PARTIDA'!AS145+'PE-PARTIDA'!AV145+'PE-PARTIDA'!AB145+'PE-PARTIDA'!AP145</f>
        <v>10000</v>
      </c>
      <c r="N145" s="99">
        <f>+'PE-PARTIDA'!H145+'PE-PARTIDA'!K145+'PE-PARTIDA'!O145+'PE-PARTIDA'!Y145+'PE-PARTIDA'!AC145+'PE-PARTIDA'!AK145+'PE-PARTIDA'!AT145+'PE-PARTIDA'!AW145+'PE-PARTIDA'!AQ144</f>
        <v>0</v>
      </c>
      <c r="O145" s="99">
        <f>+'PE-PARTIDA'!R145</f>
        <v>0</v>
      </c>
      <c r="P145" s="99">
        <f>+'PE-PARTIDA'!S145+'PE-PARTIDA'!V145+'PE-PARTIDA'!AD145</f>
        <v>0</v>
      </c>
      <c r="Q145" s="99">
        <f>+'PE-PARTIDA'!E145+'PE-PARTIDA'!M145</f>
        <v>0</v>
      </c>
      <c r="R145" s="99">
        <f>+'PE-PARTIDA'!AH145+'PE-PARTIDA'!AM145</f>
        <v>0</v>
      </c>
      <c r="S145" s="99">
        <v>0</v>
      </c>
      <c r="T145" s="99">
        <v>0</v>
      </c>
      <c r="U145" s="99">
        <f t="shared" si="13"/>
        <v>360000</v>
      </c>
      <c r="V145" s="99">
        <v>258141.62</v>
      </c>
      <c r="W145" s="133">
        <f t="shared" si="15"/>
        <v>0.7170600555555555</v>
      </c>
      <c r="X145" s="99">
        <f t="shared" si="14"/>
        <v>101858.38</v>
      </c>
    </row>
    <row r="146" spans="1:24" ht="12.75">
      <c r="A146" s="93"/>
      <c r="B146" s="91"/>
      <c r="C146" s="99">
        <f>+'PE-PARTIDA'!C146</f>
        <v>0</v>
      </c>
      <c r="D146" s="99"/>
      <c r="E146" s="99"/>
      <c r="F146" s="99">
        <f>+'PE-PARTIDA'!Q146</f>
        <v>0</v>
      </c>
      <c r="G146" s="99">
        <f>+'PE-PARTIDA'!AA146</f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f>+'PE-PARTIDA'!G146+'PE-PARTIDA'!J146+'PE-PARTIDA'!N146+'PE-PARTIDA'!X146+'PE-PARTIDA'!AJ146+'PE-PARTIDA'!AS146+'PE-PARTIDA'!AV146+'PE-PARTIDA'!AB146+'PE-PARTIDA'!AP146</f>
        <v>0</v>
      </c>
      <c r="N146" s="99">
        <f>+'PE-PARTIDA'!H146+'PE-PARTIDA'!K146+'PE-PARTIDA'!O146+'PE-PARTIDA'!Y146+'PE-PARTIDA'!AC146+'PE-PARTIDA'!AK146+'PE-PARTIDA'!AT146+'PE-PARTIDA'!AW146+'PE-PARTIDA'!AQ145</f>
        <v>0</v>
      </c>
      <c r="O146" s="99">
        <f>+'PE-PARTIDA'!R146</f>
        <v>0</v>
      </c>
      <c r="P146" s="99">
        <f>+'PE-PARTIDA'!S146+'PE-PARTIDA'!V146+'PE-PARTIDA'!AD146</f>
        <v>0</v>
      </c>
      <c r="Q146" s="99">
        <f>+'PE-PARTIDA'!E146+'PE-PARTIDA'!M146</f>
        <v>0</v>
      </c>
      <c r="R146" s="99">
        <f>+'PE-PARTIDA'!AH146+'PE-PARTIDA'!AM146</f>
        <v>0</v>
      </c>
      <c r="S146" s="99"/>
      <c r="T146" s="99"/>
      <c r="U146" s="99"/>
      <c r="V146" s="99"/>
      <c r="W146" s="133"/>
      <c r="X146" s="99">
        <f t="shared" si="14"/>
        <v>0</v>
      </c>
    </row>
    <row r="147" spans="1:24" ht="25.5">
      <c r="A147" s="82"/>
      <c r="B147" s="92" t="s">
        <v>56</v>
      </c>
      <c r="C147" s="98">
        <f>SUM(C132:C146)</f>
        <v>0</v>
      </c>
      <c r="D147" s="98"/>
      <c r="E147" s="98"/>
      <c r="F147" s="98">
        <f>SUM(F132:F146)</f>
        <v>0</v>
      </c>
      <c r="G147" s="98">
        <f>SUM(G132:G146)</f>
        <v>0</v>
      </c>
      <c r="H147" s="98">
        <f aca="true" t="shared" si="16" ref="H147:X147">SUM(H132:H146)</f>
        <v>0</v>
      </c>
      <c r="I147" s="98">
        <f t="shared" si="16"/>
        <v>431062</v>
      </c>
      <c r="J147" s="98">
        <f t="shared" si="16"/>
        <v>1745000</v>
      </c>
      <c r="K147" s="98">
        <f t="shared" si="16"/>
        <v>0</v>
      </c>
      <c r="L147" s="98">
        <f t="shared" si="16"/>
        <v>0</v>
      </c>
      <c r="M147" s="98">
        <f t="shared" si="16"/>
        <v>10000</v>
      </c>
      <c r="N147" s="98">
        <f t="shared" si="16"/>
        <v>0</v>
      </c>
      <c r="O147" s="98">
        <f t="shared" si="16"/>
        <v>0</v>
      </c>
      <c r="P147" s="98">
        <f t="shared" si="16"/>
        <v>0</v>
      </c>
      <c r="Q147" s="98">
        <f t="shared" si="16"/>
        <v>0</v>
      </c>
      <c r="R147" s="98">
        <f t="shared" si="16"/>
        <v>0</v>
      </c>
      <c r="S147" s="98">
        <f t="shared" si="16"/>
        <v>0</v>
      </c>
      <c r="T147" s="98">
        <f t="shared" si="16"/>
        <v>0</v>
      </c>
      <c r="U147" s="98">
        <f t="shared" si="16"/>
        <v>2166062</v>
      </c>
      <c r="V147" s="98">
        <f t="shared" si="16"/>
        <v>1865054.4</v>
      </c>
      <c r="W147" s="134">
        <f>V147/U147</f>
        <v>0.8610346333576785</v>
      </c>
      <c r="X147" s="98">
        <f t="shared" si="16"/>
        <v>301007.6</v>
      </c>
    </row>
    <row r="148" spans="1:24" ht="15.75">
      <c r="A148" s="94"/>
      <c r="B148" s="95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37"/>
      <c r="X148" s="100"/>
    </row>
    <row r="149" spans="1:24" ht="12.75">
      <c r="A149" s="96"/>
      <c r="B149" s="97" t="s">
        <v>57</v>
      </c>
      <c r="C149" s="102">
        <f>+C30+C72+C124+C130+C147</f>
        <v>6745094</v>
      </c>
      <c r="D149" s="102">
        <f aca="true" t="shared" si="17" ref="D149:X149">+D30+D72+D124+D130+D147</f>
        <v>0</v>
      </c>
      <c r="E149" s="102">
        <f t="shared" si="17"/>
        <v>0</v>
      </c>
      <c r="F149" s="102">
        <f t="shared" si="17"/>
        <v>9125635</v>
      </c>
      <c r="G149" s="102">
        <f t="shared" si="17"/>
        <v>714000</v>
      </c>
      <c r="H149" s="102">
        <f t="shared" si="17"/>
        <v>0</v>
      </c>
      <c r="I149" s="102">
        <f t="shared" si="17"/>
        <v>639217.06</v>
      </c>
      <c r="J149" s="102">
        <f t="shared" si="17"/>
        <v>4478242.9399999995</v>
      </c>
      <c r="K149" s="102">
        <f t="shared" si="17"/>
        <v>0</v>
      </c>
      <c r="L149" s="102">
        <f t="shared" si="17"/>
        <v>0</v>
      </c>
      <c r="M149" s="102">
        <f t="shared" si="17"/>
        <v>603310</v>
      </c>
      <c r="N149" s="102">
        <f t="shared" si="17"/>
        <v>603310</v>
      </c>
      <c r="O149" s="102">
        <f t="shared" si="17"/>
        <v>397756</v>
      </c>
      <c r="P149" s="102">
        <f t="shared" si="17"/>
        <v>1884715.14</v>
      </c>
      <c r="Q149" s="102">
        <f t="shared" si="17"/>
        <v>2795990.93</v>
      </c>
      <c r="R149" s="102">
        <f t="shared" si="17"/>
        <v>186645.15</v>
      </c>
      <c r="S149" s="102">
        <f t="shared" si="17"/>
        <v>0</v>
      </c>
      <c r="T149" s="102">
        <f t="shared" si="17"/>
        <v>0</v>
      </c>
      <c r="U149" s="102">
        <f t="shared" si="17"/>
        <v>26171784.22</v>
      </c>
      <c r="V149" s="102">
        <f t="shared" si="17"/>
        <v>22591773.871999998</v>
      </c>
      <c r="W149" s="138">
        <f>V149/U149</f>
        <v>0.8632110704449327</v>
      </c>
      <c r="X149" s="102">
        <f t="shared" si="17"/>
        <v>3580010.348</v>
      </c>
    </row>
  </sheetData>
  <sheetProtection/>
  <mergeCells count="27">
    <mergeCell ref="A8:B8"/>
    <mergeCell ref="A31:B31"/>
    <mergeCell ref="A73:B73"/>
    <mergeCell ref="A125:B125"/>
    <mergeCell ref="A131:B131"/>
    <mergeCell ref="O6:O7"/>
    <mergeCell ref="C6:C7"/>
    <mergeCell ref="S6:S7"/>
    <mergeCell ref="A2:W2"/>
    <mergeCell ref="A3:W3"/>
    <mergeCell ref="A4:W4"/>
    <mergeCell ref="A6:A7"/>
    <mergeCell ref="B6:B7"/>
    <mergeCell ref="Q6:Q7"/>
    <mergeCell ref="G6:G7"/>
    <mergeCell ref="I6:L6"/>
    <mergeCell ref="H6:H7"/>
    <mergeCell ref="X6:X7"/>
    <mergeCell ref="D6:E6"/>
    <mergeCell ref="F6:F7"/>
    <mergeCell ref="V6:V7"/>
    <mergeCell ref="P6:P7"/>
    <mergeCell ref="T6:T7"/>
    <mergeCell ref="R6:R7"/>
    <mergeCell ref="W6:W7"/>
    <mergeCell ref="M6:N6"/>
    <mergeCell ref="U6:U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2016-02-11T14:47:58Z</dcterms:modified>
  <cp:category/>
  <cp:version/>
  <cp:contentType/>
  <cp:contentStatus/>
</cp:coreProperties>
</file>