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 activeTab="1"/>
  </bookViews>
  <sheets>
    <sheet name="Casos resueltos" sheetId="1" r:id="rId1"/>
    <sheet name="Personal capacitado" sheetId="2" r:id="rId2"/>
    <sheet name="Plantilla" sheetId="3" r:id="rId3"/>
    <sheet name="Ingresos" sheetId="4" r:id="rId4"/>
  </sheets>
  <externalReferences>
    <externalReference r:id="rId5"/>
  </externalReferences>
  <definedNames>
    <definedName name="_xlnm.Print_Area" localSheetId="0">'Casos resueltos'!$A$2:$O$68</definedName>
    <definedName name="_xlnm.Print_Area" localSheetId="2">Plantilla!$A$1:$AK$25</definedName>
  </definedNames>
  <calcPr calcId="125725"/>
</workbook>
</file>

<file path=xl/calcChain.xml><?xml version="1.0" encoding="utf-8"?>
<calcChain xmlns="http://schemas.openxmlformats.org/spreadsheetml/2006/main">
  <c r="O66" i="4"/>
  <c r="N66"/>
  <c r="M66"/>
  <c r="L66"/>
  <c r="K66"/>
  <c r="J66"/>
  <c r="I66"/>
  <c r="H66"/>
  <c r="G66"/>
  <c r="F66"/>
  <c r="E66"/>
  <c r="D66"/>
  <c r="C66" s="1"/>
  <c r="C40"/>
  <c r="O40"/>
  <c r="N40"/>
  <c r="M40"/>
  <c r="L40"/>
  <c r="K40"/>
  <c r="J40"/>
  <c r="I40"/>
  <c r="H40"/>
  <c r="G40"/>
  <c r="F40"/>
  <c r="E40"/>
  <c r="D40"/>
  <c r="AD20" i="3"/>
  <c r="AD14"/>
  <c r="AD12"/>
  <c r="AD10"/>
  <c r="AD8"/>
  <c r="AD7"/>
  <c r="AA16"/>
  <c r="AD21"/>
  <c r="AA21"/>
  <c r="Z21"/>
  <c r="S21"/>
  <c r="AA19"/>
  <c r="Z19"/>
  <c r="S19"/>
  <c r="S18"/>
  <c r="S17"/>
  <c r="AC16"/>
  <c r="Z16"/>
  <c r="S16"/>
  <c r="AC13"/>
  <c r="AA13"/>
  <c r="Z13"/>
  <c r="S13"/>
  <c r="AC11"/>
  <c r="AA11"/>
  <c r="Z11"/>
  <c r="S11"/>
  <c r="AA9"/>
  <c r="Z9"/>
  <c r="S9"/>
  <c r="S6"/>
  <c r="C75" i="1"/>
  <c r="C70"/>
  <c r="O17" i="2"/>
  <c r="M15"/>
  <c r="L15"/>
  <c r="K15"/>
  <c r="J15"/>
  <c r="I15"/>
  <c r="H15"/>
  <c r="G15"/>
  <c r="F15"/>
  <c r="E15"/>
  <c r="D15"/>
  <c r="O20"/>
  <c r="N20"/>
  <c r="M20"/>
  <c r="L20"/>
  <c r="K20"/>
  <c r="J20"/>
  <c r="I20"/>
  <c r="H20"/>
  <c r="G20"/>
  <c r="F20"/>
  <c r="E20"/>
  <c r="D20"/>
  <c r="O19"/>
  <c r="N19"/>
  <c r="M19"/>
  <c r="L19"/>
  <c r="K19"/>
  <c r="J19"/>
  <c r="I19"/>
  <c r="H19"/>
  <c r="G19"/>
  <c r="F19"/>
  <c r="E19"/>
  <c r="D19"/>
  <c r="O17" i="1"/>
  <c r="N17"/>
  <c r="N15"/>
  <c r="M15"/>
  <c r="L15"/>
  <c r="K15"/>
  <c r="J15"/>
  <c r="I15"/>
  <c r="H15"/>
  <c r="G15"/>
  <c r="F15"/>
  <c r="E15"/>
  <c r="D15"/>
  <c r="O22"/>
  <c r="D21"/>
  <c r="D20"/>
  <c r="D19"/>
  <c r="O18"/>
  <c r="N18"/>
  <c r="M18"/>
  <c r="L18"/>
  <c r="K18"/>
  <c r="J18"/>
  <c r="I18"/>
  <c r="H18"/>
  <c r="G18"/>
  <c r="F18"/>
  <c r="E18"/>
  <c r="D18"/>
  <c r="O20"/>
  <c r="O56"/>
  <c r="N56"/>
  <c r="M55"/>
  <c r="M51"/>
  <c r="K56"/>
  <c r="L56"/>
  <c r="L50"/>
  <c r="J60"/>
  <c r="I52"/>
  <c r="H52"/>
  <c r="H51"/>
  <c r="H56"/>
  <c r="G56"/>
  <c r="G57"/>
  <c r="F57"/>
  <c r="F58"/>
  <c r="E58"/>
  <c r="F51"/>
  <c r="F50"/>
  <c r="D50"/>
  <c r="D47"/>
  <c r="E56"/>
  <c r="C61"/>
  <c r="C62"/>
  <c r="O38"/>
  <c r="N38"/>
  <c r="M38"/>
  <c r="L38"/>
  <c r="K38"/>
  <c r="J38"/>
  <c r="I38"/>
  <c r="H38"/>
  <c r="G38"/>
  <c r="F38"/>
  <c r="E38"/>
  <c r="D38"/>
  <c r="L21"/>
  <c r="O21"/>
  <c r="M20"/>
  <c r="K20"/>
  <c r="J20"/>
  <c r="J19"/>
  <c r="O23"/>
  <c r="N23"/>
  <c r="M23"/>
  <c r="L23"/>
  <c r="K23"/>
  <c r="J23"/>
  <c r="I23"/>
  <c r="H23"/>
  <c r="G23"/>
  <c r="F23"/>
  <c r="E23"/>
  <c r="D23"/>
  <c r="N21"/>
  <c r="M21"/>
  <c r="K21"/>
  <c r="J21"/>
  <c r="I21"/>
  <c r="H21"/>
  <c r="G21"/>
  <c r="F21"/>
  <c r="E21"/>
  <c r="I20"/>
  <c r="H20"/>
  <c r="G20"/>
  <c r="F20"/>
  <c r="E20"/>
  <c r="I19"/>
  <c r="H19"/>
  <c r="G19"/>
  <c r="F19"/>
  <c r="E19"/>
  <c r="C70" i="4" l="1"/>
  <c r="O68"/>
  <c r="N68"/>
  <c r="M68"/>
  <c r="L68"/>
  <c r="K68"/>
  <c r="J68"/>
  <c r="I68"/>
  <c r="H68"/>
  <c r="G68"/>
  <c r="F68"/>
  <c r="E68"/>
  <c r="D68"/>
  <c r="D65"/>
  <c r="C65"/>
  <c r="G64"/>
  <c r="C64"/>
  <c r="C63"/>
  <c r="O62"/>
  <c r="N62"/>
  <c r="M62"/>
  <c r="L62"/>
  <c r="K62"/>
  <c r="J62"/>
  <c r="I62"/>
  <c r="H62"/>
  <c r="C62"/>
  <c r="G61"/>
  <c r="C61"/>
  <c r="I60"/>
  <c r="E60"/>
  <c r="C60" s="1"/>
  <c r="C59"/>
  <c r="C58"/>
  <c r="C57"/>
  <c r="C56"/>
  <c r="C55"/>
  <c r="J54"/>
  <c r="I54"/>
  <c r="C54" s="1"/>
  <c r="F53"/>
  <c r="D53"/>
  <c r="C53"/>
  <c r="C52"/>
  <c r="C51"/>
  <c r="C50"/>
  <c r="I49"/>
  <c r="C49" s="1"/>
  <c r="C48"/>
  <c r="O47"/>
  <c r="N47"/>
  <c r="M47"/>
  <c r="L47"/>
  <c r="K47"/>
  <c r="J47"/>
  <c r="C47" s="1"/>
  <c r="C46"/>
  <c r="C45"/>
  <c r="C44"/>
  <c r="E43"/>
  <c r="C43"/>
  <c r="C42"/>
  <c r="H41"/>
  <c r="C41" s="1"/>
  <c r="C39"/>
  <c r="L38"/>
  <c r="H38"/>
  <c r="C38"/>
  <c r="L37"/>
  <c r="H37"/>
  <c r="C37" s="1"/>
  <c r="C36"/>
  <c r="C35"/>
  <c r="H34"/>
  <c r="C34" s="1"/>
  <c r="H33"/>
  <c r="C33" s="1"/>
  <c r="C32"/>
  <c r="L31"/>
  <c r="J31"/>
  <c r="H31"/>
  <c r="C31"/>
  <c r="L30"/>
  <c r="I30"/>
  <c r="H30"/>
  <c r="C30"/>
  <c r="J29"/>
  <c r="G29"/>
  <c r="F29"/>
  <c r="C29"/>
  <c r="J28"/>
  <c r="E28"/>
  <c r="D28"/>
  <c r="C28"/>
  <c r="C27"/>
  <c r="L26"/>
  <c r="K26"/>
  <c r="I26"/>
  <c r="E26"/>
  <c r="C26"/>
  <c r="O25"/>
  <c r="N25"/>
  <c r="M25"/>
  <c r="L25"/>
  <c r="K25"/>
  <c r="I25"/>
  <c r="F25"/>
  <c r="E25"/>
  <c r="D25"/>
  <c r="C25"/>
  <c r="C23"/>
  <c r="O22"/>
  <c r="N22"/>
  <c r="M22"/>
  <c r="L22"/>
  <c r="K22"/>
  <c r="J22"/>
  <c r="I22"/>
  <c r="H22"/>
  <c r="G22"/>
  <c r="F22"/>
  <c r="E22"/>
  <c r="D22"/>
  <c r="C22" s="1"/>
  <c r="O21"/>
  <c r="N21"/>
  <c r="M21"/>
  <c r="L21"/>
  <c r="K21"/>
  <c r="J21"/>
  <c r="I21"/>
  <c r="H21"/>
  <c r="G21"/>
  <c r="F21"/>
  <c r="E21"/>
  <c r="D21"/>
  <c r="C21"/>
  <c r="C20"/>
  <c r="O19"/>
  <c r="N19"/>
  <c r="M19"/>
  <c r="L19"/>
  <c r="K19"/>
  <c r="J19"/>
  <c r="I19"/>
  <c r="H19"/>
  <c r="G19"/>
  <c r="F19"/>
  <c r="E19"/>
  <c r="D19"/>
  <c r="C19"/>
  <c r="O18"/>
  <c r="N18"/>
  <c r="M18"/>
  <c r="L18"/>
  <c r="K18"/>
  <c r="J18"/>
  <c r="I18"/>
  <c r="H18"/>
  <c r="G18"/>
  <c r="F18"/>
  <c r="E18"/>
  <c r="D18"/>
  <c r="C18" s="1"/>
  <c r="O17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C15"/>
  <c r="C14"/>
  <c r="O13"/>
  <c r="N13"/>
  <c r="M13"/>
  <c r="L13"/>
  <c r="K13"/>
  <c r="J13"/>
  <c r="I13"/>
  <c r="H13"/>
  <c r="G13"/>
  <c r="F13"/>
  <c r="E13"/>
  <c r="D13"/>
  <c r="C13" s="1"/>
  <c r="U23" i="3"/>
  <c r="AK23" s="1"/>
  <c r="X21"/>
  <c r="W21"/>
  <c r="U21"/>
  <c r="AK21" s="1"/>
  <c r="U19"/>
  <c r="AK19" s="1"/>
  <c r="U18"/>
  <c r="U17"/>
  <c r="AK17" s="1"/>
  <c r="AF20"/>
  <c r="AE20"/>
  <c r="AC20"/>
  <c r="AB20"/>
  <c r="AA20"/>
  <c r="Z20"/>
  <c r="Y20"/>
  <c r="X20"/>
  <c r="W20"/>
  <c r="U16"/>
  <c r="S20"/>
  <c r="U20" s="1"/>
  <c r="Y13"/>
  <c r="X13"/>
  <c r="W13"/>
  <c r="U13"/>
  <c r="AF12"/>
  <c r="AF14" s="1"/>
  <c r="AF15" s="1"/>
  <c r="AF22" s="1"/>
  <c r="AE12"/>
  <c r="AE14" s="1"/>
  <c r="AC12"/>
  <c r="AC14" s="1"/>
  <c r="AC15" s="1"/>
  <c r="AC22" s="1"/>
  <c r="AB22"/>
  <c r="AA12"/>
  <c r="AA14" s="1"/>
  <c r="Z12"/>
  <c r="Z14" s="1"/>
  <c r="Z15" s="1"/>
  <c r="Z22" s="1"/>
  <c r="Y11"/>
  <c r="Y12" s="1"/>
  <c r="X11"/>
  <c r="X22" s="1"/>
  <c r="W11"/>
  <c r="W12" s="1"/>
  <c r="W14" s="1"/>
  <c r="W15" s="1"/>
  <c r="U11"/>
  <c r="AK11" s="1"/>
  <c r="Y10"/>
  <c r="AF10"/>
  <c r="AE10"/>
  <c r="AC10"/>
  <c r="AB10"/>
  <c r="AA10"/>
  <c r="Z10"/>
  <c r="X9"/>
  <c r="X10" s="1"/>
  <c r="W9"/>
  <c r="W10" s="1"/>
  <c r="S10"/>
  <c r="U10" s="1"/>
  <c r="AF7"/>
  <c r="AF8" s="1"/>
  <c r="AE7"/>
  <c r="AE8" s="1"/>
  <c r="AC7"/>
  <c r="AC8" s="1"/>
  <c r="AB7"/>
  <c r="AB8" s="1"/>
  <c r="AA7"/>
  <c r="AA8" s="1"/>
  <c r="Z7"/>
  <c r="Z8" s="1"/>
  <c r="Y7"/>
  <c r="Y8" s="1"/>
  <c r="X7"/>
  <c r="X8" s="1"/>
  <c r="W7"/>
  <c r="W8" s="1"/>
  <c r="S7"/>
  <c r="C29" i="2"/>
  <c r="O24"/>
  <c r="N24"/>
  <c r="M24"/>
  <c r="L24"/>
  <c r="K24"/>
  <c r="J24"/>
  <c r="I24"/>
  <c r="H24"/>
  <c r="G24"/>
  <c r="F24"/>
  <c r="E24"/>
  <c r="D24"/>
  <c r="C24"/>
  <c r="O23"/>
  <c r="N23"/>
  <c r="M23"/>
  <c r="L23"/>
  <c r="K23"/>
  <c r="J23"/>
  <c r="I23"/>
  <c r="H23"/>
  <c r="G23"/>
  <c r="F23"/>
  <c r="E23"/>
  <c r="D23"/>
  <c r="C23"/>
  <c r="C22"/>
  <c r="C21"/>
  <c r="C20"/>
  <c r="C19"/>
  <c r="C18"/>
  <c r="C17"/>
  <c r="C16"/>
  <c r="O25"/>
  <c r="O27" s="1"/>
  <c r="N25"/>
  <c r="N27" s="1"/>
  <c r="M25"/>
  <c r="M27" s="1"/>
  <c r="L25"/>
  <c r="L27" s="1"/>
  <c r="K25"/>
  <c r="K27" s="1"/>
  <c r="J25"/>
  <c r="J27" s="1"/>
  <c r="I25"/>
  <c r="I27" s="1"/>
  <c r="H25"/>
  <c r="H27" s="1"/>
  <c r="G25"/>
  <c r="G27" s="1"/>
  <c r="F25"/>
  <c r="F27" s="1"/>
  <c r="E25"/>
  <c r="E27" s="1"/>
  <c r="D25"/>
  <c r="D27" s="1"/>
  <c r="C74" i="1"/>
  <c r="C65"/>
  <c r="C64"/>
  <c r="C63"/>
  <c r="C60"/>
  <c r="C59"/>
  <c r="C58"/>
  <c r="C57"/>
  <c r="C56"/>
  <c r="C55"/>
  <c r="C54"/>
  <c r="C53"/>
  <c r="C52"/>
  <c r="C51"/>
  <c r="C50"/>
  <c r="C49"/>
  <c r="O66"/>
  <c r="N66"/>
  <c r="M66"/>
  <c r="L66"/>
  <c r="K66"/>
  <c r="J66"/>
  <c r="I66"/>
  <c r="H66"/>
  <c r="G66"/>
  <c r="F66"/>
  <c r="E66"/>
  <c r="D66"/>
  <c r="C48"/>
  <c r="C47"/>
  <c r="C46"/>
  <c r="C45"/>
  <c r="C44"/>
  <c r="C43"/>
  <c r="C42"/>
  <c r="C40"/>
  <c r="C39"/>
  <c r="C38"/>
  <c r="C37"/>
  <c r="C36"/>
  <c r="C35"/>
  <c r="C34"/>
  <c r="C33"/>
  <c r="C32"/>
  <c r="C31"/>
  <c r="C30"/>
  <c r="C29"/>
  <c r="C28"/>
  <c r="O41"/>
  <c r="N41"/>
  <c r="M41"/>
  <c r="L41"/>
  <c r="K41"/>
  <c r="J41"/>
  <c r="I41"/>
  <c r="H41"/>
  <c r="G41"/>
  <c r="F41"/>
  <c r="E41"/>
  <c r="D41"/>
  <c r="C25"/>
  <c r="O24"/>
  <c r="N24"/>
  <c r="M24"/>
  <c r="L24"/>
  <c r="K24"/>
  <c r="J24"/>
  <c r="I24"/>
  <c r="H24"/>
  <c r="G24"/>
  <c r="F24"/>
  <c r="E24"/>
  <c r="D24"/>
  <c r="C23"/>
  <c r="C22"/>
  <c r="C21"/>
  <c r="C20"/>
  <c r="C19"/>
  <c r="C18"/>
  <c r="C17"/>
  <c r="C16"/>
  <c r="O26"/>
  <c r="O68" s="1"/>
  <c r="N26"/>
  <c r="M26"/>
  <c r="L26"/>
  <c r="K26"/>
  <c r="J26"/>
  <c r="I26"/>
  <c r="I68" s="1"/>
  <c r="H26"/>
  <c r="G26"/>
  <c r="G68" s="1"/>
  <c r="F26"/>
  <c r="E26"/>
  <c r="D26"/>
  <c r="U9" i="3"/>
  <c r="AK9" s="1"/>
  <c r="X12"/>
  <c r="X14"/>
  <c r="X15" s="1"/>
  <c r="AB12"/>
  <c r="AB14" s="1"/>
  <c r="AB15" s="1"/>
  <c r="C15" i="2"/>
  <c r="C15" i="1"/>
  <c r="C27"/>
  <c r="C41" s="1"/>
  <c r="C24" i="4" l="1"/>
  <c r="AD22" i="3"/>
  <c r="C25" i="2"/>
  <c r="C27" s="1"/>
  <c r="N68" i="1"/>
  <c r="L68"/>
  <c r="H68"/>
  <c r="J68"/>
  <c r="D68"/>
  <c r="C24"/>
  <c r="F68"/>
  <c r="E68"/>
  <c r="K68"/>
  <c r="M68"/>
  <c r="C66"/>
  <c r="C26"/>
  <c r="AK10" i="3"/>
  <c r="AK13"/>
  <c r="AK16"/>
  <c r="AK18"/>
  <c r="U7"/>
  <c r="AK7" s="1"/>
  <c r="S8"/>
  <c r="U8" s="1"/>
  <c r="AK8" s="1"/>
  <c r="AA22"/>
  <c r="AA15"/>
  <c r="AE22"/>
  <c r="AE15"/>
  <c r="AK20"/>
  <c r="W22"/>
  <c r="Y14"/>
  <c r="Y15" s="1"/>
  <c r="Y22" s="1"/>
  <c r="S12"/>
  <c r="U6"/>
  <c r="AK6" s="1"/>
  <c r="C68" i="4" l="1"/>
  <c r="C68" i="1"/>
  <c r="C71" s="1"/>
  <c r="S22" i="3"/>
  <c r="U22" s="1"/>
  <c r="AK22" s="1"/>
  <c r="U12"/>
  <c r="AK12" s="1"/>
  <c r="S14"/>
  <c r="U14" l="1"/>
  <c r="AK14" s="1"/>
  <c r="S15"/>
  <c r="U15" s="1"/>
  <c r="AK15" s="1"/>
  <c r="AK24" l="1"/>
</calcChain>
</file>

<file path=xl/sharedStrings.xml><?xml version="1.0" encoding="utf-8"?>
<sst xmlns="http://schemas.openxmlformats.org/spreadsheetml/2006/main" count="454" uniqueCount="252">
  <si>
    <t>CALENDARIZACIÓN DE RECURSOS</t>
  </si>
  <si>
    <t>COMISIÓN DE ARBITRAJE MÉDICO DEL ESTADO DE JALISCO</t>
  </si>
  <si>
    <t>DEPENDENCIA / ORGANISMO</t>
  </si>
  <si>
    <t>ATENCIÓN DEL CONFLICTO MÉDICO-PACIENTE EN EL ESTADO DE JALISCO</t>
  </si>
  <si>
    <t>PROYECTO ó PROCESO</t>
  </si>
  <si>
    <t>CASOS RESUELTOS</t>
  </si>
  <si>
    <t>COMPONENTE</t>
  </si>
  <si>
    <t>PARTIDA</t>
  </si>
  <si>
    <t>DESCRIPCIÓN</t>
  </si>
  <si>
    <t>IMPORTE ANUAL</t>
  </si>
  <si>
    <t>CALENDARIZACIÓN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</si>
  <si>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</si>
  <si>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</si>
  <si>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</si>
  <si>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</si>
  <si>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</si>
  <si>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</si>
  <si>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</si>
  <si>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</si>
  <si>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</si>
  <si>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</si>
  <si>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</si>
  <si>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</si>
  <si>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SUELDOS</t>
  </si>
  <si>
    <t>PRIMA VACACIONAL</t>
  </si>
  <si>
    <t>AGUINALDO</t>
  </si>
  <si>
    <t>CUOTAS IMSS</t>
  </si>
  <si>
    <t>CUOTAS PARA LA VIVIENDA</t>
  </si>
  <si>
    <t>CUOTAS A PENSIONES</t>
  </si>
  <si>
    <t>SISTEMA DE AHORRO PARA EL RETIRO</t>
  </si>
  <si>
    <t>IMPACTO AL SALARIO</t>
  </si>
  <si>
    <t>AYUDA DESPENSA</t>
  </si>
  <si>
    <t>AYUDA TRANSPORTE</t>
  </si>
  <si>
    <t>ESTÍMULO DEL SERVIDOR PÚBLICO</t>
  </si>
  <si>
    <t>TOTAL CAPÍTULO 1000 Servicios Personales</t>
  </si>
  <si>
    <t>MATERIAL PARA OFICINA</t>
  </si>
  <si>
    <t>MATERIALES Y ÚTILES DE IMPRESIÓN</t>
  </si>
  <si>
    <t>MAT ÚT MENO TECNOLOGÍAS DE LA INF</t>
  </si>
  <si>
    <t>MATERIAL IMPRESO E INFO. DIGITAL</t>
  </si>
  <si>
    <t>MATERIAL DE LIMPIEZA</t>
  </si>
  <si>
    <t>PRODUCTOS ALIMENTICIOS PARA EL PERSONAL</t>
  </si>
  <si>
    <t>UTENSILIOS PARA EL SERVICIO ALIMENTAC</t>
  </si>
  <si>
    <t>MATERIAL ELÉCTRICO Y ELECTRÓNICO</t>
  </si>
  <si>
    <t>OTROS MATERIALES Y ARTÍCULOS CONSTRUCCIÓN</t>
  </si>
  <si>
    <t>FERTILIZANTES, PESTICIDAS Y OTROS AG</t>
  </si>
  <si>
    <t>MEDICINAS Y PRODUCTOS FARMACEÚTICOS</t>
  </si>
  <si>
    <t>COMBUSTIBLES</t>
  </si>
  <si>
    <t>HERRAMIENTAS MENORES</t>
  </si>
  <si>
    <t>REFACCIONES Y ACCESORIOS MENORES EQ CÓMPUTO</t>
  </si>
  <si>
    <t>TOTAL CAPÍTULO 2000 Materiales y Suministros</t>
  </si>
  <si>
    <t>SERVICIO ELÉCTRICO</t>
  </si>
  <si>
    <t>SERVICIO AGUA POTABLE</t>
  </si>
  <si>
    <t>TELEFONÍA TRADICIONAL</t>
  </si>
  <si>
    <t>TELEFONÍA CELULAR</t>
  </si>
  <si>
    <t>SERVICIO DE ACCESO INTERNET, REDES</t>
  </si>
  <si>
    <t>SERVICIO POSTAL</t>
  </si>
  <si>
    <t>RENTA DE OFICINAS</t>
  </si>
  <si>
    <t>SERV LEGALES,CONTAB, AUDITORIA</t>
  </si>
  <si>
    <t>SERVICIOS DE APOYO ADMINISTRATIVO</t>
  </si>
  <si>
    <t>IMPRESIONES DE PAPELERÍA OFICIAL</t>
  </si>
  <si>
    <t>SERVICIO DE VIGILANCIA</t>
  </si>
  <si>
    <t>SERVICIOS FINANCIEROS Y BANCARIOS</t>
  </si>
  <si>
    <t>SEGUROS DE BIENES PATRIMONIALES</t>
  </si>
  <si>
    <t>MANT Y CONSER MENOR INMUEBLES</t>
  </si>
  <si>
    <t>INS REP Y MANT MOB Y EQ ADMÓN, ED</t>
  </si>
  <si>
    <t>INS REP Y MANT EQ CÓMPUTO Y TEC INF</t>
  </si>
  <si>
    <t>REP Y MANT EQUIPO TRANSPORTE</t>
  </si>
  <si>
    <t>INST REP Y MANT DE MAQUINARIA</t>
  </si>
  <si>
    <t>SERVICIOS DE LIMPIEZA Y MANEJO DESECHOS</t>
  </si>
  <si>
    <t>PASAJES AEREOS</t>
  </si>
  <si>
    <t>PASAJES TERRESTRES</t>
  </si>
  <si>
    <t>VIÁTICOS EN EL PAÍS</t>
  </si>
  <si>
    <t>OTROS SERVICIOS DE TRASLADO Y HOSP</t>
  </si>
  <si>
    <t>CONGRESOS Y CONVENCIONES</t>
  </si>
  <si>
    <t>IMPUESTOS Y DERECHOS</t>
  </si>
  <si>
    <t>TOTAL CAPÍTULO 3000 Servicios Generales</t>
  </si>
  <si>
    <t>SUMAS</t>
  </si>
  <si>
    <t>PERSONAL CAPACITADO</t>
  </si>
  <si>
    <t>FORMATO PARA EL VACIADO DE LA PLANTILLA DE PERSONAL DE LOS ORGANISMOS PÚBLICOS</t>
  </si>
  <si>
    <t>ORGANISMO:</t>
  </si>
  <si>
    <t>Comisión de Arbitraje Médico del Estado de Jalisco</t>
  </si>
  <si>
    <t>SIGLAS:</t>
  </si>
  <si>
    <t>CAMEJAL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</si>
  <si>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</si>
  <si>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</si>
  <si>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</si>
  <si>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</si>
  <si>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</si>
  <si>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</si>
  <si>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</si>
  <si>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</si>
  <si>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</si>
  <si>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</si>
  <si>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</si>
  <si>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</si>
  <si>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</si>
  <si>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</si>
  <si>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</si>
  <si>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</si>
  <si>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</si>
  <si>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</si>
  <si>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</si>
  <si>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</si>
  <si>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</si>
  <si>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</si>
  <si>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</si>
  <si>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SOBRE
SUELDO
1101</t>
  </si>
  <si>
    <t>SUMA 
1101</t>
  </si>
  <si>
    <t>QUINQUENIO
1301</t>
  </si>
  <si>
    <t>PRIMA
VACACIONAL
1311</t>
  </si>
  <si>
    <t>AGUINALDO
1312</t>
  </si>
  <si>
    <t>*ESTIMULO AL SERVICIO ADMINISTRATIVO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</si>
  <si>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</si>
  <si>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</si>
  <si>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</si>
  <si>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</si>
  <si>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</si>
  <si>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</si>
  <si>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IMPACTO AL
SALARIO
1801</t>
  </si>
  <si>
    <t>TOTAL
ANUAL</t>
  </si>
  <si>
    <t>S/C</t>
  </si>
  <si>
    <t>F</t>
  </si>
  <si>
    <t>B</t>
  </si>
  <si>
    <t xml:space="preserve">SECRETARIA  </t>
  </si>
  <si>
    <t>SUBCOMISIÓN JURÍDICA</t>
  </si>
  <si>
    <t>A</t>
  </si>
  <si>
    <t>FÉLIX LEÓN VERÓNICA</t>
  </si>
  <si>
    <t>FELV720730FH4</t>
  </si>
  <si>
    <t>RECEPCIONISTA</t>
  </si>
  <si>
    <t>SUBCOMISIÓN MÉDICA</t>
  </si>
  <si>
    <t>MARISCAL JIMÉNEZ MARÍA DEL CARMEN</t>
  </si>
  <si>
    <t>MAJC690922QU2</t>
  </si>
  <si>
    <t>SECRETARIA</t>
  </si>
  <si>
    <t>SCHERMAN LEAÑO ROSA LETICIA</t>
  </si>
  <si>
    <t>SELR540728MH3</t>
  </si>
  <si>
    <t>M</t>
  </si>
  <si>
    <t>C</t>
  </si>
  <si>
    <t>SUBCOMISIONADA MÉDICA</t>
  </si>
  <si>
    <t>RAMÍREZ ANGUIANO CARLOS ALBERTO</t>
  </si>
  <si>
    <t>RAAC540601GXA</t>
  </si>
  <si>
    <t>SUBCOMISIONADO JURÍDICO</t>
  </si>
  <si>
    <t>GOMEZ TOLEDO CARMINA</t>
  </si>
  <si>
    <t>GOTC840219EU2</t>
  </si>
  <si>
    <t>MÉDICO CONCILIADOR</t>
  </si>
  <si>
    <t>JIMÉNEZ CASTILLO LUIS ARTURO</t>
  </si>
  <si>
    <t>JICL7612093K3</t>
  </si>
  <si>
    <t>ABOGADO CONCILIADOR</t>
  </si>
  <si>
    <t>PEREZ GOMEZ JORGE ALBERTO</t>
  </si>
  <si>
    <t>PEGJ-681016-PV9</t>
  </si>
  <si>
    <t>GARCÍA ESCALERA FERNANDO</t>
  </si>
  <si>
    <t>GAEF790103EC7</t>
  </si>
  <si>
    <t>MORALES MEZA J. ALBERTO</t>
  </si>
  <si>
    <t>MOMA580312R11</t>
  </si>
  <si>
    <t>NOTIFICADOR</t>
  </si>
  <si>
    <t>CAMACHO SANTILLÁN VERÓNICA</t>
  </si>
  <si>
    <t>CASV730624N19</t>
  </si>
  <si>
    <t>PROGRAMADOR TÉCNICO</t>
  </si>
  <si>
    <t>DIRECCIÓN</t>
  </si>
  <si>
    <t>CASILLAS AHUMADA MARCELA YAZMÍN</t>
  </si>
  <si>
    <t>CAAM-740419-9P2</t>
  </si>
  <si>
    <t>SECRETARIA DEL COMISIONADO</t>
  </si>
  <si>
    <t>CHÁVEZ ANGUIANO JAIME ARTURO</t>
  </si>
  <si>
    <t>CAAJ-611207-P58</t>
  </si>
  <si>
    <t>MENSAJERO</t>
  </si>
  <si>
    <t>ADMINISTRACIÓN</t>
  </si>
  <si>
    <t>BRISEÑO FERNÁNDEZ MARÍA GUADALUPE</t>
  </si>
  <si>
    <t>BIFG801118EBA</t>
  </si>
  <si>
    <t>CONTADORA</t>
  </si>
  <si>
    <t>CHÁVEZ RAMÍREZ SALVADOR</t>
  </si>
  <si>
    <t>CARS5511286Z7</t>
  </si>
  <si>
    <t>COMISIONADO</t>
  </si>
  <si>
    <t>HERNÁNDEZ ALCALÁ RAÚL</t>
  </si>
  <si>
    <t>HEAR561102UF7</t>
  </si>
  <si>
    <t>ADMINISTRADOR</t>
  </si>
  <si>
    <t>ADMINSTRACIÓN</t>
  </si>
  <si>
    <t>Nota: los parámetros de calculo que aparecen en este formato son meramente ilustrativos, cada organismo deberá aplicar los correspondientes.</t>
  </si>
  <si>
    <t>Total de plazas</t>
  </si>
  <si>
    <r>
      <t xml:space="preserve">DESCRIPCIÓN DE LOS CONCEPTOS DE LAS COLUMNAS.  </t>
    </r>
    <r>
      <rPr>
        <b/>
        <u/>
        <sz val="12"/>
        <color indexed="18"/>
        <rFont val="Arial"/>
        <family val="2"/>
      </rPr>
      <t>IMPORTANTE LLENAR CON LETRA MAYÚSCULA.</t>
    </r>
  </si>
  <si>
    <t>SIGLAS</t>
  </si>
  <si>
    <t>NOTAS:</t>
  </si>
  <si>
    <t>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</si>
  <si>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</si>
  <si>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</si>
  <si>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</si>
  <si>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</si>
  <si>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</si>
  <si>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</si>
  <si>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</si>
  <si>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>NUMERO DE LA UNIDAD EJECUTORA DEL GASTO</t>
  </si>
  <si>
    <t>- INCLUIR LA FORMA DE CALCULO PARA CADA CONCEPTO</t>
  </si>
  <si>
    <t>CODIGO DEL PUESTO</t>
  </si>
  <si>
    <t>NÚMERO DE IDENTIFICACIÓN DEL EMPLEADO-PUESTO</t>
  </si>
  <si>
    <t>NOMBRE DE LA PERSONA QUE OCUPA EL PUESTO (APELLIDO PATERNO, MATERNO Y NOMBRE (S))</t>
  </si>
  <si>
    <t>EJEMPLOS:</t>
  </si>
  <si>
    <t>RFC DEL BENEFICIARIO</t>
  </si>
  <si>
    <t>Partida 1312 Aguinaldo</t>
  </si>
  <si>
    <t>(4390/30*50)</t>
  </si>
  <si>
    <t>Sueldo mensual, entre 30 por 50 días al año</t>
  </si>
  <si>
    <t>SEXO DEL BENEFICIARIO ANOTANDO M-PARA MUJER Y H-PARA HOMBRE</t>
  </si>
  <si>
    <t>FECHA DE INGRESO DEL BENEFICIARIO (DIA, MES Y AÑO)</t>
  </si>
  <si>
    <t>Partida 1401 Pensiones del Estado</t>
  </si>
  <si>
    <t>(4390*5%)</t>
  </si>
  <si>
    <t>Sueldo mensual, por 5% de aportación mensual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</si>
  <si>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</si>
  <si>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</si>
  <si>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</si>
  <si>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</si>
  <si>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</si>
  <si>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</si>
  <si>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</si>
  <si>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</si>
  <si>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</si>
  <si>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</si>
  <si>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</si>
  <si>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</si>
  <si>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</si>
  <si>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</si>
  <si>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</si>
  <si>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</si>
  <si>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</si>
  <si>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</si>
  <si>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</si>
  <si>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</si>
  <si>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MONTO ANUAL QUE OTORGA EL PATRÓN POR ESTE CONCEPTO</t>
  </si>
  <si>
    <t>APORTACIÓN PATRONAL PARA AGUINALDO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</si>
  <si>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</si>
  <si>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</si>
  <si>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</si>
  <si>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</si>
  <si>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</si>
  <si>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</si>
  <si>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</si>
  <si>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</si>
  <si>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</si>
  <si>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</si>
  <si>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PREVISIÓN PATRONAL PARA INCREMENTO SALARIAL</t>
  </si>
  <si>
    <t>*</t>
  </si>
  <si>
    <t>ESTIMULO SOLO EN CASO DE VENIRLO OTORGANDO</t>
  </si>
  <si>
    <t>Proceso 2</t>
  </si>
  <si>
    <t>MATERIAL ESTADÍSTICO Y GEOGRÁFICO</t>
  </si>
  <si>
    <t>Nota: La totalidad de los ingresos son recursos estatales.</t>
  </si>
  <si>
    <t>JEFE DEL DEPARTAMENTO DE ORIENTACIÓN Y QUEJAS</t>
  </si>
  <si>
    <t>FLORES BOLAÑOS LAURA GABRIELA</t>
  </si>
  <si>
    <t>FOBL7304143NA</t>
  </si>
  <si>
    <t>ANAYA JIMÉNEZ MIRIAM IVETTE</t>
  </si>
  <si>
    <t>AAJM930720L2A</t>
  </si>
  <si>
    <t xml:space="preserve"> PRESUPUESTO DE EGRESOS 2019</t>
  </si>
  <si>
    <t>Mensual</t>
  </si>
  <si>
    <t>Quincenal</t>
  </si>
  <si>
    <t>Plantilla 2019</t>
  </si>
  <si>
    <t>REDUCCIÓN AÑO 2019</t>
  </si>
  <si>
    <t xml:space="preserve"> PRESUPUESTO DE INGRESOS 2019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</si>
</sst>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000"/>
    <numFmt numFmtId="165" formatCode="0.00000%"/>
    <numFmt numFmtId="166" formatCode="_(* #,##0.00_);_(* \(#,##0.00\);_(* &quot;-&quot;??_);_(@_)"/>
    <numFmt numFmtId="167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12"/>
      <name val="Arial"/>
      <family val="2"/>
    </font>
    <font>
      <sz val="12"/>
      <color rgb="FF2222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10"/>
      <color rgb="FFFF0000"/>
      <name val="MS Sans Serif"/>
      <family val="2"/>
    </font>
    <font>
      <sz val="9"/>
      <name val="Arial"/>
      <family val="2"/>
    </font>
    <font>
      <sz val="10"/>
      <name val="Book Antiqua"/>
      <family val="1"/>
    </font>
    <font>
      <sz val="12"/>
      <name val="Arial"/>
      <family val="2"/>
    </font>
    <font>
      <b/>
      <u/>
      <sz val="12"/>
      <color indexed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/>
    <xf numFmtId="0" fontId="2" fillId="0" borderId="0" xfId="0" applyFont="1" applyFill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/>
    <xf numFmtId="43" fontId="0" fillId="0" borderId="2" xfId="1" applyFont="1" applyBorder="1" applyAlignment="1">
      <alignment horizontal="right" vertical="center"/>
    </xf>
    <xf numFmtId="0" fontId="5" fillId="0" borderId="2" xfId="0" applyFont="1" applyBorder="1"/>
    <xf numFmtId="16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/>
    </xf>
    <xf numFmtId="43" fontId="6" fillId="3" borderId="2" xfId="1" applyFont="1" applyFill="1" applyBorder="1"/>
    <xf numFmtId="0" fontId="6" fillId="0" borderId="0" xfId="0" applyFont="1"/>
    <xf numFmtId="0" fontId="0" fillId="0" borderId="2" xfId="0" applyBorder="1" applyAlignment="1">
      <alignment horizontal="center"/>
    </xf>
    <xf numFmtId="43" fontId="0" fillId="0" borderId="2" xfId="1" applyFont="1" applyBorder="1"/>
    <xf numFmtId="13" fontId="0" fillId="0" borderId="2" xfId="1" applyNumberFormat="1" applyFont="1" applyBorder="1" applyAlignment="1">
      <alignment horizontal="right" vertical="center"/>
    </xf>
    <xf numFmtId="0" fontId="9" fillId="0" borderId="2" xfId="0" applyFont="1" applyBorder="1"/>
    <xf numFmtId="164" fontId="10" fillId="0" borderId="2" xfId="0" applyNumberFormat="1" applyFont="1" applyBorder="1" applyAlignment="1">
      <alignment horizontal="center" vertical="center"/>
    </xf>
    <xf numFmtId="43" fontId="0" fillId="0" borderId="2" xfId="1" applyFont="1" applyFill="1" applyBorder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0" fontId="10" fillId="0" borderId="2" xfId="0" applyFont="1" applyBorder="1"/>
    <xf numFmtId="43" fontId="6" fillId="0" borderId="0" xfId="0" applyNumberFormat="1" applyFont="1"/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right" vertical="center"/>
    </xf>
    <xf numFmtId="43" fontId="11" fillId="4" borderId="2" xfId="1" applyFont="1" applyFill="1" applyBorder="1" applyAlignment="1">
      <alignment vertical="center"/>
    </xf>
    <xf numFmtId="43" fontId="0" fillId="0" borderId="0" xfId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6" fillId="6" borderId="0" xfId="0" applyFont="1" applyFill="1" applyAlignment="1">
      <alignment vertical="center"/>
    </xf>
    <xf numFmtId="10" fontId="5" fillId="0" borderId="0" xfId="2" applyNumberFormat="1" applyFont="1" applyAlignment="1">
      <alignment horizontal="center" vertical="center"/>
    </xf>
    <xf numFmtId="0" fontId="0" fillId="6" borderId="0" xfId="0" applyFill="1" applyAlignment="1">
      <alignment vertical="center"/>
    </xf>
    <xf numFmtId="3" fontId="5" fillId="0" borderId="0" xfId="1" applyNumberFormat="1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0" fontId="13" fillId="0" borderId="0" xfId="2" applyNumberFormat="1" applyFont="1" applyAlignment="1">
      <alignment horizontal="center" vertical="center"/>
    </xf>
    <xf numFmtId="10" fontId="6" fillId="6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4" fontId="5" fillId="7" borderId="3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7" borderId="6" xfId="0" applyNumberFormat="1" applyFont="1" applyFill="1" applyBorder="1" applyAlignment="1">
      <alignment horizontal="center" vertical="center" wrapText="1"/>
    </xf>
    <xf numFmtId="0" fontId="15" fillId="8" borderId="6" xfId="0" applyNumberFormat="1" applyFont="1" applyFill="1" applyBorder="1" applyAlignment="1">
      <alignment horizontal="center" vertical="center" wrapText="1"/>
    </xf>
    <xf numFmtId="0" fontId="15" fillId="7" borderId="6" xfId="0" applyNumberFormat="1" applyFont="1" applyFill="1" applyBorder="1" applyAlignment="1">
      <alignment horizontal="center" vertical="center" textRotation="180" wrapText="1"/>
    </xf>
    <xf numFmtId="0" fontId="15" fillId="8" borderId="6" xfId="0" applyNumberFormat="1" applyFont="1" applyFill="1" applyBorder="1" applyAlignment="1">
      <alignment horizontal="center" vertical="center" textRotation="180" wrapText="1"/>
    </xf>
    <xf numFmtId="0" fontId="16" fillId="8" borderId="6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9" borderId="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6" fontId="17" fillId="0" borderId="0" xfId="1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3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4" fontId="5" fillId="0" borderId="2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43" fontId="5" fillId="0" borderId="7" xfId="1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3" fontId="5" fillId="0" borderId="2" xfId="1" applyNumberFormat="1" applyFont="1" applyFill="1" applyBorder="1" applyAlignment="1">
      <alignment vertical="center"/>
    </xf>
    <xf numFmtId="4" fontId="5" fillId="0" borderId="7" xfId="3" applyNumberFormat="1" applyFont="1" applyFill="1" applyBorder="1" applyAlignment="1">
      <alignment vertical="center"/>
    </xf>
    <xf numFmtId="167" fontId="13" fillId="0" borderId="7" xfId="3" applyNumberFormat="1" applyFont="1" applyFill="1" applyBorder="1" applyAlignment="1">
      <alignment vertical="center"/>
    </xf>
    <xf numFmtId="167" fontId="13" fillId="0" borderId="7" xfId="3" applyNumberFormat="1" applyFill="1" applyBorder="1" applyAlignment="1">
      <alignment vertical="center"/>
    </xf>
    <xf numFmtId="167" fontId="5" fillId="0" borderId="2" xfId="3" applyNumberFormat="1" applyFont="1" applyBorder="1" applyAlignment="1">
      <alignment vertical="center"/>
    </xf>
    <xf numFmtId="167" fontId="19" fillId="0" borderId="7" xfId="3" applyNumberFormat="1" applyFont="1" applyFill="1" applyBorder="1" applyAlignment="1">
      <alignment vertical="center"/>
    </xf>
    <xf numFmtId="167" fontId="0" fillId="0" borderId="7" xfId="0" applyNumberFormat="1" applyFill="1" applyBorder="1" applyAlignment="1">
      <alignment vertical="center"/>
    </xf>
    <xf numFmtId="167" fontId="0" fillId="0" borderId="2" xfId="0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0" fillId="0" borderId="0" xfId="0" applyNumberFormat="1" applyFill="1" applyAlignment="1">
      <alignment vertical="center"/>
    </xf>
    <xf numFmtId="166" fontId="13" fillId="0" borderId="0" xfId="1" applyNumberFormat="1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0" fillId="0" borderId="2" xfId="0" applyFont="1" applyBorder="1"/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/>
    </xf>
    <xf numFmtId="43" fontId="5" fillId="0" borderId="2" xfId="1" applyNumberFormat="1" applyFont="1" applyBorder="1" applyAlignment="1">
      <alignment vertical="center"/>
    </xf>
    <xf numFmtId="167" fontId="5" fillId="0" borderId="2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7" fontId="5" fillId="0" borderId="0" xfId="0" applyNumberFormat="1" applyFont="1" applyAlignment="1">
      <alignment vertical="center"/>
    </xf>
    <xf numFmtId="0" fontId="5" fillId="0" borderId="2" xfId="3" quotePrefix="1" applyFont="1" applyBorder="1" applyAlignment="1">
      <alignment horizontal="center" vertical="center"/>
    </xf>
    <xf numFmtId="43" fontId="5" fillId="0" borderId="2" xfId="3" applyNumberFormat="1" applyFont="1" applyBorder="1" applyAlignment="1">
      <alignment vertical="center"/>
    </xf>
    <xf numFmtId="0" fontId="21" fillId="0" borderId="2" xfId="0" applyFont="1" applyFill="1" applyBorder="1"/>
    <xf numFmtId="0" fontId="20" fillId="0" borderId="8" xfId="0" applyFont="1" applyBorder="1"/>
    <xf numFmtId="0" fontId="5" fillId="0" borderId="4" xfId="0" applyFont="1" applyBorder="1"/>
    <xf numFmtId="0" fontId="21" fillId="8" borderId="2" xfId="0" applyFont="1" applyFill="1" applyBorder="1"/>
    <xf numFmtId="0" fontId="0" fillId="0" borderId="9" xfId="0" applyBorder="1"/>
    <xf numFmtId="0" fontId="5" fillId="0" borderId="7" xfId="3" applyFont="1" applyFill="1" applyBorder="1" applyAlignment="1">
      <alignment vertical="center"/>
    </xf>
    <xf numFmtId="14" fontId="13" fillId="0" borderId="7" xfId="3" applyNumberForma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vertical="center"/>
    </xf>
    <xf numFmtId="14" fontId="13" fillId="0" borderId="2" xfId="3" applyNumberForma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167" fontId="13" fillId="0" borderId="2" xfId="3" applyNumberForma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8" xfId="3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4" fontId="5" fillId="0" borderId="8" xfId="3" applyNumberFormat="1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8" xfId="3" quotePrefix="1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43" fontId="20" fillId="0" borderId="8" xfId="1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8" xfId="3" applyNumberFormat="1" applyFont="1" applyFill="1" applyBorder="1" applyAlignment="1">
      <alignment vertical="center"/>
    </xf>
    <xf numFmtId="43" fontId="5" fillId="0" borderId="8" xfId="1" applyFont="1" applyFill="1" applyBorder="1" applyAlignment="1">
      <alignment vertical="center"/>
    </xf>
    <xf numFmtId="167" fontId="13" fillId="0" borderId="8" xfId="3" applyNumberFormat="1" applyFont="1" applyFill="1" applyBorder="1" applyAlignment="1">
      <alignment vertical="center"/>
    </xf>
    <xf numFmtId="167" fontId="13" fillId="0" borderId="8" xfId="3" applyNumberFormat="1" applyFill="1" applyBorder="1" applyAlignment="1">
      <alignment vertical="center"/>
    </xf>
    <xf numFmtId="43" fontId="5" fillId="0" borderId="8" xfId="1" applyNumberFormat="1" applyFont="1" applyBorder="1" applyAlignment="1">
      <alignment vertical="center"/>
    </xf>
    <xf numFmtId="167" fontId="19" fillId="0" borderId="8" xfId="3" applyNumberFormat="1" applyFont="1" applyFill="1" applyBorder="1" applyAlignment="1">
      <alignment vertical="center"/>
    </xf>
    <xf numFmtId="4" fontId="5" fillId="0" borderId="2" xfId="3" applyNumberFormat="1" applyFont="1" applyFill="1" applyBorder="1" applyAlignment="1">
      <alignment vertical="center"/>
    </xf>
    <xf numFmtId="167" fontId="13" fillId="0" borderId="2" xfId="3" applyNumberFormat="1" applyFont="1" applyFill="1" applyBorder="1" applyAlignment="1">
      <alignment vertical="center"/>
    </xf>
    <xf numFmtId="167" fontId="19" fillId="0" borderId="2" xfId="3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quotePrefix="1" applyFont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quotePrefix="1" applyFont="1" applyAlignment="1">
      <alignment vertical="center"/>
    </xf>
    <xf numFmtId="4" fontId="22" fillId="0" borderId="0" xfId="0" applyNumberFormat="1" applyFont="1" applyAlignment="1">
      <alignment vertical="center"/>
    </xf>
    <xf numFmtId="43" fontId="0" fillId="0" borderId="0" xfId="0" applyNumberFormat="1"/>
    <xf numFmtId="164" fontId="10" fillId="8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43" fontId="8" fillId="8" borderId="2" xfId="1" applyFont="1" applyFill="1" applyBorder="1" applyAlignment="1">
      <alignment horizontal="right" vertical="center"/>
    </xf>
    <xf numFmtId="0" fontId="0" fillId="8" borderId="0" xfId="0" applyFill="1"/>
    <xf numFmtId="0" fontId="6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43" fontId="6" fillId="8" borderId="2" xfId="1" applyFont="1" applyFill="1" applyBorder="1"/>
    <xf numFmtId="13" fontId="5" fillId="0" borderId="2" xfId="1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7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~9885111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</xdr:row>
      <xdr:rowOff>123825</xdr:rowOff>
    </xdr:from>
    <xdr:to>
      <xdr:col>5</xdr:col>
      <xdr:colOff>504825</xdr:colOff>
      <xdr:row>3</xdr:row>
      <xdr:rowOff>76200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5" y="285750"/>
          <a:ext cx="13906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</xdr:row>
      <xdr:rowOff>104775</xdr:rowOff>
    </xdr:from>
    <xdr:to>
      <xdr:col>1</xdr:col>
      <xdr:colOff>762000</xdr:colOff>
      <xdr:row>4</xdr:row>
      <xdr:rowOff>57150</xdr:rowOff>
    </xdr:to>
    <xdr:pic>
      <xdr:nvPicPr>
        <xdr:cNvPr id="3" name="4 Imagen" descr="logojalisc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266700"/>
          <a:ext cx="18192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</xdr:row>
      <xdr:rowOff>123825</xdr:rowOff>
    </xdr:from>
    <xdr:to>
      <xdr:col>5</xdr:col>
      <xdr:colOff>504825</xdr:colOff>
      <xdr:row>3</xdr:row>
      <xdr:rowOff>76200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5" y="285750"/>
          <a:ext cx="13906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</xdr:row>
      <xdr:rowOff>104775</xdr:rowOff>
    </xdr:from>
    <xdr:to>
      <xdr:col>1</xdr:col>
      <xdr:colOff>762000</xdr:colOff>
      <xdr:row>4</xdr:row>
      <xdr:rowOff>57150</xdr:rowOff>
    </xdr:to>
    <xdr:pic>
      <xdr:nvPicPr>
        <xdr:cNvPr id="3" name="4 Imagen" descr="logojalisc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266700"/>
          <a:ext cx="18192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819150</xdr:colOff>
      <xdr:row>1</xdr:row>
      <xdr:rowOff>257175</xdr:rowOff>
    </xdr:from>
    <xdr:to>
      <xdr:col>14</xdr:col>
      <xdr:colOff>1295400</xdr:colOff>
      <xdr:row>2</xdr:row>
      <xdr:rowOff>285750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00" y="552450"/>
          <a:ext cx="4762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438150</xdr:colOff>
      <xdr:row>9</xdr:row>
      <xdr:rowOff>0</xdr:rowOff>
    </xdr:from>
    <xdr:to>
      <xdr:col>21</xdr:col>
      <xdr:colOff>304800</xdr:colOff>
      <xdr:row>11</xdr:row>
      <xdr:rowOff>9525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21200" y="1800225"/>
          <a:ext cx="13906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</xdr:row>
      <xdr:rowOff>104775</xdr:rowOff>
    </xdr:from>
    <xdr:to>
      <xdr:col>1</xdr:col>
      <xdr:colOff>762000</xdr:colOff>
      <xdr:row>4</xdr:row>
      <xdr:rowOff>57150</xdr:rowOff>
    </xdr:to>
    <xdr:pic>
      <xdr:nvPicPr>
        <xdr:cNvPr id="3" name="4 Imagen" descr="logojalisc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266700"/>
          <a:ext cx="18192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104775</xdr:colOff>
      <xdr:row>6</xdr:row>
      <xdr:rowOff>9525</xdr:rowOff>
    </xdr:to>
    <xdr:pic>
      <xdr:nvPicPr>
        <xdr:cNvPr id="4" name="3 Imagen" descr="logoforo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76825" y="542925"/>
          <a:ext cx="885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CONTABILIDAD/CONTABILIDAD%20CAMEJAL/EJERCICIO%202018/POA/para%20elab%20poa%202018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alendarización proGRAMA 1"/>
      <sheetName val="calen proGRAMA 1 12 iguales cr"/>
      <sheetName val="calen proGRAMA 1 12 ig pc"/>
      <sheetName val="Si fueran 10469552"/>
      <sheetName val="proyecto 4 millones"/>
      <sheetName val="PROYECTO calendariz"/>
      <sheetName val="Plantilla proceso 17"/>
      <sheetName val="Plantilla proyecto"/>
      <sheetName val="Hoja2"/>
      <sheetName val="Hoja3"/>
    </sheetNames>
    <sheetDataSet>
      <sheetData sheetId="0">
        <row r="83">
          <cell r="H83">
            <v>3216</v>
          </cell>
        </row>
        <row r="152">
          <cell r="C152">
            <v>113376.66666666667</v>
          </cell>
          <cell r="D152">
            <v>11337.666666666666</v>
          </cell>
        </row>
        <row r="153">
          <cell r="C153">
            <v>106997.83333333333</v>
          </cell>
          <cell r="D153">
            <v>10699.783333333333</v>
          </cell>
        </row>
        <row r="158">
          <cell r="C158">
            <v>46330</v>
          </cell>
          <cell r="D158">
            <v>4633</v>
          </cell>
          <cell r="I158">
            <v>13899</v>
          </cell>
        </row>
        <row r="159">
          <cell r="C159">
            <v>56354.333333333336</v>
          </cell>
          <cell r="D159">
            <v>5635.4333333333325</v>
          </cell>
          <cell r="I159">
            <v>16906.3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workbookViewId="0">
      <selection activeCell="E76" sqref="E76"/>
    </sheetView>
  </sheetViews>
  <sheetFormatPr baseColWidth="10" defaultRowHeight="15"/>
  <cols>
    <col min="1" max="1" width="9.7109375" style="1" customWidth="1"/>
    <col min="2" max="2" width="38" customWidth="1"/>
    <col min="3" max="3" width="15.5703125" customWidth="1"/>
    <col min="4" max="4" width="12.85546875" bestFit="1" customWidth="1"/>
    <col min="5" max="11" width="11.5703125" bestFit="1" customWidth="1"/>
    <col min="12" max="12" width="11.7109375" bestFit="1" customWidth="1"/>
    <col min="13" max="14" width="11.5703125" bestFit="1" customWidth="1"/>
    <col min="15" max="15" width="14" customWidth="1"/>
    <col min="257" max="257" width="9.7109375" customWidth="1"/>
    <col min="258" max="258" width="38" customWidth="1"/>
    <col min="259" max="259" width="15.5703125" customWidth="1"/>
    <col min="260" max="260" width="12.85546875" bestFit="1" customWidth="1"/>
    <col min="261" max="267" width="11.5703125" bestFit="1" customWidth="1"/>
    <col min="268" max="268" width="11.7109375" bestFit="1" customWidth="1"/>
    <col min="269" max="270" width="11.5703125" bestFit="1" customWidth="1"/>
    <col min="271" max="271" width="14" customWidth="1"/>
    <col min="513" max="513" width="9.7109375" customWidth="1"/>
    <col min="514" max="514" width="38" customWidth="1"/>
    <col min="515" max="515" width="15.5703125" customWidth="1"/>
    <col min="516" max="516" width="12.85546875" bestFit="1" customWidth="1"/>
    <col min="517" max="523" width="11.5703125" bestFit="1" customWidth="1"/>
    <col min="524" max="524" width="11.7109375" bestFit="1" customWidth="1"/>
    <col min="525" max="526" width="11.5703125" bestFit="1" customWidth="1"/>
    <col min="527" max="527" width="14" customWidth="1"/>
    <col min="769" max="769" width="9.7109375" customWidth="1"/>
    <col min="770" max="770" width="38" customWidth="1"/>
    <col min="771" max="771" width="15.5703125" customWidth="1"/>
    <col min="772" max="772" width="12.85546875" bestFit="1" customWidth="1"/>
    <col min="773" max="779" width="11.5703125" bestFit="1" customWidth="1"/>
    <col min="780" max="780" width="11.7109375" bestFit="1" customWidth="1"/>
    <col min="781" max="782" width="11.5703125" bestFit="1" customWidth="1"/>
    <col min="783" max="783" width="14" customWidth="1"/>
    <col min="1025" max="1025" width="9.7109375" customWidth="1"/>
    <col min="1026" max="1026" width="38" customWidth="1"/>
    <col min="1027" max="1027" width="15.5703125" customWidth="1"/>
    <col min="1028" max="1028" width="12.85546875" bestFit="1" customWidth="1"/>
    <col min="1029" max="1035" width="11.5703125" bestFit="1" customWidth="1"/>
    <col min="1036" max="1036" width="11.7109375" bestFit="1" customWidth="1"/>
    <col min="1037" max="1038" width="11.5703125" bestFit="1" customWidth="1"/>
    <col min="1039" max="1039" width="14" customWidth="1"/>
    <col min="1281" max="1281" width="9.7109375" customWidth="1"/>
    <col min="1282" max="1282" width="38" customWidth="1"/>
    <col min="1283" max="1283" width="15.5703125" customWidth="1"/>
    <col min="1284" max="1284" width="12.85546875" bestFit="1" customWidth="1"/>
    <col min="1285" max="1291" width="11.5703125" bestFit="1" customWidth="1"/>
    <col min="1292" max="1292" width="11.7109375" bestFit="1" customWidth="1"/>
    <col min="1293" max="1294" width="11.5703125" bestFit="1" customWidth="1"/>
    <col min="1295" max="1295" width="14" customWidth="1"/>
    <col min="1537" max="1537" width="9.7109375" customWidth="1"/>
    <col min="1538" max="1538" width="38" customWidth="1"/>
    <col min="1539" max="1539" width="15.5703125" customWidth="1"/>
    <col min="1540" max="1540" width="12.85546875" bestFit="1" customWidth="1"/>
    <col min="1541" max="1547" width="11.5703125" bestFit="1" customWidth="1"/>
    <col min="1548" max="1548" width="11.7109375" bestFit="1" customWidth="1"/>
    <col min="1549" max="1550" width="11.5703125" bestFit="1" customWidth="1"/>
    <col min="1551" max="1551" width="14" customWidth="1"/>
    <col min="1793" max="1793" width="9.7109375" customWidth="1"/>
    <col min="1794" max="1794" width="38" customWidth="1"/>
    <col min="1795" max="1795" width="15.5703125" customWidth="1"/>
    <col min="1796" max="1796" width="12.85546875" bestFit="1" customWidth="1"/>
    <col min="1797" max="1803" width="11.5703125" bestFit="1" customWidth="1"/>
    <col min="1804" max="1804" width="11.7109375" bestFit="1" customWidth="1"/>
    <col min="1805" max="1806" width="11.5703125" bestFit="1" customWidth="1"/>
    <col min="1807" max="1807" width="14" customWidth="1"/>
    <col min="2049" max="2049" width="9.7109375" customWidth="1"/>
    <col min="2050" max="2050" width="38" customWidth="1"/>
    <col min="2051" max="2051" width="15.5703125" customWidth="1"/>
    <col min="2052" max="2052" width="12.85546875" bestFit="1" customWidth="1"/>
    <col min="2053" max="2059" width="11.5703125" bestFit="1" customWidth="1"/>
    <col min="2060" max="2060" width="11.7109375" bestFit="1" customWidth="1"/>
    <col min="2061" max="2062" width="11.5703125" bestFit="1" customWidth="1"/>
    <col min="2063" max="2063" width="14" customWidth="1"/>
    <col min="2305" max="2305" width="9.7109375" customWidth="1"/>
    <col min="2306" max="2306" width="38" customWidth="1"/>
    <col min="2307" max="2307" width="15.5703125" customWidth="1"/>
    <col min="2308" max="2308" width="12.85546875" bestFit="1" customWidth="1"/>
    <col min="2309" max="2315" width="11.5703125" bestFit="1" customWidth="1"/>
    <col min="2316" max="2316" width="11.7109375" bestFit="1" customWidth="1"/>
    <col min="2317" max="2318" width="11.5703125" bestFit="1" customWidth="1"/>
    <col min="2319" max="2319" width="14" customWidth="1"/>
    <col min="2561" max="2561" width="9.7109375" customWidth="1"/>
    <col min="2562" max="2562" width="38" customWidth="1"/>
    <col min="2563" max="2563" width="15.5703125" customWidth="1"/>
    <col min="2564" max="2564" width="12.85546875" bestFit="1" customWidth="1"/>
    <col min="2565" max="2571" width="11.5703125" bestFit="1" customWidth="1"/>
    <col min="2572" max="2572" width="11.7109375" bestFit="1" customWidth="1"/>
    <col min="2573" max="2574" width="11.5703125" bestFit="1" customWidth="1"/>
    <col min="2575" max="2575" width="14" customWidth="1"/>
    <col min="2817" max="2817" width="9.7109375" customWidth="1"/>
    <col min="2818" max="2818" width="38" customWidth="1"/>
    <col min="2819" max="2819" width="15.5703125" customWidth="1"/>
    <col min="2820" max="2820" width="12.85546875" bestFit="1" customWidth="1"/>
    <col min="2821" max="2827" width="11.5703125" bestFit="1" customWidth="1"/>
    <col min="2828" max="2828" width="11.7109375" bestFit="1" customWidth="1"/>
    <col min="2829" max="2830" width="11.5703125" bestFit="1" customWidth="1"/>
    <col min="2831" max="2831" width="14" customWidth="1"/>
    <col min="3073" max="3073" width="9.7109375" customWidth="1"/>
    <col min="3074" max="3074" width="38" customWidth="1"/>
    <col min="3075" max="3075" width="15.5703125" customWidth="1"/>
    <col min="3076" max="3076" width="12.85546875" bestFit="1" customWidth="1"/>
    <col min="3077" max="3083" width="11.5703125" bestFit="1" customWidth="1"/>
    <col min="3084" max="3084" width="11.7109375" bestFit="1" customWidth="1"/>
    <col min="3085" max="3086" width="11.5703125" bestFit="1" customWidth="1"/>
    <col min="3087" max="3087" width="14" customWidth="1"/>
    <col min="3329" max="3329" width="9.7109375" customWidth="1"/>
    <col min="3330" max="3330" width="38" customWidth="1"/>
    <col min="3331" max="3331" width="15.5703125" customWidth="1"/>
    <col min="3332" max="3332" width="12.85546875" bestFit="1" customWidth="1"/>
    <col min="3333" max="3339" width="11.5703125" bestFit="1" customWidth="1"/>
    <col min="3340" max="3340" width="11.7109375" bestFit="1" customWidth="1"/>
    <col min="3341" max="3342" width="11.5703125" bestFit="1" customWidth="1"/>
    <col min="3343" max="3343" width="14" customWidth="1"/>
    <col min="3585" max="3585" width="9.7109375" customWidth="1"/>
    <col min="3586" max="3586" width="38" customWidth="1"/>
    <col min="3587" max="3587" width="15.5703125" customWidth="1"/>
    <col min="3588" max="3588" width="12.85546875" bestFit="1" customWidth="1"/>
    <col min="3589" max="3595" width="11.5703125" bestFit="1" customWidth="1"/>
    <col min="3596" max="3596" width="11.7109375" bestFit="1" customWidth="1"/>
    <col min="3597" max="3598" width="11.5703125" bestFit="1" customWidth="1"/>
    <col min="3599" max="3599" width="14" customWidth="1"/>
    <col min="3841" max="3841" width="9.7109375" customWidth="1"/>
    <col min="3842" max="3842" width="38" customWidth="1"/>
    <col min="3843" max="3843" width="15.5703125" customWidth="1"/>
    <col min="3844" max="3844" width="12.85546875" bestFit="1" customWidth="1"/>
    <col min="3845" max="3851" width="11.5703125" bestFit="1" customWidth="1"/>
    <col min="3852" max="3852" width="11.7109375" bestFit="1" customWidth="1"/>
    <col min="3853" max="3854" width="11.5703125" bestFit="1" customWidth="1"/>
    <col min="3855" max="3855" width="14" customWidth="1"/>
    <col min="4097" max="4097" width="9.7109375" customWidth="1"/>
    <col min="4098" max="4098" width="38" customWidth="1"/>
    <col min="4099" max="4099" width="15.5703125" customWidth="1"/>
    <col min="4100" max="4100" width="12.85546875" bestFit="1" customWidth="1"/>
    <col min="4101" max="4107" width="11.5703125" bestFit="1" customWidth="1"/>
    <col min="4108" max="4108" width="11.7109375" bestFit="1" customWidth="1"/>
    <col min="4109" max="4110" width="11.5703125" bestFit="1" customWidth="1"/>
    <col min="4111" max="4111" width="14" customWidth="1"/>
    <col min="4353" max="4353" width="9.7109375" customWidth="1"/>
    <col min="4354" max="4354" width="38" customWidth="1"/>
    <col min="4355" max="4355" width="15.5703125" customWidth="1"/>
    <col min="4356" max="4356" width="12.85546875" bestFit="1" customWidth="1"/>
    <col min="4357" max="4363" width="11.5703125" bestFit="1" customWidth="1"/>
    <col min="4364" max="4364" width="11.7109375" bestFit="1" customWidth="1"/>
    <col min="4365" max="4366" width="11.5703125" bestFit="1" customWidth="1"/>
    <col min="4367" max="4367" width="14" customWidth="1"/>
    <col min="4609" max="4609" width="9.7109375" customWidth="1"/>
    <col min="4610" max="4610" width="38" customWidth="1"/>
    <col min="4611" max="4611" width="15.5703125" customWidth="1"/>
    <col min="4612" max="4612" width="12.85546875" bestFit="1" customWidth="1"/>
    <col min="4613" max="4619" width="11.5703125" bestFit="1" customWidth="1"/>
    <col min="4620" max="4620" width="11.7109375" bestFit="1" customWidth="1"/>
    <col min="4621" max="4622" width="11.5703125" bestFit="1" customWidth="1"/>
    <col min="4623" max="4623" width="14" customWidth="1"/>
    <col min="4865" max="4865" width="9.7109375" customWidth="1"/>
    <col min="4866" max="4866" width="38" customWidth="1"/>
    <col min="4867" max="4867" width="15.5703125" customWidth="1"/>
    <col min="4868" max="4868" width="12.85546875" bestFit="1" customWidth="1"/>
    <col min="4869" max="4875" width="11.5703125" bestFit="1" customWidth="1"/>
    <col min="4876" max="4876" width="11.7109375" bestFit="1" customWidth="1"/>
    <col min="4877" max="4878" width="11.5703125" bestFit="1" customWidth="1"/>
    <col min="4879" max="4879" width="14" customWidth="1"/>
    <col min="5121" max="5121" width="9.7109375" customWidth="1"/>
    <col min="5122" max="5122" width="38" customWidth="1"/>
    <col min="5123" max="5123" width="15.5703125" customWidth="1"/>
    <col min="5124" max="5124" width="12.85546875" bestFit="1" customWidth="1"/>
    <col min="5125" max="5131" width="11.5703125" bestFit="1" customWidth="1"/>
    <col min="5132" max="5132" width="11.7109375" bestFit="1" customWidth="1"/>
    <col min="5133" max="5134" width="11.5703125" bestFit="1" customWidth="1"/>
    <col min="5135" max="5135" width="14" customWidth="1"/>
    <col min="5377" max="5377" width="9.7109375" customWidth="1"/>
    <col min="5378" max="5378" width="38" customWidth="1"/>
    <col min="5379" max="5379" width="15.5703125" customWidth="1"/>
    <col min="5380" max="5380" width="12.85546875" bestFit="1" customWidth="1"/>
    <col min="5381" max="5387" width="11.5703125" bestFit="1" customWidth="1"/>
    <col min="5388" max="5388" width="11.7109375" bestFit="1" customWidth="1"/>
    <col min="5389" max="5390" width="11.5703125" bestFit="1" customWidth="1"/>
    <col min="5391" max="5391" width="14" customWidth="1"/>
    <col min="5633" max="5633" width="9.7109375" customWidth="1"/>
    <col min="5634" max="5634" width="38" customWidth="1"/>
    <col min="5635" max="5635" width="15.5703125" customWidth="1"/>
    <col min="5636" max="5636" width="12.85546875" bestFit="1" customWidth="1"/>
    <col min="5637" max="5643" width="11.5703125" bestFit="1" customWidth="1"/>
    <col min="5644" max="5644" width="11.7109375" bestFit="1" customWidth="1"/>
    <col min="5645" max="5646" width="11.5703125" bestFit="1" customWidth="1"/>
    <col min="5647" max="5647" width="14" customWidth="1"/>
    <col min="5889" max="5889" width="9.7109375" customWidth="1"/>
    <col min="5890" max="5890" width="38" customWidth="1"/>
    <col min="5891" max="5891" width="15.5703125" customWidth="1"/>
    <col min="5892" max="5892" width="12.85546875" bestFit="1" customWidth="1"/>
    <col min="5893" max="5899" width="11.5703125" bestFit="1" customWidth="1"/>
    <col min="5900" max="5900" width="11.7109375" bestFit="1" customWidth="1"/>
    <col min="5901" max="5902" width="11.5703125" bestFit="1" customWidth="1"/>
    <col min="5903" max="5903" width="14" customWidth="1"/>
    <col min="6145" max="6145" width="9.7109375" customWidth="1"/>
    <col min="6146" max="6146" width="38" customWidth="1"/>
    <col min="6147" max="6147" width="15.5703125" customWidth="1"/>
    <col min="6148" max="6148" width="12.85546875" bestFit="1" customWidth="1"/>
    <col min="6149" max="6155" width="11.5703125" bestFit="1" customWidth="1"/>
    <col min="6156" max="6156" width="11.7109375" bestFit="1" customWidth="1"/>
    <col min="6157" max="6158" width="11.5703125" bestFit="1" customWidth="1"/>
    <col min="6159" max="6159" width="14" customWidth="1"/>
    <col min="6401" max="6401" width="9.7109375" customWidth="1"/>
    <col min="6402" max="6402" width="38" customWidth="1"/>
    <col min="6403" max="6403" width="15.5703125" customWidth="1"/>
    <col min="6404" max="6404" width="12.85546875" bestFit="1" customWidth="1"/>
    <col min="6405" max="6411" width="11.5703125" bestFit="1" customWidth="1"/>
    <col min="6412" max="6412" width="11.7109375" bestFit="1" customWidth="1"/>
    <col min="6413" max="6414" width="11.5703125" bestFit="1" customWidth="1"/>
    <col min="6415" max="6415" width="14" customWidth="1"/>
    <col min="6657" max="6657" width="9.7109375" customWidth="1"/>
    <col min="6658" max="6658" width="38" customWidth="1"/>
    <col min="6659" max="6659" width="15.5703125" customWidth="1"/>
    <col min="6660" max="6660" width="12.85546875" bestFit="1" customWidth="1"/>
    <col min="6661" max="6667" width="11.5703125" bestFit="1" customWidth="1"/>
    <col min="6668" max="6668" width="11.7109375" bestFit="1" customWidth="1"/>
    <col min="6669" max="6670" width="11.5703125" bestFit="1" customWidth="1"/>
    <col min="6671" max="6671" width="14" customWidth="1"/>
    <col min="6913" max="6913" width="9.7109375" customWidth="1"/>
    <col min="6914" max="6914" width="38" customWidth="1"/>
    <col min="6915" max="6915" width="15.5703125" customWidth="1"/>
    <col min="6916" max="6916" width="12.85546875" bestFit="1" customWidth="1"/>
    <col min="6917" max="6923" width="11.5703125" bestFit="1" customWidth="1"/>
    <col min="6924" max="6924" width="11.7109375" bestFit="1" customWidth="1"/>
    <col min="6925" max="6926" width="11.5703125" bestFit="1" customWidth="1"/>
    <col min="6927" max="6927" width="14" customWidth="1"/>
    <col min="7169" max="7169" width="9.7109375" customWidth="1"/>
    <col min="7170" max="7170" width="38" customWidth="1"/>
    <col min="7171" max="7171" width="15.5703125" customWidth="1"/>
    <col min="7172" max="7172" width="12.85546875" bestFit="1" customWidth="1"/>
    <col min="7173" max="7179" width="11.5703125" bestFit="1" customWidth="1"/>
    <col min="7180" max="7180" width="11.7109375" bestFit="1" customWidth="1"/>
    <col min="7181" max="7182" width="11.5703125" bestFit="1" customWidth="1"/>
    <col min="7183" max="7183" width="14" customWidth="1"/>
    <col min="7425" max="7425" width="9.7109375" customWidth="1"/>
    <col min="7426" max="7426" width="38" customWidth="1"/>
    <col min="7427" max="7427" width="15.5703125" customWidth="1"/>
    <col min="7428" max="7428" width="12.85546875" bestFit="1" customWidth="1"/>
    <col min="7429" max="7435" width="11.5703125" bestFit="1" customWidth="1"/>
    <col min="7436" max="7436" width="11.7109375" bestFit="1" customWidth="1"/>
    <col min="7437" max="7438" width="11.5703125" bestFit="1" customWidth="1"/>
    <col min="7439" max="7439" width="14" customWidth="1"/>
    <col min="7681" max="7681" width="9.7109375" customWidth="1"/>
    <col min="7682" max="7682" width="38" customWidth="1"/>
    <col min="7683" max="7683" width="15.5703125" customWidth="1"/>
    <col min="7684" max="7684" width="12.85546875" bestFit="1" customWidth="1"/>
    <col min="7685" max="7691" width="11.5703125" bestFit="1" customWidth="1"/>
    <col min="7692" max="7692" width="11.7109375" bestFit="1" customWidth="1"/>
    <col min="7693" max="7694" width="11.5703125" bestFit="1" customWidth="1"/>
    <col min="7695" max="7695" width="14" customWidth="1"/>
    <col min="7937" max="7937" width="9.7109375" customWidth="1"/>
    <col min="7938" max="7938" width="38" customWidth="1"/>
    <col min="7939" max="7939" width="15.5703125" customWidth="1"/>
    <col min="7940" max="7940" width="12.85546875" bestFit="1" customWidth="1"/>
    <col min="7941" max="7947" width="11.5703125" bestFit="1" customWidth="1"/>
    <col min="7948" max="7948" width="11.7109375" bestFit="1" customWidth="1"/>
    <col min="7949" max="7950" width="11.5703125" bestFit="1" customWidth="1"/>
    <col min="7951" max="7951" width="14" customWidth="1"/>
    <col min="8193" max="8193" width="9.7109375" customWidth="1"/>
    <col min="8194" max="8194" width="38" customWidth="1"/>
    <col min="8195" max="8195" width="15.5703125" customWidth="1"/>
    <col min="8196" max="8196" width="12.85546875" bestFit="1" customWidth="1"/>
    <col min="8197" max="8203" width="11.5703125" bestFit="1" customWidth="1"/>
    <col min="8204" max="8204" width="11.7109375" bestFit="1" customWidth="1"/>
    <col min="8205" max="8206" width="11.5703125" bestFit="1" customWidth="1"/>
    <col min="8207" max="8207" width="14" customWidth="1"/>
    <col min="8449" max="8449" width="9.7109375" customWidth="1"/>
    <col min="8450" max="8450" width="38" customWidth="1"/>
    <col min="8451" max="8451" width="15.5703125" customWidth="1"/>
    <col min="8452" max="8452" width="12.85546875" bestFit="1" customWidth="1"/>
    <col min="8453" max="8459" width="11.5703125" bestFit="1" customWidth="1"/>
    <col min="8460" max="8460" width="11.7109375" bestFit="1" customWidth="1"/>
    <col min="8461" max="8462" width="11.5703125" bestFit="1" customWidth="1"/>
    <col min="8463" max="8463" width="14" customWidth="1"/>
    <col min="8705" max="8705" width="9.7109375" customWidth="1"/>
    <col min="8706" max="8706" width="38" customWidth="1"/>
    <col min="8707" max="8707" width="15.5703125" customWidth="1"/>
    <col min="8708" max="8708" width="12.85546875" bestFit="1" customWidth="1"/>
    <col min="8709" max="8715" width="11.5703125" bestFit="1" customWidth="1"/>
    <col min="8716" max="8716" width="11.7109375" bestFit="1" customWidth="1"/>
    <col min="8717" max="8718" width="11.5703125" bestFit="1" customWidth="1"/>
    <col min="8719" max="8719" width="14" customWidth="1"/>
    <col min="8961" max="8961" width="9.7109375" customWidth="1"/>
    <col min="8962" max="8962" width="38" customWidth="1"/>
    <col min="8963" max="8963" width="15.5703125" customWidth="1"/>
    <col min="8964" max="8964" width="12.85546875" bestFit="1" customWidth="1"/>
    <col min="8965" max="8971" width="11.5703125" bestFit="1" customWidth="1"/>
    <col min="8972" max="8972" width="11.7109375" bestFit="1" customWidth="1"/>
    <col min="8973" max="8974" width="11.5703125" bestFit="1" customWidth="1"/>
    <col min="8975" max="8975" width="14" customWidth="1"/>
    <col min="9217" max="9217" width="9.7109375" customWidth="1"/>
    <col min="9218" max="9218" width="38" customWidth="1"/>
    <col min="9219" max="9219" width="15.5703125" customWidth="1"/>
    <col min="9220" max="9220" width="12.85546875" bestFit="1" customWidth="1"/>
    <col min="9221" max="9227" width="11.5703125" bestFit="1" customWidth="1"/>
    <col min="9228" max="9228" width="11.7109375" bestFit="1" customWidth="1"/>
    <col min="9229" max="9230" width="11.5703125" bestFit="1" customWidth="1"/>
    <col min="9231" max="9231" width="14" customWidth="1"/>
    <col min="9473" max="9473" width="9.7109375" customWidth="1"/>
    <col min="9474" max="9474" width="38" customWidth="1"/>
    <col min="9475" max="9475" width="15.5703125" customWidth="1"/>
    <col min="9476" max="9476" width="12.85546875" bestFit="1" customWidth="1"/>
    <col min="9477" max="9483" width="11.5703125" bestFit="1" customWidth="1"/>
    <col min="9484" max="9484" width="11.7109375" bestFit="1" customWidth="1"/>
    <col min="9485" max="9486" width="11.5703125" bestFit="1" customWidth="1"/>
    <col min="9487" max="9487" width="14" customWidth="1"/>
    <col min="9729" max="9729" width="9.7109375" customWidth="1"/>
    <col min="9730" max="9730" width="38" customWidth="1"/>
    <col min="9731" max="9731" width="15.5703125" customWidth="1"/>
    <col min="9732" max="9732" width="12.85546875" bestFit="1" customWidth="1"/>
    <col min="9733" max="9739" width="11.5703125" bestFit="1" customWidth="1"/>
    <col min="9740" max="9740" width="11.7109375" bestFit="1" customWidth="1"/>
    <col min="9741" max="9742" width="11.5703125" bestFit="1" customWidth="1"/>
    <col min="9743" max="9743" width="14" customWidth="1"/>
    <col min="9985" max="9985" width="9.7109375" customWidth="1"/>
    <col min="9986" max="9986" width="38" customWidth="1"/>
    <col min="9987" max="9987" width="15.5703125" customWidth="1"/>
    <col min="9988" max="9988" width="12.85546875" bestFit="1" customWidth="1"/>
    <col min="9989" max="9995" width="11.5703125" bestFit="1" customWidth="1"/>
    <col min="9996" max="9996" width="11.7109375" bestFit="1" customWidth="1"/>
    <col min="9997" max="9998" width="11.5703125" bestFit="1" customWidth="1"/>
    <col min="9999" max="9999" width="14" customWidth="1"/>
    <col min="10241" max="10241" width="9.7109375" customWidth="1"/>
    <col min="10242" max="10242" width="38" customWidth="1"/>
    <col min="10243" max="10243" width="15.5703125" customWidth="1"/>
    <col min="10244" max="10244" width="12.85546875" bestFit="1" customWidth="1"/>
    <col min="10245" max="10251" width="11.5703125" bestFit="1" customWidth="1"/>
    <col min="10252" max="10252" width="11.7109375" bestFit="1" customWidth="1"/>
    <col min="10253" max="10254" width="11.5703125" bestFit="1" customWidth="1"/>
    <col min="10255" max="10255" width="14" customWidth="1"/>
    <col min="10497" max="10497" width="9.7109375" customWidth="1"/>
    <col min="10498" max="10498" width="38" customWidth="1"/>
    <col min="10499" max="10499" width="15.5703125" customWidth="1"/>
    <col min="10500" max="10500" width="12.85546875" bestFit="1" customWidth="1"/>
    <col min="10501" max="10507" width="11.5703125" bestFit="1" customWidth="1"/>
    <col min="10508" max="10508" width="11.7109375" bestFit="1" customWidth="1"/>
    <col min="10509" max="10510" width="11.5703125" bestFit="1" customWidth="1"/>
    <col min="10511" max="10511" width="14" customWidth="1"/>
    <col min="10753" max="10753" width="9.7109375" customWidth="1"/>
    <col min="10754" max="10754" width="38" customWidth="1"/>
    <col min="10755" max="10755" width="15.5703125" customWidth="1"/>
    <col min="10756" max="10756" width="12.85546875" bestFit="1" customWidth="1"/>
    <col min="10757" max="10763" width="11.5703125" bestFit="1" customWidth="1"/>
    <col min="10764" max="10764" width="11.7109375" bestFit="1" customWidth="1"/>
    <col min="10765" max="10766" width="11.5703125" bestFit="1" customWidth="1"/>
    <col min="10767" max="10767" width="14" customWidth="1"/>
    <col min="11009" max="11009" width="9.7109375" customWidth="1"/>
    <col min="11010" max="11010" width="38" customWidth="1"/>
    <col min="11011" max="11011" width="15.5703125" customWidth="1"/>
    <col min="11012" max="11012" width="12.85546875" bestFit="1" customWidth="1"/>
    <col min="11013" max="11019" width="11.5703125" bestFit="1" customWidth="1"/>
    <col min="11020" max="11020" width="11.7109375" bestFit="1" customWidth="1"/>
    <col min="11021" max="11022" width="11.5703125" bestFit="1" customWidth="1"/>
    <col min="11023" max="11023" width="14" customWidth="1"/>
    <col min="11265" max="11265" width="9.7109375" customWidth="1"/>
    <col min="11266" max="11266" width="38" customWidth="1"/>
    <col min="11267" max="11267" width="15.5703125" customWidth="1"/>
    <col min="11268" max="11268" width="12.85546875" bestFit="1" customWidth="1"/>
    <col min="11269" max="11275" width="11.5703125" bestFit="1" customWidth="1"/>
    <col min="11276" max="11276" width="11.7109375" bestFit="1" customWidth="1"/>
    <col min="11277" max="11278" width="11.5703125" bestFit="1" customWidth="1"/>
    <col min="11279" max="11279" width="14" customWidth="1"/>
    <col min="11521" max="11521" width="9.7109375" customWidth="1"/>
    <col min="11522" max="11522" width="38" customWidth="1"/>
    <col min="11523" max="11523" width="15.5703125" customWidth="1"/>
    <col min="11524" max="11524" width="12.85546875" bestFit="1" customWidth="1"/>
    <col min="11525" max="11531" width="11.5703125" bestFit="1" customWidth="1"/>
    <col min="11532" max="11532" width="11.7109375" bestFit="1" customWidth="1"/>
    <col min="11533" max="11534" width="11.5703125" bestFit="1" customWidth="1"/>
    <col min="11535" max="11535" width="14" customWidth="1"/>
    <col min="11777" max="11777" width="9.7109375" customWidth="1"/>
    <col min="11778" max="11778" width="38" customWidth="1"/>
    <col min="11779" max="11779" width="15.5703125" customWidth="1"/>
    <col min="11780" max="11780" width="12.85546875" bestFit="1" customWidth="1"/>
    <col min="11781" max="11787" width="11.5703125" bestFit="1" customWidth="1"/>
    <col min="11788" max="11788" width="11.7109375" bestFit="1" customWidth="1"/>
    <col min="11789" max="11790" width="11.5703125" bestFit="1" customWidth="1"/>
    <col min="11791" max="11791" width="14" customWidth="1"/>
    <col min="12033" max="12033" width="9.7109375" customWidth="1"/>
    <col min="12034" max="12034" width="38" customWidth="1"/>
    <col min="12035" max="12035" width="15.5703125" customWidth="1"/>
    <col min="12036" max="12036" width="12.85546875" bestFit="1" customWidth="1"/>
    <col min="12037" max="12043" width="11.5703125" bestFit="1" customWidth="1"/>
    <col min="12044" max="12044" width="11.7109375" bestFit="1" customWidth="1"/>
    <col min="12045" max="12046" width="11.5703125" bestFit="1" customWidth="1"/>
    <col min="12047" max="12047" width="14" customWidth="1"/>
    <col min="12289" max="12289" width="9.7109375" customWidth="1"/>
    <col min="12290" max="12290" width="38" customWidth="1"/>
    <col min="12291" max="12291" width="15.5703125" customWidth="1"/>
    <col min="12292" max="12292" width="12.85546875" bestFit="1" customWidth="1"/>
    <col min="12293" max="12299" width="11.5703125" bestFit="1" customWidth="1"/>
    <col min="12300" max="12300" width="11.7109375" bestFit="1" customWidth="1"/>
    <col min="12301" max="12302" width="11.5703125" bestFit="1" customWidth="1"/>
    <col min="12303" max="12303" width="14" customWidth="1"/>
    <col min="12545" max="12545" width="9.7109375" customWidth="1"/>
    <col min="12546" max="12546" width="38" customWidth="1"/>
    <col min="12547" max="12547" width="15.5703125" customWidth="1"/>
    <col min="12548" max="12548" width="12.85546875" bestFit="1" customWidth="1"/>
    <col min="12549" max="12555" width="11.5703125" bestFit="1" customWidth="1"/>
    <col min="12556" max="12556" width="11.7109375" bestFit="1" customWidth="1"/>
    <col min="12557" max="12558" width="11.5703125" bestFit="1" customWidth="1"/>
    <col min="12559" max="12559" width="14" customWidth="1"/>
    <col min="12801" max="12801" width="9.7109375" customWidth="1"/>
    <col min="12802" max="12802" width="38" customWidth="1"/>
    <col min="12803" max="12803" width="15.5703125" customWidth="1"/>
    <col min="12804" max="12804" width="12.85546875" bestFit="1" customWidth="1"/>
    <col min="12805" max="12811" width="11.5703125" bestFit="1" customWidth="1"/>
    <col min="12812" max="12812" width="11.7109375" bestFit="1" customWidth="1"/>
    <col min="12813" max="12814" width="11.5703125" bestFit="1" customWidth="1"/>
    <col min="12815" max="12815" width="14" customWidth="1"/>
    <col min="13057" max="13057" width="9.7109375" customWidth="1"/>
    <col min="13058" max="13058" width="38" customWidth="1"/>
    <col min="13059" max="13059" width="15.5703125" customWidth="1"/>
    <col min="13060" max="13060" width="12.85546875" bestFit="1" customWidth="1"/>
    <col min="13061" max="13067" width="11.5703125" bestFit="1" customWidth="1"/>
    <col min="13068" max="13068" width="11.7109375" bestFit="1" customWidth="1"/>
    <col min="13069" max="13070" width="11.5703125" bestFit="1" customWidth="1"/>
    <col min="13071" max="13071" width="14" customWidth="1"/>
    <col min="13313" max="13313" width="9.7109375" customWidth="1"/>
    <col min="13314" max="13314" width="38" customWidth="1"/>
    <col min="13315" max="13315" width="15.5703125" customWidth="1"/>
    <col min="13316" max="13316" width="12.85546875" bestFit="1" customWidth="1"/>
    <col min="13317" max="13323" width="11.5703125" bestFit="1" customWidth="1"/>
    <col min="13324" max="13324" width="11.7109375" bestFit="1" customWidth="1"/>
    <col min="13325" max="13326" width="11.5703125" bestFit="1" customWidth="1"/>
    <col min="13327" max="13327" width="14" customWidth="1"/>
    <col min="13569" max="13569" width="9.7109375" customWidth="1"/>
    <col min="13570" max="13570" width="38" customWidth="1"/>
    <col min="13571" max="13571" width="15.5703125" customWidth="1"/>
    <col min="13572" max="13572" width="12.85546875" bestFit="1" customWidth="1"/>
    <col min="13573" max="13579" width="11.5703125" bestFit="1" customWidth="1"/>
    <col min="13580" max="13580" width="11.7109375" bestFit="1" customWidth="1"/>
    <col min="13581" max="13582" width="11.5703125" bestFit="1" customWidth="1"/>
    <col min="13583" max="13583" width="14" customWidth="1"/>
    <col min="13825" max="13825" width="9.7109375" customWidth="1"/>
    <col min="13826" max="13826" width="38" customWidth="1"/>
    <col min="13827" max="13827" width="15.5703125" customWidth="1"/>
    <col min="13828" max="13828" width="12.85546875" bestFit="1" customWidth="1"/>
    <col min="13829" max="13835" width="11.5703125" bestFit="1" customWidth="1"/>
    <col min="13836" max="13836" width="11.7109375" bestFit="1" customWidth="1"/>
    <col min="13837" max="13838" width="11.5703125" bestFit="1" customWidth="1"/>
    <col min="13839" max="13839" width="14" customWidth="1"/>
    <col min="14081" max="14081" width="9.7109375" customWidth="1"/>
    <col min="14082" max="14082" width="38" customWidth="1"/>
    <col min="14083" max="14083" width="15.5703125" customWidth="1"/>
    <col min="14084" max="14084" width="12.85546875" bestFit="1" customWidth="1"/>
    <col min="14085" max="14091" width="11.5703125" bestFit="1" customWidth="1"/>
    <col min="14092" max="14092" width="11.7109375" bestFit="1" customWidth="1"/>
    <col min="14093" max="14094" width="11.5703125" bestFit="1" customWidth="1"/>
    <col min="14095" max="14095" width="14" customWidth="1"/>
    <col min="14337" max="14337" width="9.7109375" customWidth="1"/>
    <col min="14338" max="14338" width="38" customWidth="1"/>
    <col min="14339" max="14339" width="15.5703125" customWidth="1"/>
    <col min="14340" max="14340" width="12.85546875" bestFit="1" customWidth="1"/>
    <col min="14341" max="14347" width="11.5703125" bestFit="1" customWidth="1"/>
    <col min="14348" max="14348" width="11.7109375" bestFit="1" customWidth="1"/>
    <col min="14349" max="14350" width="11.5703125" bestFit="1" customWidth="1"/>
    <col min="14351" max="14351" width="14" customWidth="1"/>
    <col min="14593" max="14593" width="9.7109375" customWidth="1"/>
    <col min="14594" max="14594" width="38" customWidth="1"/>
    <col min="14595" max="14595" width="15.5703125" customWidth="1"/>
    <col min="14596" max="14596" width="12.85546875" bestFit="1" customWidth="1"/>
    <col min="14597" max="14603" width="11.5703125" bestFit="1" customWidth="1"/>
    <col min="14604" max="14604" width="11.7109375" bestFit="1" customWidth="1"/>
    <col min="14605" max="14606" width="11.5703125" bestFit="1" customWidth="1"/>
    <col min="14607" max="14607" width="14" customWidth="1"/>
    <col min="14849" max="14849" width="9.7109375" customWidth="1"/>
    <col min="14850" max="14850" width="38" customWidth="1"/>
    <col min="14851" max="14851" width="15.5703125" customWidth="1"/>
    <col min="14852" max="14852" width="12.85546875" bestFit="1" customWidth="1"/>
    <col min="14853" max="14859" width="11.5703125" bestFit="1" customWidth="1"/>
    <col min="14860" max="14860" width="11.7109375" bestFit="1" customWidth="1"/>
    <col min="14861" max="14862" width="11.5703125" bestFit="1" customWidth="1"/>
    <col min="14863" max="14863" width="14" customWidth="1"/>
    <col min="15105" max="15105" width="9.7109375" customWidth="1"/>
    <col min="15106" max="15106" width="38" customWidth="1"/>
    <col min="15107" max="15107" width="15.5703125" customWidth="1"/>
    <col min="15108" max="15108" width="12.85546875" bestFit="1" customWidth="1"/>
    <col min="15109" max="15115" width="11.5703125" bestFit="1" customWidth="1"/>
    <col min="15116" max="15116" width="11.7109375" bestFit="1" customWidth="1"/>
    <col min="15117" max="15118" width="11.5703125" bestFit="1" customWidth="1"/>
    <col min="15119" max="15119" width="14" customWidth="1"/>
    <col min="15361" max="15361" width="9.7109375" customWidth="1"/>
    <col min="15362" max="15362" width="38" customWidth="1"/>
    <col min="15363" max="15363" width="15.5703125" customWidth="1"/>
    <col min="15364" max="15364" width="12.85546875" bestFit="1" customWidth="1"/>
    <col min="15365" max="15371" width="11.5703125" bestFit="1" customWidth="1"/>
    <col min="15372" max="15372" width="11.7109375" bestFit="1" customWidth="1"/>
    <col min="15373" max="15374" width="11.5703125" bestFit="1" customWidth="1"/>
    <col min="15375" max="15375" width="14" customWidth="1"/>
    <col min="15617" max="15617" width="9.7109375" customWidth="1"/>
    <col min="15618" max="15618" width="38" customWidth="1"/>
    <col min="15619" max="15619" width="15.5703125" customWidth="1"/>
    <col min="15620" max="15620" width="12.85546875" bestFit="1" customWidth="1"/>
    <col min="15621" max="15627" width="11.5703125" bestFit="1" customWidth="1"/>
    <col min="15628" max="15628" width="11.7109375" bestFit="1" customWidth="1"/>
    <col min="15629" max="15630" width="11.5703125" bestFit="1" customWidth="1"/>
    <col min="15631" max="15631" width="14" customWidth="1"/>
    <col min="15873" max="15873" width="9.7109375" customWidth="1"/>
    <col min="15874" max="15874" width="38" customWidth="1"/>
    <col min="15875" max="15875" width="15.5703125" customWidth="1"/>
    <col min="15876" max="15876" width="12.85546875" bestFit="1" customWidth="1"/>
    <col min="15877" max="15883" width="11.5703125" bestFit="1" customWidth="1"/>
    <col min="15884" max="15884" width="11.7109375" bestFit="1" customWidth="1"/>
    <col min="15885" max="15886" width="11.5703125" bestFit="1" customWidth="1"/>
    <col min="15887" max="15887" width="14" customWidth="1"/>
    <col min="16129" max="16129" width="9.7109375" customWidth="1"/>
    <col min="16130" max="16130" width="38" customWidth="1"/>
    <col min="16131" max="16131" width="15.5703125" customWidth="1"/>
    <col min="16132" max="16132" width="12.85546875" bestFit="1" customWidth="1"/>
    <col min="16133" max="16139" width="11.5703125" bestFit="1" customWidth="1"/>
    <col min="16140" max="16140" width="11.7109375" bestFit="1" customWidth="1"/>
    <col min="16141" max="16142" width="11.5703125" bestFit="1" customWidth="1"/>
    <col min="16143" max="16143" width="14" customWidth="1"/>
  </cols>
  <sheetData>
    <row r="1" spans="1:22" ht="12.75" customHeight="1"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5"/>
      <c r="P2" s="2"/>
      <c r="Q2" s="2"/>
      <c r="R2" s="2"/>
      <c r="S2" s="2"/>
      <c r="T2" s="2"/>
      <c r="U2" s="2"/>
      <c r="V2" s="2"/>
    </row>
    <row r="3" spans="1:22" ht="15.75" customHeight="1">
      <c r="A3" s="3"/>
      <c r="C3" s="3"/>
      <c r="D3" s="3"/>
      <c r="E3" s="3"/>
      <c r="F3" s="3"/>
      <c r="G3" s="3"/>
      <c r="H3" s="3"/>
      <c r="I3" s="3"/>
      <c r="J3" s="3"/>
      <c r="K3" s="6"/>
      <c r="L3" s="2"/>
      <c r="M3" s="2"/>
      <c r="N3" s="2"/>
      <c r="O3" s="7" t="s">
        <v>246</v>
      </c>
      <c r="P3" s="2"/>
      <c r="Q3" s="2"/>
      <c r="R3" s="2"/>
      <c r="S3" s="2"/>
      <c r="T3" s="2"/>
      <c r="U3" s="2"/>
      <c r="V3" s="2"/>
    </row>
    <row r="4" spans="1:22" ht="12.75" customHeight="1">
      <c r="A4"/>
      <c r="K4" s="6"/>
      <c r="L4" s="2"/>
      <c r="M4" s="2"/>
      <c r="N4" s="2"/>
      <c r="O4" s="8" t="s">
        <v>0</v>
      </c>
      <c r="P4" s="2"/>
      <c r="Q4" s="2"/>
      <c r="R4" s="2"/>
      <c r="S4" s="2"/>
      <c r="T4" s="2"/>
      <c r="U4" s="2"/>
      <c r="V4" s="2"/>
    </row>
    <row r="5" spans="1:22" ht="7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6"/>
      <c r="O5" s="6"/>
      <c r="P5" s="2"/>
      <c r="Q5" s="2"/>
      <c r="R5" s="2"/>
      <c r="S5" s="2"/>
      <c r="T5" s="2"/>
      <c r="U5" s="2"/>
      <c r="V5" s="2"/>
    </row>
    <row r="6" spans="1:22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74" t="s">
        <v>1</v>
      </c>
      <c r="L6" s="174"/>
      <c r="M6" s="174"/>
      <c r="N6" s="174"/>
      <c r="O6" s="174"/>
      <c r="P6" s="2"/>
      <c r="Q6" s="2"/>
      <c r="R6" s="2"/>
      <c r="S6" s="2"/>
      <c r="T6" s="2"/>
      <c r="U6" s="2"/>
      <c r="V6" s="2"/>
    </row>
    <row r="7" spans="1:22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1"/>
      <c r="N7" s="6"/>
      <c r="O7" s="12" t="s">
        <v>2</v>
      </c>
      <c r="P7" s="2"/>
      <c r="Q7" s="2"/>
      <c r="R7" s="2"/>
      <c r="S7" s="2"/>
      <c r="T7" s="2"/>
      <c r="U7" s="2"/>
      <c r="V7" s="2"/>
    </row>
    <row r="8" spans="1:22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M8" s="13"/>
      <c r="N8" s="13"/>
      <c r="O8" s="14" t="s">
        <v>3</v>
      </c>
      <c r="P8" s="2"/>
      <c r="Q8" s="2"/>
      <c r="R8" s="2"/>
      <c r="S8" s="2"/>
      <c r="T8" s="2"/>
      <c r="U8" s="2"/>
      <c r="V8" s="2"/>
    </row>
    <row r="9" spans="1:22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1"/>
      <c r="N9" s="6"/>
      <c r="O9" s="12" t="s">
        <v>4</v>
      </c>
      <c r="P9" s="2"/>
      <c r="Q9" s="2"/>
      <c r="R9" s="2"/>
      <c r="S9" s="2"/>
      <c r="T9" s="2"/>
      <c r="U9" s="2"/>
      <c r="V9" s="2"/>
    </row>
    <row r="10" spans="1:22" ht="17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3"/>
      <c r="L10" s="13"/>
      <c r="M10" s="13"/>
      <c r="N10" s="13"/>
      <c r="O10" s="14" t="s">
        <v>5</v>
      </c>
      <c r="P10" s="2"/>
      <c r="Q10" s="2"/>
      <c r="R10" s="2"/>
      <c r="S10" s="2"/>
      <c r="T10" s="2"/>
      <c r="U10" s="2"/>
      <c r="V10" s="2"/>
    </row>
    <row r="11" spans="1:22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1"/>
      <c r="N11" s="11"/>
      <c r="O11" s="15" t="s">
        <v>6</v>
      </c>
      <c r="P11" s="2"/>
      <c r="Q11" s="2"/>
      <c r="R11" s="2"/>
      <c r="S11" s="2"/>
      <c r="T11" s="2"/>
      <c r="U11" s="2"/>
      <c r="V11" s="2"/>
    </row>
    <row r="12" spans="1:22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8" customFormat="1">
      <c r="A13" s="175" t="s">
        <v>7</v>
      </c>
      <c r="B13" s="176" t="s">
        <v>8</v>
      </c>
      <c r="C13" s="177" t="s">
        <v>9</v>
      </c>
      <c r="D13" s="178" t="s">
        <v>10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22" s="20" customFormat="1" ht="12.75">
      <c r="A14" s="175"/>
      <c r="B14" s="176"/>
      <c r="C14" s="177"/>
      <c r="D14" s="19" t="s">
        <v>11</v>
      </c>
      <c r="E14" s="19" t="s">
        <v>12</v>
      </c>
      <c r="F14" s="19" t="s">
        <v>13</v>
      </c>
      <c r="G14" s="19" t="s">
        <v>14</v>
      </c>
      <c r="H14" s="19" t="s">
        <v>15</v>
      </c>
      <c r="I14" s="19" t="s">
        <v>16</v>
      </c>
      <c r="J14" s="19" t="s">
        <v>17</v>
      </c>
      <c r="K14" s="19" t="s">
        <v>18</v>
      </c>
      <c r="L14" s="19" t="s">
        <v>19</v>
      </c>
      <c r="M14" s="19" t="s">
        <v>20</v>
      </c>
      <c r="N14" s="19" t="s">
        <v>21</v>
      </c>
      <c r="O14" s="19" t="s">
        <v>22</v>
      </c>
    </row>
    <row r="15" spans="1:22">
      <c r="A15" s="21">
        <v>1131</v>
      </c>
      <c r="B15" s="22" t="s">
        <v>23</v>
      </c>
      <c r="C15" s="23">
        <f t="shared" ref="C15:C25" si="0">SUM(D15:O15)</f>
        <v>3670686.1999999997</v>
      </c>
      <c r="D15" s="23">
        <f>+(3670686/12)+74133.56+0.13</f>
        <v>380024.19</v>
      </c>
      <c r="E15" s="23">
        <f>(3670686/12)+74133.56-0.13+0.14</f>
        <v>380024.07</v>
      </c>
      <c r="F15" s="23">
        <f>(3670686/12)+12941.39-0.14+0.32</f>
        <v>318832.07</v>
      </c>
      <c r="G15" s="23">
        <f>(3670686/12)+74133.56-0.32+0.33</f>
        <v>380024.07</v>
      </c>
      <c r="H15" s="23">
        <f>(3670686/12)+70548.43-0.33+3585.47</f>
        <v>380024.06999999995</v>
      </c>
      <c r="I15" s="23">
        <f>3670686/12-3585.47+77719.04</f>
        <v>380024.07</v>
      </c>
      <c r="J15" s="23">
        <f>3670686/12-4218.71</f>
        <v>301671.78999999998</v>
      </c>
      <c r="K15" s="23">
        <f>3670686/12-14700</f>
        <v>291190.5</v>
      </c>
      <c r="L15" s="23">
        <f>(3670686/12)-1776.56-14699.5</f>
        <v>289414.44</v>
      </c>
      <c r="M15" s="23">
        <f>(3670686/12)+1776.56+119095.53-14700</f>
        <v>412062.58999999997</v>
      </c>
      <c r="N15" s="23">
        <f>(3670686/12)-119095.53-77719.04+48318.41</f>
        <v>157394.34000000003</v>
      </c>
      <c r="O15" s="23"/>
    </row>
    <row r="16" spans="1:22">
      <c r="A16" s="21">
        <v>1321</v>
      </c>
      <c r="B16" s="22" t="s">
        <v>24</v>
      </c>
      <c r="C16" s="23">
        <f t="shared" si="0"/>
        <v>51192</v>
      </c>
      <c r="D16" s="23"/>
      <c r="E16" s="23"/>
      <c r="F16" s="23">
        <v>51192</v>
      </c>
      <c r="G16" s="23"/>
      <c r="H16" s="23"/>
      <c r="I16" s="23"/>
      <c r="J16" s="23"/>
      <c r="K16" s="23"/>
      <c r="L16" s="23"/>
      <c r="M16" s="23"/>
      <c r="N16" s="23"/>
      <c r="O16" s="23"/>
    </row>
    <row r="17" spans="1:15">
      <c r="A17" s="21">
        <v>1322</v>
      </c>
      <c r="B17" s="22" t="s">
        <v>25</v>
      </c>
      <c r="C17" s="23">
        <f t="shared" si="0"/>
        <v>511921.75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f>217144+14700.32</f>
        <v>231844.32</v>
      </c>
      <c r="O17" s="23">
        <f>511921.67-217143.69-14700.32-0.23</f>
        <v>280077.43</v>
      </c>
    </row>
    <row r="18" spans="1:15">
      <c r="A18" s="21">
        <v>1411</v>
      </c>
      <c r="B18" s="22" t="s">
        <v>26</v>
      </c>
      <c r="C18" s="23">
        <f t="shared" si="0"/>
        <v>159600</v>
      </c>
      <c r="D18" s="23">
        <f>159600/12</f>
        <v>13300</v>
      </c>
      <c r="E18" s="23">
        <f t="shared" ref="E18:O18" si="1">159600/12</f>
        <v>13300</v>
      </c>
      <c r="F18" s="23">
        <f t="shared" si="1"/>
        <v>13300</v>
      </c>
      <c r="G18" s="23">
        <f t="shared" si="1"/>
        <v>13300</v>
      </c>
      <c r="H18" s="23">
        <f t="shared" si="1"/>
        <v>13300</v>
      </c>
      <c r="I18" s="23">
        <f t="shared" si="1"/>
        <v>13300</v>
      </c>
      <c r="J18" s="23">
        <f t="shared" si="1"/>
        <v>13300</v>
      </c>
      <c r="K18" s="23">
        <f t="shared" si="1"/>
        <v>13300</v>
      </c>
      <c r="L18" s="23">
        <f t="shared" si="1"/>
        <v>13300</v>
      </c>
      <c r="M18" s="23">
        <f t="shared" si="1"/>
        <v>13300</v>
      </c>
      <c r="N18" s="23">
        <f t="shared" si="1"/>
        <v>13300</v>
      </c>
      <c r="O18" s="23">
        <f t="shared" si="1"/>
        <v>13300</v>
      </c>
    </row>
    <row r="19" spans="1:15">
      <c r="A19" s="21">
        <v>1421</v>
      </c>
      <c r="B19" s="22" t="s">
        <v>27</v>
      </c>
      <c r="C19" s="23">
        <f t="shared" si="0"/>
        <v>110574.99999999999</v>
      </c>
      <c r="D19" s="23">
        <f>110575.08/12-0.08</f>
        <v>9214.51</v>
      </c>
      <c r="E19" s="23">
        <f t="shared" ref="E19:I19" si="2">110575.08/12</f>
        <v>9214.59</v>
      </c>
      <c r="F19" s="23">
        <f t="shared" si="2"/>
        <v>9214.59</v>
      </c>
      <c r="G19" s="23">
        <f t="shared" si="2"/>
        <v>9214.59</v>
      </c>
      <c r="H19" s="23">
        <f t="shared" si="2"/>
        <v>9214.59</v>
      </c>
      <c r="I19" s="23">
        <f t="shared" si="2"/>
        <v>9214.59</v>
      </c>
      <c r="J19" s="23">
        <f>(110575.08/12)+(9214.59*5)</f>
        <v>55287.539999999994</v>
      </c>
      <c r="K19" s="23"/>
      <c r="L19" s="23"/>
      <c r="M19" s="23"/>
      <c r="N19" s="23"/>
      <c r="O19" s="23"/>
    </row>
    <row r="20" spans="1:15">
      <c r="A20" s="21">
        <v>1431</v>
      </c>
      <c r="B20" s="22" t="s">
        <v>28</v>
      </c>
      <c r="C20" s="23">
        <f t="shared" si="0"/>
        <v>645021.00000000012</v>
      </c>
      <c r="D20" s="23">
        <f>645021.3/12-0.32</f>
        <v>53751.455000000002</v>
      </c>
      <c r="E20" s="23">
        <f t="shared" ref="E20:I20" si="3">645021.3/12</f>
        <v>53751.775000000001</v>
      </c>
      <c r="F20" s="23">
        <f t="shared" si="3"/>
        <v>53751.775000000001</v>
      </c>
      <c r="G20" s="23">
        <f t="shared" si="3"/>
        <v>53751.775000000001</v>
      </c>
      <c r="H20" s="23">
        <f t="shared" si="3"/>
        <v>53751.775000000001</v>
      </c>
      <c r="I20" s="23">
        <f t="shared" si="3"/>
        <v>53751.775000000001</v>
      </c>
      <c r="J20" s="23">
        <f>(645021.3/12)+32279.33</f>
        <v>86031.10500000001</v>
      </c>
      <c r="K20" s="23">
        <f>(645021.3/12)+21472.45+53751.78+22823.93</f>
        <v>151799.935</v>
      </c>
      <c r="L20" s="23"/>
      <c r="M20" s="23">
        <f>(645021.3/12)-22823.93</f>
        <v>30927.845000000001</v>
      </c>
      <c r="N20" s="23">
        <v>53751.78</v>
      </c>
      <c r="O20" s="23">
        <f>(645021.3/12)-32279.33-21472.45+0.01</f>
        <v>4.9999999989813661E-3</v>
      </c>
    </row>
    <row r="21" spans="1:15">
      <c r="A21" s="21">
        <v>1432</v>
      </c>
      <c r="B21" s="24" t="s">
        <v>29</v>
      </c>
      <c r="C21" s="23">
        <f t="shared" si="0"/>
        <v>73717</v>
      </c>
      <c r="D21" s="23">
        <f>73716.72/12+0.28</f>
        <v>6143.34</v>
      </c>
      <c r="E21" s="23">
        <f t="shared" ref="E21:O21" si="4">73716.72/12</f>
        <v>6143.06</v>
      </c>
      <c r="F21" s="23">
        <f t="shared" si="4"/>
        <v>6143.06</v>
      </c>
      <c r="G21" s="23">
        <f t="shared" si="4"/>
        <v>6143.06</v>
      </c>
      <c r="H21" s="23">
        <f t="shared" si="4"/>
        <v>6143.06</v>
      </c>
      <c r="I21" s="23">
        <f t="shared" si="4"/>
        <v>6143.06</v>
      </c>
      <c r="J21" s="23">
        <f t="shared" si="4"/>
        <v>6143.06</v>
      </c>
      <c r="K21" s="23">
        <f t="shared" si="4"/>
        <v>6143.06</v>
      </c>
      <c r="L21" s="23">
        <f>(73716.72/12)</f>
        <v>6143.06</v>
      </c>
      <c r="M21" s="23">
        <f t="shared" si="4"/>
        <v>6143.06</v>
      </c>
      <c r="N21" s="23">
        <f t="shared" si="4"/>
        <v>6143.06</v>
      </c>
      <c r="O21" s="23">
        <f t="shared" si="4"/>
        <v>6143.06</v>
      </c>
    </row>
    <row r="22" spans="1:15">
      <c r="A22" s="21">
        <v>1611</v>
      </c>
      <c r="B22" s="22" t="s">
        <v>30</v>
      </c>
      <c r="C22" s="23">
        <f t="shared" si="0"/>
        <v>172913</v>
      </c>
      <c r="D22" s="23"/>
      <c r="E22" s="23"/>
      <c r="F22" s="23">
        <v>10000</v>
      </c>
      <c r="G22" s="23"/>
      <c r="H22" s="23"/>
      <c r="I22" s="23"/>
      <c r="J22" s="23"/>
      <c r="K22" s="23"/>
      <c r="L22" s="23"/>
      <c r="M22" s="23"/>
      <c r="N22" s="23"/>
      <c r="O22" s="23">
        <f>162912.52+0.48</f>
        <v>162913</v>
      </c>
    </row>
    <row r="23" spans="1:15">
      <c r="A23" s="21">
        <v>1712</v>
      </c>
      <c r="B23" s="22" t="s">
        <v>31</v>
      </c>
      <c r="C23" s="23">
        <f t="shared" si="0"/>
        <v>218916</v>
      </c>
      <c r="D23" s="23">
        <f>218916/12</f>
        <v>18243</v>
      </c>
      <c r="E23" s="23">
        <f t="shared" ref="E23:O23" si="5">218916/12</f>
        <v>18243</v>
      </c>
      <c r="F23" s="23">
        <f t="shared" si="5"/>
        <v>18243</v>
      </c>
      <c r="G23" s="23">
        <f t="shared" si="5"/>
        <v>18243</v>
      </c>
      <c r="H23" s="23">
        <f t="shared" si="5"/>
        <v>18243</v>
      </c>
      <c r="I23" s="23">
        <f t="shared" si="5"/>
        <v>18243</v>
      </c>
      <c r="J23" s="23">
        <f t="shared" si="5"/>
        <v>18243</v>
      </c>
      <c r="K23" s="23">
        <f t="shared" si="5"/>
        <v>18243</v>
      </c>
      <c r="L23" s="23">
        <f t="shared" si="5"/>
        <v>18243</v>
      </c>
      <c r="M23" s="23">
        <f t="shared" si="5"/>
        <v>18243</v>
      </c>
      <c r="N23" s="23">
        <f t="shared" si="5"/>
        <v>18243</v>
      </c>
      <c r="O23" s="23">
        <f t="shared" si="5"/>
        <v>18243</v>
      </c>
    </row>
    <row r="24" spans="1:15">
      <c r="A24" s="21">
        <v>1713</v>
      </c>
      <c r="B24" s="22" t="s">
        <v>32</v>
      </c>
      <c r="C24" s="23">
        <f t="shared" si="0"/>
        <v>148014</v>
      </c>
      <c r="D24" s="23">
        <f>148014/12</f>
        <v>12334.5</v>
      </c>
      <c r="E24" s="23">
        <f t="shared" ref="E24:O24" si="6">148014/12</f>
        <v>12334.5</v>
      </c>
      <c r="F24" s="23">
        <f t="shared" si="6"/>
        <v>12334.5</v>
      </c>
      <c r="G24" s="23">
        <f t="shared" si="6"/>
        <v>12334.5</v>
      </c>
      <c r="H24" s="23">
        <f t="shared" si="6"/>
        <v>12334.5</v>
      </c>
      <c r="I24" s="23">
        <f t="shared" si="6"/>
        <v>12334.5</v>
      </c>
      <c r="J24" s="23">
        <f t="shared" si="6"/>
        <v>12334.5</v>
      </c>
      <c r="K24" s="23">
        <f t="shared" si="6"/>
        <v>12334.5</v>
      </c>
      <c r="L24" s="23">
        <f t="shared" si="6"/>
        <v>12334.5</v>
      </c>
      <c r="M24" s="23">
        <f t="shared" si="6"/>
        <v>12334.5</v>
      </c>
      <c r="N24" s="23">
        <f t="shared" si="6"/>
        <v>12334.5</v>
      </c>
      <c r="O24" s="23">
        <f t="shared" si="6"/>
        <v>12334.5</v>
      </c>
    </row>
    <row r="25" spans="1:15">
      <c r="A25" s="21">
        <v>1715</v>
      </c>
      <c r="B25" s="22" t="s">
        <v>33</v>
      </c>
      <c r="C25" s="23">
        <f t="shared" si="0"/>
        <v>153576</v>
      </c>
      <c r="D25" s="23"/>
      <c r="E25" s="23"/>
      <c r="F25" s="23"/>
      <c r="G25" s="23"/>
      <c r="H25" s="23"/>
      <c r="I25" s="23"/>
      <c r="J25" s="23"/>
      <c r="K25" s="23"/>
      <c r="L25" s="23">
        <v>153576</v>
      </c>
      <c r="M25" s="23"/>
      <c r="N25" s="23"/>
      <c r="O25" s="23"/>
    </row>
    <row r="26" spans="1:15" s="28" customFormat="1" ht="12.75">
      <c r="A26" s="25"/>
      <c r="B26" s="26" t="s">
        <v>34</v>
      </c>
      <c r="C26" s="27">
        <f>SUM(C15:C25)</f>
        <v>5916131.9499999993</v>
      </c>
      <c r="D26" s="27">
        <f>SUM(D15:D25)</f>
        <v>493010.99500000005</v>
      </c>
      <c r="E26" s="27">
        <f t="shared" ref="E26:O26" si="7">SUM(E15:E25)</f>
        <v>493010.99500000005</v>
      </c>
      <c r="F26" s="27">
        <f t="shared" si="7"/>
        <v>493010.99500000005</v>
      </c>
      <c r="G26" s="27">
        <f t="shared" si="7"/>
        <v>493010.99500000005</v>
      </c>
      <c r="H26" s="27">
        <f t="shared" si="7"/>
        <v>493010.995</v>
      </c>
      <c r="I26" s="27">
        <f t="shared" si="7"/>
        <v>493010.99500000005</v>
      </c>
      <c r="J26" s="27">
        <f t="shared" si="7"/>
        <v>493010.99499999994</v>
      </c>
      <c r="K26" s="27">
        <f t="shared" si="7"/>
        <v>493010.995</v>
      </c>
      <c r="L26" s="27">
        <f t="shared" si="7"/>
        <v>493011</v>
      </c>
      <c r="M26" s="27">
        <f t="shared" si="7"/>
        <v>493010.99499999994</v>
      </c>
      <c r="N26" s="27">
        <f t="shared" si="7"/>
        <v>493011.00000000006</v>
      </c>
      <c r="O26" s="27">
        <f t="shared" si="7"/>
        <v>493010.995</v>
      </c>
    </row>
    <row r="27" spans="1:15">
      <c r="A27" s="29">
        <v>2111</v>
      </c>
      <c r="B27" s="22" t="s">
        <v>35</v>
      </c>
      <c r="C27" s="30">
        <f t="shared" ref="C27:C40" si="8">SUM(D27:O27)</f>
        <v>20000</v>
      </c>
      <c r="D27" s="23">
        <v>1666.6666666666667</v>
      </c>
      <c r="E27" s="23">
        <v>1666.6666666666667</v>
      </c>
      <c r="F27" s="23">
        <v>1666.6666666666667</v>
      </c>
      <c r="G27" s="23">
        <v>1666.6666666666667</v>
      </c>
      <c r="H27" s="23">
        <v>1666.6666666666667</v>
      </c>
      <c r="I27" s="23">
        <v>1666.6666666666667</v>
      </c>
      <c r="J27" s="23">
        <v>1666.6666666666667</v>
      </c>
      <c r="K27" s="23">
        <v>1666.6666666666667</v>
      </c>
      <c r="L27" s="23">
        <v>1666.6666666666667</v>
      </c>
      <c r="M27" s="23">
        <v>1666.6666666666667</v>
      </c>
      <c r="N27" s="23">
        <v>1666.6666666666667</v>
      </c>
      <c r="O27" s="23">
        <v>1666.6666666666667</v>
      </c>
    </row>
    <row r="28" spans="1:15">
      <c r="A28" s="29">
        <v>2121</v>
      </c>
      <c r="B28" s="22" t="s">
        <v>36</v>
      </c>
      <c r="C28" s="30">
        <f t="shared" si="8"/>
        <v>8000.0000000000009</v>
      </c>
      <c r="D28" s="23">
        <v>666.66666666666663</v>
      </c>
      <c r="E28" s="23">
        <v>666.66666666666663</v>
      </c>
      <c r="F28" s="23">
        <v>666.66666666666663</v>
      </c>
      <c r="G28" s="23">
        <v>666.66666666666663</v>
      </c>
      <c r="H28" s="23">
        <v>666.66666666666663</v>
      </c>
      <c r="I28" s="23">
        <v>666.66666666666663</v>
      </c>
      <c r="J28" s="23">
        <v>666.66666666666663</v>
      </c>
      <c r="K28" s="23">
        <v>666.66666666666663</v>
      </c>
      <c r="L28" s="23">
        <v>666.66666666666663</v>
      </c>
      <c r="M28" s="23">
        <v>666.66666666666663</v>
      </c>
      <c r="N28" s="23">
        <v>666.66666666666663</v>
      </c>
      <c r="O28" s="23">
        <v>666.66666666666663</v>
      </c>
    </row>
    <row r="29" spans="1:15">
      <c r="A29" s="29">
        <v>2141</v>
      </c>
      <c r="B29" s="22" t="s">
        <v>37</v>
      </c>
      <c r="C29" s="30">
        <f t="shared" si="8"/>
        <v>21000</v>
      </c>
      <c r="D29" s="31">
        <v>1750</v>
      </c>
      <c r="E29" s="31">
        <v>1750</v>
      </c>
      <c r="F29" s="31">
        <v>1750</v>
      </c>
      <c r="G29" s="31">
        <v>1750</v>
      </c>
      <c r="H29" s="31">
        <v>1750</v>
      </c>
      <c r="I29" s="31">
        <v>1750</v>
      </c>
      <c r="J29" s="31">
        <v>1750</v>
      </c>
      <c r="K29" s="31">
        <v>1750</v>
      </c>
      <c r="L29" s="31">
        <v>1750</v>
      </c>
      <c r="M29" s="31">
        <v>1750</v>
      </c>
      <c r="N29" s="31">
        <v>1750</v>
      </c>
      <c r="O29" s="31">
        <v>1750</v>
      </c>
    </row>
    <row r="30" spans="1:15">
      <c r="A30" s="29">
        <v>2151</v>
      </c>
      <c r="B30" s="24" t="s">
        <v>38</v>
      </c>
      <c r="C30" s="30">
        <f t="shared" si="8"/>
        <v>19000</v>
      </c>
      <c r="D30" s="23">
        <v>1583.3333333333333</v>
      </c>
      <c r="E30" s="23">
        <v>1583.3333333333333</v>
      </c>
      <c r="F30" s="23">
        <v>1583.3333333333333</v>
      </c>
      <c r="G30" s="23">
        <v>1583.3333333333333</v>
      </c>
      <c r="H30" s="23">
        <v>1583.3333333333333</v>
      </c>
      <c r="I30" s="23">
        <v>1583.3333333333333</v>
      </c>
      <c r="J30" s="23">
        <v>1583.3333333333333</v>
      </c>
      <c r="K30" s="23">
        <v>1583.3333333333333</v>
      </c>
      <c r="L30" s="23">
        <v>1583.3333333333333</v>
      </c>
      <c r="M30" s="23">
        <v>1583.3333333333333</v>
      </c>
      <c r="N30" s="23">
        <v>1583.3333333333333</v>
      </c>
      <c r="O30" s="23">
        <v>1583.3333333333333</v>
      </c>
    </row>
    <row r="31" spans="1:15">
      <c r="A31" s="29">
        <v>2161</v>
      </c>
      <c r="B31" s="22" t="s">
        <v>39</v>
      </c>
      <c r="C31" s="30">
        <f t="shared" si="8"/>
        <v>6000</v>
      </c>
      <c r="D31" s="31">
        <v>500</v>
      </c>
      <c r="E31" s="31">
        <v>500</v>
      </c>
      <c r="F31" s="31">
        <v>500</v>
      </c>
      <c r="G31" s="31">
        <v>500</v>
      </c>
      <c r="H31" s="31">
        <v>500</v>
      </c>
      <c r="I31" s="31">
        <v>500</v>
      </c>
      <c r="J31" s="31">
        <v>500</v>
      </c>
      <c r="K31" s="31">
        <v>500</v>
      </c>
      <c r="L31" s="31">
        <v>500</v>
      </c>
      <c r="M31" s="31">
        <v>500</v>
      </c>
      <c r="N31" s="31">
        <v>500</v>
      </c>
      <c r="O31" s="31">
        <v>500</v>
      </c>
    </row>
    <row r="32" spans="1:15">
      <c r="A32" s="29">
        <v>2214</v>
      </c>
      <c r="B32" s="22" t="s">
        <v>40</v>
      </c>
      <c r="C32" s="30">
        <f t="shared" si="8"/>
        <v>21999.999999999996</v>
      </c>
      <c r="D32" s="23">
        <v>1833.3333333333333</v>
      </c>
      <c r="E32" s="23">
        <v>1833.3333333333333</v>
      </c>
      <c r="F32" s="23">
        <v>1833.3333333333333</v>
      </c>
      <c r="G32" s="23">
        <v>1833.3333333333333</v>
      </c>
      <c r="H32" s="23">
        <v>1833.3333333333333</v>
      </c>
      <c r="I32" s="23">
        <v>1833.3333333333333</v>
      </c>
      <c r="J32" s="23">
        <v>1833.3333333333333</v>
      </c>
      <c r="K32" s="23">
        <v>1833.3333333333333</v>
      </c>
      <c r="L32" s="23">
        <v>1833.3333333333333</v>
      </c>
      <c r="M32" s="23">
        <v>1833.3333333333333</v>
      </c>
      <c r="N32" s="23">
        <v>1833.3333333333333</v>
      </c>
      <c r="O32" s="23">
        <v>1833.3333333333333</v>
      </c>
    </row>
    <row r="33" spans="1:15">
      <c r="A33" s="29">
        <v>2231</v>
      </c>
      <c r="B33" s="22" t="s">
        <v>41</v>
      </c>
      <c r="C33" s="30">
        <f t="shared" si="8"/>
        <v>900</v>
      </c>
      <c r="D33" s="31">
        <v>75</v>
      </c>
      <c r="E33" s="31">
        <v>75</v>
      </c>
      <c r="F33" s="31">
        <v>75</v>
      </c>
      <c r="G33" s="31">
        <v>75</v>
      </c>
      <c r="H33" s="31">
        <v>75</v>
      </c>
      <c r="I33" s="31">
        <v>75</v>
      </c>
      <c r="J33" s="31">
        <v>75</v>
      </c>
      <c r="K33" s="31">
        <v>75</v>
      </c>
      <c r="L33" s="31">
        <v>75</v>
      </c>
      <c r="M33" s="31">
        <v>75</v>
      </c>
      <c r="N33" s="31">
        <v>75</v>
      </c>
      <c r="O33" s="31">
        <v>75</v>
      </c>
    </row>
    <row r="34" spans="1:15">
      <c r="A34" s="29">
        <v>2461</v>
      </c>
      <c r="B34" s="24" t="s">
        <v>42</v>
      </c>
      <c r="C34" s="30">
        <f t="shared" si="8"/>
        <v>1500</v>
      </c>
      <c r="D34" s="31">
        <v>125</v>
      </c>
      <c r="E34" s="31">
        <v>125</v>
      </c>
      <c r="F34" s="31">
        <v>125</v>
      </c>
      <c r="G34" s="31">
        <v>125</v>
      </c>
      <c r="H34" s="31">
        <v>125</v>
      </c>
      <c r="I34" s="31">
        <v>125</v>
      </c>
      <c r="J34" s="31">
        <v>125</v>
      </c>
      <c r="K34" s="31">
        <v>125</v>
      </c>
      <c r="L34" s="31">
        <v>125</v>
      </c>
      <c r="M34" s="31">
        <v>125</v>
      </c>
      <c r="N34" s="31">
        <v>125</v>
      </c>
      <c r="O34" s="31">
        <v>125</v>
      </c>
    </row>
    <row r="35" spans="1:15">
      <c r="A35" s="29">
        <v>2491</v>
      </c>
      <c r="B35" s="24" t="s">
        <v>43</v>
      </c>
      <c r="C35" s="30">
        <f t="shared" si="8"/>
        <v>1000.0000000000001</v>
      </c>
      <c r="D35" s="23">
        <v>83.333333333333329</v>
      </c>
      <c r="E35" s="23">
        <v>83.333333333333329</v>
      </c>
      <c r="F35" s="23">
        <v>83.333333333333329</v>
      </c>
      <c r="G35" s="23">
        <v>83.333333333333329</v>
      </c>
      <c r="H35" s="23">
        <v>83.333333333333329</v>
      </c>
      <c r="I35" s="23">
        <v>83.333333333333329</v>
      </c>
      <c r="J35" s="23">
        <v>83.333333333333329</v>
      </c>
      <c r="K35" s="23">
        <v>83.333333333333329</v>
      </c>
      <c r="L35" s="23">
        <v>83.333333333333329</v>
      </c>
      <c r="M35" s="23">
        <v>83.333333333333329</v>
      </c>
      <c r="N35" s="23">
        <v>83.333333333333329</v>
      </c>
      <c r="O35" s="23">
        <v>83.333333333333329</v>
      </c>
    </row>
    <row r="36" spans="1:15">
      <c r="A36" s="29">
        <v>2521</v>
      </c>
      <c r="B36" s="24" t="s">
        <v>44</v>
      </c>
      <c r="C36" s="30">
        <f t="shared" si="8"/>
        <v>500.00000000000006</v>
      </c>
      <c r="D36" s="23">
        <v>41.666666666666664</v>
      </c>
      <c r="E36" s="23">
        <v>41.666666666666664</v>
      </c>
      <c r="F36" s="23">
        <v>41.666666666666664</v>
      </c>
      <c r="G36" s="23">
        <v>41.666666666666664</v>
      </c>
      <c r="H36" s="23">
        <v>41.666666666666664</v>
      </c>
      <c r="I36" s="23">
        <v>41.666666666666664</v>
      </c>
      <c r="J36" s="23">
        <v>41.666666666666664</v>
      </c>
      <c r="K36" s="23">
        <v>41.666666666666664</v>
      </c>
      <c r="L36" s="23">
        <v>41.666666666666664</v>
      </c>
      <c r="M36" s="23">
        <v>41.666666666666664</v>
      </c>
      <c r="N36" s="23">
        <v>41.666666666666664</v>
      </c>
      <c r="O36" s="23">
        <v>41.666666666666664</v>
      </c>
    </row>
    <row r="37" spans="1:15">
      <c r="A37" s="29">
        <v>2531</v>
      </c>
      <c r="B37" s="22" t="s">
        <v>45</v>
      </c>
      <c r="C37" s="30">
        <f t="shared" si="8"/>
        <v>1000.0000000000001</v>
      </c>
      <c r="D37" s="23">
        <v>83.333333333333329</v>
      </c>
      <c r="E37" s="23">
        <v>83.333333333333329</v>
      </c>
      <c r="F37" s="23">
        <v>83.333333333333329</v>
      </c>
      <c r="G37" s="23">
        <v>83.333333333333329</v>
      </c>
      <c r="H37" s="23">
        <v>83.333333333333329</v>
      </c>
      <c r="I37" s="23">
        <v>83.333333333333329</v>
      </c>
      <c r="J37" s="23">
        <v>83.333333333333329</v>
      </c>
      <c r="K37" s="23">
        <v>83.333333333333329</v>
      </c>
      <c r="L37" s="23">
        <v>83.333333333333329</v>
      </c>
      <c r="M37" s="23">
        <v>83.333333333333329</v>
      </c>
      <c r="N37" s="23">
        <v>83.333333333333329</v>
      </c>
      <c r="O37" s="23">
        <v>83.333333333333329</v>
      </c>
    </row>
    <row r="38" spans="1:15">
      <c r="A38" s="29">
        <v>2611</v>
      </c>
      <c r="B38" s="24" t="s">
        <v>46</v>
      </c>
      <c r="C38" s="30">
        <f t="shared" si="8"/>
        <v>40000</v>
      </c>
      <c r="D38" s="23">
        <f>40000/12</f>
        <v>3333.3333333333335</v>
      </c>
      <c r="E38" s="23">
        <f t="shared" ref="E38:O38" si="9">40000/12</f>
        <v>3333.3333333333335</v>
      </c>
      <c r="F38" s="23">
        <f t="shared" si="9"/>
        <v>3333.3333333333335</v>
      </c>
      <c r="G38" s="23">
        <f t="shared" si="9"/>
        <v>3333.3333333333335</v>
      </c>
      <c r="H38" s="23">
        <f t="shared" si="9"/>
        <v>3333.3333333333335</v>
      </c>
      <c r="I38" s="23">
        <f t="shared" si="9"/>
        <v>3333.3333333333335</v>
      </c>
      <c r="J38" s="23">
        <f t="shared" si="9"/>
        <v>3333.3333333333335</v>
      </c>
      <c r="K38" s="23">
        <f t="shared" si="9"/>
        <v>3333.3333333333335</v>
      </c>
      <c r="L38" s="23">
        <f t="shared" si="9"/>
        <v>3333.3333333333335</v>
      </c>
      <c r="M38" s="23">
        <f t="shared" si="9"/>
        <v>3333.3333333333335</v>
      </c>
      <c r="N38" s="23">
        <f t="shared" si="9"/>
        <v>3333.3333333333335</v>
      </c>
      <c r="O38" s="23">
        <f t="shared" si="9"/>
        <v>3333.3333333333335</v>
      </c>
    </row>
    <row r="39" spans="1:15">
      <c r="A39" s="29">
        <v>2911</v>
      </c>
      <c r="B39" s="24" t="s">
        <v>47</v>
      </c>
      <c r="C39" s="30">
        <f t="shared" si="8"/>
        <v>2500</v>
      </c>
      <c r="D39" s="23">
        <v>208.33333333333334</v>
      </c>
      <c r="E39" s="23">
        <v>208.33333333333334</v>
      </c>
      <c r="F39" s="23">
        <v>208.33333333333334</v>
      </c>
      <c r="G39" s="23">
        <v>208.33333333333334</v>
      </c>
      <c r="H39" s="23">
        <v>208.33333333333334</v>
      </c>
      <c r="I39" s="23">
        <v>208.33333333333334</v>
      </c>
      <c r="J39" s="23">
        <v>208.33333333333334</v>
      </c>
      <c r="K39" s="23">
        <v>208.33333333333334</v>
      </c>
      <c r="L39" s="23">
        <v>208.33333333333334</v>
      </c>
      <c r="M39" s="23">
        <v>208.33333333333334</v>
      </c>
      <c r="N39" s="23">
        <v>208.33333333333334</v>
      </c>
      <c r="O39" s="23">
        <v>208.33333333333334</v>
      </c>
    </row>
    <row r="40" spans="1:15">
      <c r="A40" s="29">
        <v>2941</v>
      </c>
      <c r="B40" s="32" t="s">
        <v>48</v>
      </c>
      <c r="C40" s="30">
        <f t="shared" si="8"/>
        <v>1500</v>
      </c>
      <c r="D40" s="31">
        <v>125</v>
      </c>
      <c r="E40" s="31">
        <v>125</v>
      </c>
      <c r="F40" s="31">
        <v>125</v>
      </c>
      <c r="G40" s="31">
        <v>125</v>
      </c>
      <c r="H40" s="31">
        <v>125</v>
      </c>
      <c r="I40" s="31">
        <v>125</v>
      </c>
      <c r="J40" s="31">
        <v>125</v>
      </c>
      <c r="K40" s="31">
        <v>125</v>
      </c>
      <c r="L40" s="31">
        <v>125</v>
      </c>
      <c r="M40" s="31">
        <v>125</v>
      </c>
      <c r="N40" s="31">
        <v>125</v>
      </c>
      <c r="O40" s="31">
        <v>125</v>
      </c>
    </row>
    <row r="41" spans="1:15" s="28" customFormat="1" ht="12.75">
      <c r="A41" s="25"/>
      <c r="B41" s="26" t="s">
        <v>49</v>
      </c>
      <c r="C41" s="27">
        <f t="shared" ref="C41:O41" si="10">SUM(C27:C40)</f>
        <v>144900</v>
      </c>
      <c r="D41" s="27">
        <f t="shared" si="10"/>
        <v>12075.000000000002</v>
      </c>
      <c r="E41" s="27">
        <f t="shared" si="10"/>
        <v>12075.000000000002</v>
      </c>
      <c r="F41" s="27">
        <f t="shared" si="10"/>
        <v>12075.000000000002</v>
      </c>
      <c r="G41" s="27">
        <f t="shared" si="10"/>
        <v>12075.000000000002</v>
      </c>
      <c r="H41" s="27">
        <f t="shared" si="10"/>
        <v>12075.000000000002</v>
      </c>
      <c r="I41" s="27">
        <f t="shared" si="10"/>
        <v>12075.000000000002</v>
      </c>
      <c r="J41" s="27">
        <f t="shared" si="10"/>
        <v>12075.000000000002</v>
      </c>
      <c r="K41" s="27">
        <f t="shared" si="10"/>
        <v>12075.000000000002</v>
      </c>
      <c r="L41" s="27">
        <f t="shared" si="10"/>
        <v>12075.000000000002</v>
      </c>
      <c r="M41" s="27">
        <f t="shared" si="10"/>
        <v>12075.000000000002</v>
      </c>
      <c r="N41" s="27">
        <f t="shared" si="10"/>
        <v>12075.000000000002</v>
      </c>
      <c r="O41" s="27">
        <f t="shared" si="10"/>
        <v>12075.000000000002</v>
      </c>
    </row>
    <row r="42" spans="1:15">
      <c r="A42" s="33">
        <v>3111</v>
      </c>
      <c r="B42" s="22" t="s">
        <v>50</v>
      </c>
      <c r="C42" s="34">
        <f>SUM(D42:O42)</f>
        <v>48000</v>
      </c>
      <c r="D42" s="23">
        <v>4000</v>
      </c>
      <c r="E42" s="23"/>
      <c r="F42" s="23">
        <v>8000</v>
      </c>
      <c r="G42" s="23">
        <v>4000</v>
      </c>
      <c r="H42" s="23">
        <v>4000</v>
      </c>
      <c r="I42" s="23"/>
      <c r="J42" s="23">
        <v>8000</v>
      </c>
      <c r="K42" s="23"/>
      <c r="L42" s="23">
        <v>8000</v>
      </c>
      <c r="M42" s="23">
        <v>4000</v>
      </c>
      <c r="N42" s="23">
        <v>4000</v>
      </c>
      <c r="O42" s="23">
        <v>4000</v>
      </c>
    </row>
    <row r="43" spans="1:15">
      <c r="A43" s="33">
        <v>3131</v>
      </c>
      <c r="B43" s="22" t="s">
        <v>51</v>
      </c>
      <c r="C43" s="34">
        <f>SUM(D43:O43)</f>
        <v>5800</v>
      </c>
      <c r="D43" s="23">
        <v>5800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>
      <c r="A44" s="33">
        <v>3141</v>
      </c>
      <c r="B44" s="24" t="s">
        <v>52</v>
      </c>
      <c r="C44" s="34">
        <f>SUM(D44:O44)</f>
        <v>42000</v>
      </c>
      <c r="D44" s="31">
        <v>3500</v>
      </c>
      <c r="E44" s="31"/>
      <c r="F44" s="31">
        <v>7000</v>
      </c>
      <c r="G44" s="31">
        <v>3500</v>
      </c>
      <c r="H44" s="31">
        <v>3500</v>
      </c>
      <c r="I44" s="31">
        <v>3500</v>
      </c>
      <c r="J44" s="31">
        <v>3500</v>
      </c>
      <c r="K44" s="31">
        <v>3500</v>
      </c>
      <c r="L44" s="31">
        <v>3500</v>
      </c>
      <c r="M44" s="31">
        <v>3500</v>
      </c>
      <c r="N44" s="31">
        <v>3500</v>
      </c>
      <c r="O44" s="31">
        <v>3500</v>
      </c>
    </row>
    <row r="45" spans="1:15">
      <c r="A45" s="33">
        <v>3151</v>
      </c>
      <c r="B45" s="24" t="s">
        <v>53</v>
      </c>
      <c r="C45" s="34">
        <f>SUM(D45:O45)</f>
        <v>700</v>
      </c>
      <c r="D45" s="23"/>
      <c r="E45" s="23">
        <v>700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>
      <c r="A46" s="33">
        <v>3171</v>
      </c>
      <c r="B46" s="24" t="s">
        <v>54</v>
      </c>
      <c r="C46" s="34">
        <f t="shared" ref="C46:C65" si="11">SUM(D46:O46)</f>
        <v>18000</v>
      </c>
      <c r="D46" s="31">
        <v>1500</v>
      </c>
      <c r="E46" s="31"/>
      <c r="F46" s="31">
        <v>3000</v>
      </c>
      <c r="G46" s="31">
        <v>1500</v>
      </c>
      <c r="H46" s="31">
        <v>1500</v>
      </c>
      <c r="I46" s="31">
        <v>1500</v>
      </c>
      <c r="J46" s="31">
        <v>1500</v>
      </c>
      <c r="K46" s="31">
        <v>1500</v>
      </c>
      <c r="L46" s="31">
        <v>1500</v>
      </c>
      <c r="M46" s="31">
        <v>1500</v>
      </c>
      <c r="N46" s="31">
        <v>1500</v>
      </c>
      <c r="O46" s="31">
        <v>1500</v>
      </c>
    </row>
    <row r="47" spans="1:15">
      <c r="A47" s="33">
        <v>3181</v>
      </c>
      <c r="B47" s="24" t="s">
        <v>55</v>
      </c>
      <c r="C47" s="34">
        <f t="shared" si="11"/>
        <v>3900</v>
      </c>
      <c r="D47" s="31">
        <f>325*2</f>
        <v>650</v>
      </c>
      <c r="E47" s="31"/>
      <c r="F47" s="31">
        <v>325</v>
      </c>
      <c r="G47" s="31">
        <v>325</v>
      </c>
      <c r="H47" s="31">
        <v>325</v>
      </c>
      <c r="I47" s="31">
        <v>325</v>
      </c>
      <c r="J47" s="31">
        <v>325</v>
      </c>
      <c r="K47" s="31">
        <v>325</v>
      </c>
      <c r="L47" s="31">
        <v>325</v>
      </c>
      <c r="M47" s="31">
        <v>325</v>
      </c>
      <c r="N47" s="31">
        <v>325</v>
      </c>
      <c r="O47" s="31">
        <v>325</v>
      </c>
    </row>
    <row r="48" spans="1:15" s="169" customFormat="1">
      <c r="A48" s="166">
        <v>3221</v>
      </c>
      <c r="B48" s="167" t="s">
        <v>56</v>
      </c>
      <c r="C48" s="168">
        <f t="shared" si="11"/>
        <v>407160</v>
      </c>
      <c r="D48" s="168">
        <v>33930</v>
      </c>
      <c r="E48" s="168">
        <v>33930</v>
      </c>
      <c r="F48" s="168">
        <v>33930</v>
      </c>
      <c r="G48" s="168">
        <v>33930</v>
      </c>
      <c r="H48" s="168">
        <v>33930</v>
      </c>
      <c r="I48" s="168">
        <v>33930</v>
      </c>
      <c r="J48" s="168">
        <v>33930</v>
      </c>
      <c r="K48" s="168">
        <v>33930</v>
      </c>
      <c r="L48" s="168">
        <v>33930</v>
      </c>
      <c r="M48" s="168">
        <v>33930</v>
      </c>
      <c r="N48" s="168">
        <v>33930</v>
      </c>
      <c r="O48" s="168">
        <v>33930</v>
      </c>
    </row>
    <row r="49" spans="1:15">
      <c r="A49" s="33">
        <v>3311</v>
      </c>
      <c r="B49" s="24" t="s">
        <v>57</v>
      </c>
      <c r="C49" s="34">
        <f t="shared" si="11"/>
        <v>40000</v>
      </c>
      <c r="D49" s="23"/>
      <c r="E49" s="23"/>
      <c r="F49" s="23"/>
      <c r="G49" s="23"/>
      <c r="H49" s="23"/>
      <c r="I49" s="23">
        <v>40000</v>
      </c>
      <c r="J49" s="23"/>
      <c r="K49" s="23"/>
      <c r="L49" s="23"/>
      <c r="M49" s="23"/>
      <c r="N49" s="23"/>
      <c r="O49" s="23"/>
    </row>
    <row r="50" spans="1:15">
      <c r="A50" s="33">
        <v>3361</v>
      </c>
      <c r="B50" s="24" t="s">
        <v>58</v>
      </c>
      <c r="C50" s="34">
        <f t="shared" si="11"/>
        <v>4899.9966666666651</v>
      </c>
      <c r="D50" s="168">
        <f>408.333333333333+5.01</f>
        <v>413.34333333333296</v>
      </c>
      <c r="E50" s="168"/>
      <c r="F50" s="168">
        <f>408.333333333333+403.32</f>
        <v>811.65333333333297</v>
      </c>
      <c r="G50" s="168">
        <v>408.33333333333331</v>
      </c>
      <c r="H50" s="168">
        <v>408.33333333333331</v>
      </c>
      <c r="I50" s="168">
        <v>408.33333333333331</v>
      </c>
      <c r="J50" s="168">
        <v>408.33333333333331</v>
      </c>
      <c r="K50" s="168"/>
      <c r="L50" s="168">
        <f>408.333333333333*2</f>
        <v>816.66666666666595</v>
      </c>
      <c r="M50" s="168">
        <v>408.33333333333331</v>
      </c>
      <c r="N50" s="168">
        <v>408.33333333333331</v>
      </c>
      <c r="O50" s="168">
        <v>408.33333333333331</v>
      </c>
    </row>
    <row r="51" spans="1:15">
      <c r="A51" s="33">
        <v>3362</v>
      </c>
      <c r="B51" s="22" t="s">
        <v>59</v>
      </c>
      <c r="C51" s="34">
        <f t="shared" si="11"/>
        <v>12900</v>
      </c>
      <c r="D51" s="31"/>
      <c r="E51" s="31"/>
      <c r="F51" s="31">
        <f>1075+2150</f>
        <v>3225</v>
      </c>
      <c r="G51" s="31">
        <v>1075</v>
      </c>
      <c r="H51" s="31">
        <f>1075*2</f>
        <v>2150</v>
      </c>
      <c r="I51" s="31"/>
      <c r="J51" s="31">
        <v>1075</v>
      </c>
      <c r="K51" s="31"/>
      <c r="L51" s="31"/>
      <c r="M51" s="31">
        <f>1075+2150</f>
        <v>3225</v>
      </c>
      <c r="N51" s="31">
        <v>1075</v>
      </c>
      <c r="O51" s="31">
        <v>1075</v>
      </c>
    </row>
    <row r="52" spans="1:15">
      <c r="A52" s="33">
        <v>3381</v>
      </c>
      <c r="B52" s="22" t="s">
        <v>60</v>
      </c>
      <c r="C52" s="34">
        <f t="shared" si="11"/>
        <v>4500</v>
      </c>
      <c r="D52" s="31">
        <v>375</v>
      </c>
      <c r="E52" s="31">
        <v>375</v>
      </c>
      <c r="F52" s="31">
        <v>375</v>
      </c>
      <c r="G52" s="31">
        <v>375</v>
      </c>
      <c r="H52" s="168">
        <f>375+123.4</f>
        <v>498.4</v>
      </c>
      <c r="I52" s="168">
        <f>375-123.4</f>
        <v>251.6</v>
      </c>
      <c r="J52" s="31">
        <v>375</v>
      </c>
      <c r="K52" s="31">
        <v>375</v>
      </c>
      <c r="L52" s="31">
        <v>375</v>
      </c>
      <c r="M52" s="31">
        <v>375</v>
      </c>
      <c r="N52" s="31">
        <v>375</v>
      </c>
      <c r="O52" s="31">
        <v>375</v>
      </c>
    </row>
    <row r="53" spans="1:15">
      <c r="A53" s="33">
        <v>3411</v>
      </c>
      <c r="B53" s="24" t="s">
        <v>61</v>
      </c>
      <c r="C53" s="34">
        <f t="shared" si="11"/>
        <v>5927.0000000000009</v>
      </c>
      <c r="D53" s="168">
        <v>493.91666666666669</v>
      </c>
      <c r="E53" s="168">
        <v>493.91666666666669</v>
      </c>
      <c r="F53" s="168">
        <v>493.91666666666669</v>
      </c>
      <c r="G53" s="168">
        <v>493.91666666666669</v>
      </c>
      <c r="H53" s="168">
        <v>493.91666666666669</v>
      </c>
      <c r="I53" s="168">
        <v>493.91666666666669</v>
      </c>
      <c r="J53" s="168">
        <v>493.91666666666669</v>
      </c>
      <c r="K53" s="168">
        <v>493.91666666666669</v>
      </c>
      <c r="L53" s="168">
        <v>493.91666666666669</v>
      </c>
      <c r="M53" s="168">
        <v>493.91666666666669</v>
      </c>
      <c r="N53" s="168">
        <v>493.91666666666669</v>
      </c>
      <c r="O53" s="168">
        <v>493.91666666666669</v>
      </c>
    </row>
    <row r="54" spans="1:15">
      <c r="A54" s="33">
        <v>3451</v>
      </c>
      <c r="B54" s="24" t="s">
        <v>62</v>
      </c>
      <c r="C54" s="34">
        <f t="shared" si="11"/>
        <v>48000</v>
      </c>
      <c r="D54" s="23"/>
      <c r="E54" s="23">
        <v>8000</v>
      </c>
      <c r="F54" s="23"/>
      <c r="G54" s="23">
        <v>8000</v>
      </c>
      <c r="H54" s="23">
        <v>4000</v>
      </c>
      <c r="I54" s="23"/>
      <c r="J54" s="23">
        <v>8000</v>
      </c>
      <c r="K54" s="23"/>
      <c r="L54" s="23"/>
      <c r="M54" s="23">
        <v>12000</v>
      </c>
      <c r="N54" s="23">
        <v>4000</v>
      </c>
      <c r="O54" s="23">
        <v>4000</v>
      </c>
    </row>
    <row r="55" spans="1:15">
      <c r="A55" s="33">
        <v>3512</v>
      </c>
      <c r="B55" s="24" t="s">
        <v>63</v>
      </c>
      <c r="C55" s="35">
        <f t="shared" si="11"/>
        <v>60000</v>
      </c>
      <c r="D55" s="23">
        <v>12000</v>
      </c>
      <c r="E55" s="23"/>
      <c r="F55" s="23"/>
      <c r="G55" s="23"/>
      <c r="H55" s="23">
        <v>10000</v>
      </c>
      <c r="I55" s="23"/>
      <c r="J55" s="23">
        <v>5641.76</v>
      </c>
      <c r="K55" s="23"/>
      <c r="L55" s="23">
        <v>8093.35</v>
      </c>
      <c r="M55" s="23">
        <f>32358.24-8093.35-11943.21</f>
        <v>12321.68</v>
      </c>
      <c r="N55" s="23"/>
      <c r="O55" s="23">
        <v>11943.21</v>
      </c>
    </row>
    <row r="56" spans="1:15" ht="12" customHeight="1">
      <c r="A56" s="33">
        <v>3521</v>
      </c>
      <c r="B56" s="24" t="s">
        <v>64</v>
      </c>
      <c r="C56" s="34">
        <f t="shared" si="11"/>
        <v>6999.9999999999973</v>
      </c>
      <c r="D56" s="23"/>
      <c r="E56" s="23">
        <f>583.333333333333*2</f>
        <v>1166.6666666666661</v>
      </c>
      <c r="F56" s="23">
        <v>583.33333333333337</v>
      </c>
      <c r="G56" s="23">
        <f>583.333333333333-273.28</f>
        <v>310.05333333333306</v>
      </c>
      <c r="H56" s="23">
        <f>583.333333333333+273.28</f>
        <v>856.613333333333</v>
      </c>
      <c r="I56" s="23">
        <v>583.33333333333337</v>
      </c>
      <c r="J56" s="23">
        <v>583.33333333333337</v>
      </c>
      <c r="K56" s="23">
        <f>583.333333333333+455.01</f>
        <v>1038.343333333333</v>
      </c>
      <c r="L56" s="23">
        <f>-455.01+583.333333333333</f>
        <v>128.32333333333304</v>
      </c>
      <c r="M56" s="23">
        <v>583.33333333333337</v>
      </c>
      <c r="N56" s="23">
        <f>583.333333333333+471.68</f>
        <v>1055.0133333333331</v>
      </c>
      <c r="O56" s="23">
        <f>583.333333333333-471.68</f>
        <v>111.65333333333302</v>
      </c>
    </row>
    <row r="57" spans="1:15">
      <c r="A57" s="33">
        <v>3531</v>
      </c>
      <c r="B57" s="24" t="s">
        <v>65</v>
      </c>
      <c r="C57" s="34">
        <f t="shared" si="11"/>
        <v>72000</v>
      </c>
      <c r="D57" s="23"/>
      <c r="E57" s="23">
        <v>12000</v>
      </c>
      <c r="F57" s="23">
        <f>6000-4744.96</f>
        <v>1255.04</v>
      </c>
      <c r="G57" s="23">
        <f>6000+4744.96</f>
        <v>10744.96</v>
      </c>
      <c r="H57" s="23">
        <v>6000</v>
      </c>
      <c r="I57" s="23"/>
      <c r="J57" s="23"/>
      <c r="K57" s="23">
        <v>18000</v>
      </c>
      <c r="L57" s="23">
        <v>6000</v>
      </c>
      <c r="M57" s="23"/>
      <c r="N57" s="23">
        <v>12000</v>
      </c>
      <c r="O57" s="23">
        <v>6000</v>
      </c>
    </row>
    <row r="58" spans="1:15">
      <c r="A58" s="33">
        <v>3551</v>
      </c>
      <c r="B58" s="24" t="s">
        <v>66</v>
      </c>
      <c r="C58" s="34">
        <f t="shared" si="11"/>
        <v>24660</v>
      </c>
      <c r="D58" s="31">
        <v>7000</v>
      </c>
      <c r="E58" s="23">
        <f>14000-8003.32</f>
        <v>5996.68</v>
      </c>
      <c r="F58" s="23">
        <f>10000-6340+8003.32</f>
        <v>11663.32</v>
      </c>
      <c r="G58" s="31"/>
      <c r="H58" s="31"/>
      <c r="I58" s="31"/>
      <c r="J58" s="31"/>
      <c r="K58" s="31"/>
      <c r="L58" s="31"/>
      <c r="M58" s="31"/>
      <c r="N58" s="31"/>
      <c r="O58" s="31"/>
    </row>
    <row r="59" spans="1:15">
      <c r="A59" s="33">
        <v>3571</v>
      </c>
      <c r="B59" s="24" t="s">
        <v>67</v>
      </c>
      <c r="C59" s="34">
        <f t="shared" si="11"/>
        <v>2000</v>
      </c>
      <c r="D59" s="23"/>
      <c r="E59" s="23"/>
      <c r="F59" s="23"/>
      <c r="G59" s="23"/>
      <c r="H59" s="23"/>
      <c r="I59" s="23"/>
      <c r="J59" s="23"/>
      <c r="K59" s="23">
        <v>2000</v>
      </c>
      <c r="L59" s="23"/>
      <c r="M59" s="23"/>
      <c r="N59" s="23"/>
      <c r="O59" s="23"/>
    </row>
    <row r="60" spans="1:15">
      <c r="A60" s="33">
        <v>3581</v>
      </c>
      <c r="B60" s="32" t="s">
        <v>68</v>
      </c>
      <c r="C60" s="34">
        <f t="shared" si="11"/>
        <v>118320</v>
      </c>
      <c r="D60" s="23">
        <v>9860</v>
      </c>
      <c r="E60" s="23">
        <v>9860</v>
      </c>
      <c r="F60" s="23">
        <v>9860</v>
      </c>
      <c r="G60" s="23">
        <v>9860</v>
      </c>
      <c r="H60" s="23">
        <v>9860</v>
      </c>
      <c r="I60" s="23">
        <v>1030.08</v>
      </c>
      <c r="J60" s="23">
        <f>9860*2-1030.08</f>
        <v>18689.919999999998</v>
      </c>
      <c r="K60" s="23">
        <v>9860</v>
      </c>
      <c r="L60" s="23">
        <v>9860</v>
      </c>
      <c r="M60" s="23">
        <v>9860</v>
      </c>
      <c r="N60" s="23">
        <v>9860</v>
      </c>
      <c r="O60" s="23">
        <v>9860</v>
      </c>
    </row>
    <row r="61" spans="1:15">
      <c r="A61" s="33">
        <v>3711</v>
      </c>
      <c r="B61" s="24" t="s">
        <v>69</v>
      </c>
      <c r="C61" s="34">
        <f t="shared" si="11"/>
        <v>18000</v>
      </c>
      <c r="D61" s="23"/>
      <c r="E61" s="23">
        <v>3000</v>
      </c>
      <c r="F61" s="23">
        <v>1500</v>
      </c>
      <c r="G61" s="23">
        <v>1500</v>
      </c>
      <c r="H61" s="23">
        <v>1500</v>
      </c>
      <c r="I61" s="23"/>
      <c r="J61" s="23"/>
      <c r="K61" s="23"/>
      <c r="L61" s="23">
        <v>6000</v>
      </c>
      <c r="M61" s="23"/>
      <c r="N61" s="23">
        <v>3000</v>
      </c>
      <c r="O61" s="23">
        <v>1500</v>
      </c>
    </row>
    <row r="62" spans="1:15">
      <c r="A62" s="21">
        <v>3721</v>
      </c>
      <c r="B62" s="36" t="s">
        <v>70</v>
      </c>
      <c r="C62" s="34">
        <f t="shared" si="11"/>
        <v>6000</v>
      </c>
      <c r="D62" s="23"/>
      <c r="E62" s="23">
        <v>1000</v>
      </c>
      <c r="F62" s="23">
        <v>500</v>
      </c>
      <c r="G62" s="23">
        <v>500</v>
      </c>
      <c r="H62" s="23">
        <v>500</v>
      </c>
      <c r="I62" s="23">
        <v>500</v>
      </c>
      <c r="J62" s="23"/>
      <c r="K62" s="23">
        <v>1000</v>
      </c>
      <c r="L62" s="23">
        <v>500</v>
      </c>
      <c r="M62" s="23"/>
      <c r="N62" s="23">
        <v>1000</v>
      </c>
      <c r="O62" s="23">
        <v>500</v>
      </c>
    </row>
    <row r="63" spans="1:15">
      <c r="A63" s="33">
        <v>3751</v>
      </c>
      <c r="B63" s="24" t="s">
        <v>71</v>
      </c>
      <c r="C63" s="34">
        <f t="shared" si="11"/>
        <v>36000</v>
      </c>
      <c r="D63" s="23"/>
      <c r="E63" s="23">
        <v>6000</v>
      </c>
      <c r="F63" s="23"/>
      <c r="G63" s="23">
        <v>6000</v>
      </c>
      <c r="H63" s="23">
        <v>3000</v>
      </c>
      <c r="I63" s="23"/>
      <c r="J63" s="23"/>
      <c r="K63" s="23">
        <v>9000</v>
      </c>
      <c r="L63" s="23">
        <v>3000</v>
      </c>
      <c r="M63" s="23"/>
      <c r="N63" s="23">
        <v>6000</v>
      </c>
      <c r="O63" s="23">
        <v>3000</v>
      </c>
    </row>
    <row r="64" spans="1:15">
      <c r="A64" s="21">
        <v>3791</v>
      </c>
      <c r="B64" s="36" t="s">
        <v>72</v>
      </c>
      <c r="C64" s="34">
        <f t="shared" si="11"/>
        <v>1500</v>
      </c>
      <c r="D64" s="31"/>
      <c r="E64" s="31"/>
      <c r="F64" s="31"/>
      <c r="G64" s="31"/>
      <c r="H64" s="31"/>
      <c r="I64" s="31"/>
      <c r="J64" s="31"/>
      <c r="K64" s="31">
        <v>1500</v>
      </c>
      <c r="L64" s="31"/>
      <c r="M64" s="31"/>
      <c r="N64" s="31"/>
      <c r="O64" s="31"/>
    </row>
    <row r="65" spans="1:16">
      <c r="A65" s="33">
        <v>3921</v>
      </c>
      <c r="B65" s="22" t="s">
        <v>74</v>
      </c>
      <c r="C65" s="34">
        <f t="shared" si="11"/>
        <v>3000</v>
      </c>
      <c r="D65" s="23">
        <v>3000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6" s="28" customFormat="1" ht="12.75">
      <c r="A66" s="25"/>
      <c r="B66" s="26" t="s">
        <v>75</v>
      </c>
      <c r="C66" s="27">
        <f t="shared" ref="C66:O66" si="12">SUM(C42:C65)</f>
        <v>990266.9966666667</v>
      </c>
      <c r="D66" s="27">
        <f t="shared" si="12"/>
        <v>82522.259999999995</v>
      </c>
      <c r="E66" s="27">
        <f t="shared" si="12"/>
        <v>82522.263333333336</v>
      </c>
      <c r="F66" s="27">
        <f t="shared" si="12"/>
        <v>82522.263333333336</v>
      </c>
      <c r="G66" s="27">
        <f t="shared" si="12"/>
        <v>82522.263333333336</v>
      </c>
      <c r="H66" s="27">
        <f t="shared" si="12"/>
        <v>82522.263333333336</v>
      </c>
      <c r="I66" s="27">
        <f t="shared" si="12"/>
        <v>82522.263333333336</v>
      </c>
      <c r="J66" s="27">
        <f t="shared" si="12"/>
        <v>82522.263333333336</v>
      </c>
      <c r="K66" s="27">
        <f t="shared" si="12"/>
        <v>82522.259999999995</v>
      </c>
      <c r="L66" s="27">
        <f t="shared" si="12"/>
        <v>82522.256666666653</v>
      </c>
      <c r="M66" s="27">
        <f t="shared" si="12"/>
        <v>82522.263333333321</v>
      </c>
      <c r="N66" s="27">
        <f t="shared" si="12"/>
        <v>82522.263333333336</v>
      </c>
      <c r="O66" s="27">
        <f t="shared" si="12"/>
        <v>82522.113333333342</v>
      </c>
      <c r="P66" s="37"/>
    </row>
    <row r="67" spans="1:16">
      <c r="A67" s="29"/>
      <c r="B67" s="2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6" s="9" customFormat="1" ht="17.25" customHeight="1">
      <c r="A68" s="38"/>
      <c r="B68" s="39" t="s">
        <v>76</v>
      </c>
      <c r="C68" s="40">
        <f t="shared" ref="C68:O68" si="13">SUM(C66,C41,C26)</f>
        <v>7051298.9466666654</v>
      </c>
      <c r="D68" s="40">
        <f t="shared" si="13"/>
        <v>587608.255</v>
      </c>
      <c r="E68" s="40">
        <f t="shared" si="13"/>
        <v>587608.25833333342</v>
      </c>
      <c r="F68" s="40">
        <f t="shared" si="13"/>
        <v>587608.25833333342</v>
      </c>
      <c r="G68" s="40">
        <f t="shared" si="13"/>
        <v>587608.25833333342</v>
      </c>
      <c r="H68" s="40">
        <f t="shared" si="13"/>
        <v>587608.2583333333</v>
      </c>
      <c r="I68" s="40">
        <f t="shared" si="13"/>
        <v>587608.25833333342</v>
      </c>
      <c r="J68" s="40">
        <f t="shared" si="13"/>
        <v>587608.2583333333</v>
      </c>
      <c r="K68" s="40">
        <f t="shared" si="13"/>
        <v>587608.255</v>
      </c>
      <c r="L68" s="40">
        <f t="shared" si="13"/>
        <v>587608.2566666666</v>
      </c>
      <c r="M68" s="40">
        <f t="shared" si="13"/>
        <v>587608.2583333333</v>
      </c>
      <c r="N68" s="40">
        <f t="shared" si="13"/>
        <v>587608.26333333342</v>
      </c>
      <c r="O68" s="40">
        <f t="shared" si="13"/>
        <v>587608.1083333334</v>
      </c>
    </row>
    <row r="70" spans="1:16">
      <c r="B70" t="s">
        <v>238</v>
      </c>
      <c r="C70" s="41">
        <f>'Personal capacitado'!C27</f>
        <v>2484815</v>
      </c>
      <c r="D70" s="41"/>
      <c r="E70" s="41"/>
      <c r="F70" s="41"/>
      <c r="G70" s="41"/>
      <c r="H70" s="41"/>
      <c r="I70" s="41"/>
      <c r="J70" s="41"/>
    </row>
    <row r="71" spans="1:16">
      <c r="C71" s="165">
        <f>+C68+C70</f>
        <v>9536113.9466666654</v>
      </c>
    </row>
    <row r="74" spans="1:16">
      <c r="B74" t="s">
        <v>247</v>
      </c>
      <c r="C74" s="41">
        <f>9536114/12</f>
        <v>794676.16666666663</v>
      </c>
    </row>
    <row r="75" spans="1:16">
      <c r="B75" t="s">
        <v>248</v>
      </c>
      <c r="C75" s="41">
        <f>+C74/2</f>
        <v>397338.08333333331</v>
      </c>
    </row>
  </sheetData>
  <mergeCells count="5">
    <mergeCell ref="K6:O6"/>
    <mergeCell ref="A13:A14"/>
    <mergeCell ref="B13:B14"/>
    <mergeCell ref="C13:C14"/>
    <mergeCell ref="D13:O13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="66" zoomScaleNormal="66" workbookViewId="0">
      <selection activeCell="O18" sqref="O18"/>
    </sheetView>
  </sheetViews>
  <sheetFormatPr baseColWidth="10" defaultRowHeight="15"/>
  <cols>
    <col min="1" max="1" width="9.7109375" style="1" customWidth="1"/>
    <col min="2" max="2" width="38" customWidth="1"/>
    <col min="3" max="3" width="17.5703125" customWidth="1"/>
    <col min="4" max="5" width="15.7109375" customWidth="1"/>
    <col min="6" max="6" width="15.28515625" customWidth="1"/>
    <col min="7" max="7" width="15.85546875" customWidth="1"/>
    <col min="8" max="8" width="15.140625" customWidth="1"/>
    <col min="9" max="9" width="15.7109375" customWidth="1"/>
    <col min="10" max="10" width="16.85546875" customWidth="1"/>
    <col min="11" max="11" width="15.85546875" customWidth="1"/>
    <col min="12" max="12" width="15.140625" customWidth="1"/>
    <col min="13" max="13" width="14.7109375" customWidth="1"/>
    <col min="14" max="14" width="15.140625" customWidth="1"/>
    <col min="15" max="15" width="16" customWidth="1"/>
    <col min="257" max="257" width="9.7109375" customWidth="1"/>
    <col min="258" max="258" width="38" customWidth="1"/>
    <col min="259" max="259" width="15.5703125" customWidth="1"/>
    <col min="260" max="260" width="12.85546875" bestFit="1" customWidth="1"/>
    <col min="261" max="267" width="11.5703125" bestFit="1" customWidth="1"/>
    <col min="268" max="268" width="11.7109375" bestFit="1" customWidth="1"/>
    <col min="269" max="270" width="11.5703125" bestFit="1" customWidth="1"/>
    <col min="271" max="271" width="14" customWidth="1"/>
    <col min="513" max="513" width="9.7109375" customWidth="1"/>
    <col min="514" max="514" width="38" customWidth="1"/>
    <col min="515" max="515" width="15.5703125" customWidth="1"/>
    <col min="516" max="516" width="12.85546875" bestFit="1" customWidth="1"/>
    <col min="517" max="523" width="11.5703125" bestFit="1" customWidth="1"/>
    <col min="524" max="524" width="11.7109375" bestFit="1" customWidth="1"/>
    <col min="525" max="526" width="11.5703125" bestFit="1" customWidth="1"/>
    <col min="527" max="527" width="14" customWidth="1"/>
    <col min="769" max="769" width="9.7109375" customWidth="1"/>
    <col min="770" max="770" width="38" customWidth="1"/>
    <col min="771" max="771" width="15.5703125" customWidth="1"/>
    <col min="772" max="772" width="12.85546875" bestFit="1" customWidth="1"/>
    <col min="773" max="779" width="11.5703125" bestFit="1" customWidth="1"/>
    <col min="780" max="780" width="11.7109375" bestFit="1" customWidth="1"/>
    <col min="781" max="782" width="11.5703125" bestFit="1" customWidth="1"/>
    <col min="783" max="783" width="14" customWidth="1"/>
    <col min="1025" max="1025" width="9.7109375" customWidth="1"/>
    <col min="1026" max="1026" width="38" customWidth="1"/>
    <col min="1027" max="1027" width="15.5703125" customWidth="1"/>
    <col min="1028" max="1028" width="12.85546875" bestFit="1" customWidth="1"/>
    <col min="1029" max="1035" width="11.5703125" bestFit="1" customWidth="1"/>
    <col min="1036" max="1036" width="11.7109375" bestFit="1" customWidth="1"/>
    <col min="1037" max="1038" width="11.5703125" bestFit="1" customWidth="1"/>
    <col min="1039" max="1039" width="14" customWidth="1"/>
    <col min="1281" max="1281" width="9.7109375" customWidth="1"/>
    <col min="1282" max="1282" width="38" customWidth="1"/>
    <col min="1283" max="1283" width="15.5703125" customWidth="1"/>
    <col min="1284" max="1284" width="12.85546875" bestFit="1" customWidth="1"/>
    <col min="1285" max="1291" width="11.5703125" bestFit="1" customWidth="1"/>
    <col min="1292" max="1292" width="11.7109375" bestFit="1" customWidth="1"/>
    <col min="1293" max="1294" width="11.5703125" bestFit="1" customWidth="1"/>
    <col min="1295" max="1295" width="14" customWidth="1"/>
    <col min="1537" max="1537" width="9.7109375" customWidth="1"/>
    <col min="1538" max="1538" width="38" customWidth="1"/>
    <col min="1539" max="1539" width="15.5703125" customWidth="1"/>
    <col min="1540" max="1540" width="12.85546875" bestFit="1" customWidth="1"/>
    <col min="1541" max="1547" width="11.5703125" bestFit="1" customWidth="1"/>
    <col min="1548" max="1548" width="11.7109375" bestFit="1" customWidth="1"/>
    <col min="1549" max="1550" width="11.5703125" bestFit="1" customWidth="1"/>
    <col min="1551" max="1551" width="14" customWidth="1"/>
    <col min="1793" max="1793" width="9.7109375" customWidth="1"/>
    <col min="1794" max="1794" width="38" customWidth="1"/>
    <col min="1795" max="1795" width="15.5703125" customWidth="1"/>
    <col min="1796" max="1796" width="12.85546875" bestFit="1" customWidth="1"/>
    <col min="1797" max="1803" width="11.5703125" bestFit="1" customWidth="1"/>
    <col min="1804" max="1804" width="11.7109375" bestFit="1" customWidth="1"/>
    <col min="1805" max="1806" width="11.5703125" bestFit="1" customWidth="1"/>
    <col min="1807" max="1807" width="14" customWidth="1"/>
    <col min="2049" max="2049" width="9.7109375" customWidth="1"/>
    <col min="2050" max="2050" width="38" customWidth="1"/>
    <col min="2051" max="2051" width="15.5703125" customWidth="1"/>
    <col min="2052" max="2052" width="12.85546875" bestFit="1" customWidth="1"/>
    <col min="2053" max="2059" width="11.5703125" bestFit="1" customWidth="1"/>
    <col min="2060" max="2060" width="11.7109375" bestFit="1" customWidth="1"/>
    <col min="2061" max="2062" width="11.5703125" bestFit="1" customWidth="1"/>
    <col min="2063" max="2063" width="14" customWidth="1"/>
    <col min="2305" max="2305" width="9.7109375" customWidth="1"/>
    <col min="2306" max="2306" width="38" customWidth="1"/>
    <col min="2307" max="2307" width="15.5703125" customWidth="1"/>
    <col min="2308" max="2308" width="12.85546875" bestFit="1" customWidth="1"/>
    <col min="2309" max="2315" width="11.5703125" bestFit="1" customWidth="1"/>
    <col min="2316" max="2316" width="11.7109375" bestFit="1" customWidth="1"/>
    <col min="2317" max="2318" width="11.5703125" bestFit="1" customWidth="1"/>
    <col min="2319" max="2319" width="14" customWidth="1"/>
    <col min="2561" max="2561" width="9.7109375" customWidth="1"/>
    <col min="2562" max="2562" width="38" customWidth="1"/>
    <col min="2563" max="2563" width="15.5703125" customWidth="1"/>
    <col min="2564" max="2564" width="12.85546875" bestFit="1" customWidth="1"/>
    <col min="2565" max="2571" width="11.5703125" bestFit="1" customWidth="1"/>
    <col min="2572" max="2572" width="11.7109375" bestFit="1" customWidth="1"/>
    <col min="2573" max="2574" width="11.5703125" bestFit="1" customWidth="1"/>
    <col min="2575" max="2575" width="14" customWidth="1"/>
    <col min="2817" max="2817" width="9.7109375" customWidth="1"/>
    <col min="2818" max="2818" width="38" customWidth="1"/>
    <col min="2819" max="2819" width="15.5703125" customWidth="1"/>
    <col min="2820" max="2820" width="12.85546875" bestFit="1" customWidth="1"/>
    <col min="2821" max="2827" width="11.5703125" bestFit="1" customWidth="1"/>
    <col min="2828" max="2828" width="11.7109375" bestFit="1" customWidth="1"/>
    <col min="2829" max="2830" width="11.5703125" bestFit="1" customWidth="1"/>
    <col min="2831" max="2831" width="14" customWidth="1"/>
    <col min="3073" max="3073" width="9.7109375" customWidth="1"/>
    <col min="3074" max="3074" width="38" customWidth="1"/>
    <col min="3075" max="3075" width="15.5703125" customWidth="1"/>
    <col min="3076" max="3076" width="12.85546875" bestFit="1" customWidth="1"/>
    <col min="3077" max="3083" width="11.5703125" bestFit="1" customWidth="1"/>
    <col min="3084" max="3084" width="11.7109375" bestFit="1" customWidth="1"/>
    <col min="3085" max="3086" width="11.5703125" bestFit="1" customWidth="1"/>
    <col min="3087" max="3087" width="14" customWidth="1"/>
    <col min="3329" max="3329" width="9.7109375" customWidth="1"/>
    <col min="3330" max="3330" width="38" customWidth="1"/>
    <col min="3331" max="3331" width="15.5703125" customWidth="1"/>
    <col min="3332" max="3332" width="12.85546875" bestFit="1" customWidth="1"/>
    <col min="3333" max="3339" width="11.5703125" bestFit="1" customWidth="1"/>
    <col min="3340" max="3340" width="11.7109375" bestFit="1" customWidth="1"/>
    <col min="3341" max="3342" width="11.5703125" bestFit="1" customWidth="1"/>
    <col min="3343" max="3343" width="14" customWidth="1"/>
    <col min="3585" max="3585" width="9.7109375" customWidth="1"/>
    <col min="3586" max="3586" width="38" customWidth="1"/>
    <col min="3587" max="3587" width="15.5703125" customWidth="1"/>
    <col min="3588" max="3588" width="12.85546875" bestFit="1" customWidth="1"/>
    <col min="3589" max="3595" width="11.5703125" bestFit="1" customWidth="1"/>
    <col min="3596" max="3596" width="11.7109375" bestFit="1" customWidth="1"/>
    <col min="3597" max="3598" width="11.5703125" bestFit="1" customWidth="1"/>
    <col min="3599" max="3599" width="14" customWidth="1"/>
    <col min="3841" max="3841" width="9.7109375" customWidth="1"/>
    <col min="3842" max="3842" width="38" customWidth="1"/>
    <col min="3843" max="3843" width="15.5703125" customWidth="1"/>
    <col min="3844" max="3844" width="12.85546875" bestFit="1" customWidth="1"/>
    <col min="3845" max="3851" width="11.5703125" bestFit="1" customWidth="1"/>
    <col min="3852" max="3852" width="11.7109375" bestFit="1" customWidth="1"/>
    <col min="3853" max="3854" width="11.5703125" bestFit="1" customWidth="1"/>
    <col min="3855" max="3855" width="14" customWidth="1"/>
    <col min="4097" max="4097" width="9.7109375" customWidth="1"/>
    <col min="4098" max="4098" width="38" customWidth="1"/>
    <col min="4099" max="4099" width="15.5703125" customWidth="1"/>
    <col min="4100" max="4100" width="12.85546875" bestFit="1" customWidth="1"/>
    <col min="4101" max="4107" width="11.5703125" bestFit="1" customWidth="1"/>
    <col min="4108" max="4108" width="11.7109375" bestFit="1" customWidth="1"/>
    <col min="4109" max="4110" width="11.5703125" bestFit="1" customWidth="1"/>
    <col min="4111" max="4111" width="14" customWidth="1"/>
    <col min="4353" max="4353" width="9.7109375" customWidth="1"/>
    <col min="4354" max="4354" width="38" customWidth="1"/>
    <col min="4355" max="4355" width="15.5703125" customWidth="1"/>
    <col min="4356" max="4356" width="12.85546875" bestFit="1" customWidth="1"/>
    <col min="4357" max="4363" width="11.5703125" bestFit="1" customWidth="1"/>
    <col min="4364" max="4364" width="11.7109375" bestFit="1" customWidth="1"/>
    <col min="4365" max="4366" width="11.5703125" bestFit="1" customWidth="1"/>
    <col min="4367" max="4367" width="14" customWidth="1"/>
    <col min="4609" max="4609" width="9.7109375" customWidth="1"/>
    <col min="4610" max="4610" width="38" customWidth="1"/>
    <col min="4611" max="4611" width="15.5703125" customWidth="1"/>
    <col min="4612" max="4612" width="12.85546875" bestFit="1" customWidth="1"/>
    <col min="4613" max="4619" width="11.5703125" bestFit="1" customWidth="1"/>
    <col min="4620" max="4620" width="11.7109375" bestFit="1" customWidth="1"/>
    <col min="4621" max="4622" width="11.5703125" bestFit="1" customWidth="1"/>
    <col min="4623" max="4623" width="14" customWidth="1"/>
    <col min="4865" max="4865" width="9.7109375" customWidth="1"/>
    <col min="4866" max="4866" width="38" customWidth="1"/>
    <col min="4867" max="4867" width="15.5703125" customWidth="1"/>
    <col min="4868" max="4868" width="12.85546875" bestFit="1" customWidth="1"/>
    <col min="4869" max="4875" width="11.5703125" bestFit="1" customWidth="1"/>
    <col min="4876" max="4876" width="11.7109375" bestFit="1" customWidth="1"/>
    <col min="4877" max="4878" width="11.5703125" bestFit="1" customWidth="1"/>
    <col min="4879" max="4879" width="14" customWidth="1"/>
    <col min="5121" max="5121" width="9.7109375" customWidth="1"/>
    <col min="5122" max="5122" width="38" customWidth="1"/>
    <col min="5123" max="5123" width="15.5703125" customWidth="1"/>
    <col min="5124" max="5124" width="12.85546875" bestFit="1" customWidth="1"/>
    <col min="5125" max="5131" width="11.5703125" bestFit="1" customWidth="1"/>
    <col min="5132" max="5132" width="11.7109375" bestFit="1" customWidth="1"/>
    <col min="5133" max="5134" width="11.5703125" bestFit="1" customWidth="1"/>
    <col min="5135" max="5135" width="14" customWidth="1"/>
    <col min="5377" max="5377" width="9.7109375" customWidth="1"/>
    <col min="5378" max="5378" width="38" customWidth="1"/>
    <col min="5379" max="5379" width="15.5703125" customWidth="1"/>
    <col min="5380" max="5380" width="12.85546875" bestFit="1" customWidth="1"/>
    <col min="5381" max="5387" width="11.5703125" bestFit="1" customWidth="1"/>
    <col min="5388" max="5388" width="11.7109375" bestFit="1" customWidth="1"/>
    <col min="5389" max="5390" width="11.5703125" bestFit="1" customWidth="1"/>
    <col min="5391" max="5391" width="14" customWidth="1"/>
    <col min="5633" max="5633" width="9.7109375" customWidth="1"/>
    <col min="5634" max="5634" width="38" customWidth="1"/>
    <col min="5635" max="5635" width="15.5703125" customWidth="1"/>
    <col min="5636" max="5636" width="12.85546875" bestFit="1" customWidth="1"/>
    <col min="5637" max="5643" width="11.5703125" bestFit="1" customWidth="1"/>
    <col min="5644" max="5644" width="11.7109375" bestFit="1" customWidth="1"/>
    <col min="5645" max="5646" width="11.5703125" bestFit="1" customWidth="1"/>
    <col min="5647" max="5647" width="14" customWidth="1"/>
    <col min="5889" max="5889" width="9.7109375" customWidth="1"/>
    <col min="5890" max="5890" width="38" customWidth="1"/>
    <col min="5891" max="5891" width="15.5703125" customWidth="1"/>
    <col min="5892" max="5892" width="12.85546875" bestFit="1" customWidth="1"/>
    <col min="5893" max="5899" width="11.5703125" bestFit="1" customWidth="1"/>
    <col min="5900" max="5900" width="11.7109375" bestFit="1" customWidth="1"/>
    <col min="5901" max="5902" width="11.5703125" bestFit="1" customWidth="1"/>
    <col min="5903" max="5903" width="14" customWidth="1"/>
    <col min="6145" max="6145" width="9.7109375" customWidth="1"/>
    <col min="6146" max="6146" width="38" customWidth="1"/>
    <col min="6147" max="6147" width="15.5703125" customWidth="1"/>
    <col min="6148" max="6148" width="12.85546875" bestFit="1" customWidth="1"/>
    <col min="6149" max="6155" width="11.5703125" bestFit="1" customWidth="1"/>
    <col min="6156" max="6156" width="11.7109375" bestFit="1" customWidth="1"/>
    <col min="6157" max="6158" width="11.5703125" bestFit="1" customWidth="1"/>
    <col min="6159" max="6159" width="14" customWidth="1"/>
    <col min="6401" max="6401" width="9.7109375" customWidth="1"/>
    <col min="6402" max="6402" width="38" customWidth="1"/>
    <col min="6403" max="6403" width="15.5703125" customWidth="1"/>
    <col min="6404" max="6404" width="12.85546875" bestFit="1" customWidth="1"/>
    <col min="6405" max="6411" width="11.5703125" bestFit="1" customWidth="1"/>
    <col min="6412" max="6412" width="11.7109375" bestFit="1" customWidth="1"/>
    <col min="6413" max="6414" width="11.5703125" bestFit="1" customWidth="1"/>
    <col min="6415" max="6415" width="14" customWidth="1"/>
    <col min="6657" max="6657" width="9.7109375" customWidth="1"/>
    <col min="6658" max="6658" width="38" customWidth="1"/>
    <col min="6659" max="6659" width="15.5703125" customWidth="1"/>
    <col min="6660" max="6660" width="12.85546875" bestFit="1" customWidth="1"/>
    <col min="6661" max="6667" width="11.5703125" bestFit="1" customWidth="1"/>
    <col min="6668" max="6668" width="11.7109375" bestFit="1" customWidth="1"/>
    <col min="6669" max="6670" width="11.5703125" bestFit="1" customWidth="1"/>
    <col min="6671" max="6671" width="14" customWidth="1"/>
    <col min="6913" max="6913" width="9.7109375" customWidth="1"/>
    <col min="6914" max="6914" width="38" customWidth="1"/>
    <col min="6915" max="6915" width="15.5703125" customWidth="1"/>
    <col min="6916" max="6916" width="12.85546875" bestFit="1" customWidth="1"/>
    <col min="6917" max="6923" width="11.5703125" bestFit="1" customWidth="1"/>
    <col min="6924" max="6924" width="11.7109375" bestFit="1" customWidth="1"/>
    <col min="6925" max="6926" width="11.5703125" bestFit="1" customWidth="1"/>
    <col min="6927" max="6927" width="14" customWidth="1"/>
    <col min="7169" max="7169" width="9.7109375" customWidth="1"/>
    <col min="7170" max="7170" width="38" customWidth="1"/>
    <col min="7171" max="7171" width="15.5703125" customWidth="1"/>
    <col min="7172" max="7172" width="12.85546875" bestFit="1" customWidth="1"/>
    <col min="7173" max="7179" width="11.5703125" bestFit="1" customWidth="1"/>
    <col min="7180" max="7180" width="11.7109375" bestFit="1" customWidth="1"/>
    <col min="7181" max="7182" width="11.5703125" bestFit="1" customWidth="1"/>
    <col min="7183" max="7183" width="14" customWidth="1"/>
    <col min="7425" max="7425" width="9.7109375" customWidth="1"/>
    <col min="7426" max="7426" width="38" customWidth="1"/>
    <col min="7427" max="7427" width="15.5703125" customWidth="1"/>
    <col min="7428" max="7428" width="12.85546875" bestFit="1" customWidth="1"/>
    <col min="7429" max="7435" width="11.5703125" bestFit="1" customWidth="1"/>
    <col min="7436" max="7436" width="11.7109375" bestFit="1" customWidth="1"/>
    <col min="7437" max="7438" width="11.5703125" bestFit="1" customWidth="1"/>
    <col min="7439" max="7439" width="14" customWidth="1"/>
    <col min="7681" max="7681" width="9.7109375" customWidth="1"/>
    <col min="7682" max="7682" width="38" customWidth="1"/>
    <col min="7683" max="7683" width="15.5703125" customWidth="1"/>
    <col min="7684" max="7684" width="12.85546875" bestFit="1" customWidth="1"/>
    <col min="7685" max="7691" width="11.5703125" bestFit="1" customWidth="1"/>
    <col min="7692" max="7692" width="11.7109375" bestFit="1" customWidth="1"/>
    <col min="7693" max="7694" width="11.5703125" bestFit="1" customWidth="1"/>
    <col min="7695" max="7695" width="14" customWidth="1"/>
    <col min="7937" max="7937" width="9.7109375" customWidth="1"/>
    <col min="7938" max="7938" width="38" customWidth="1"/>
    <col min="7939" max="7939" width="15.5703125" customWidth="1"/>
    <col min="7940" max="7940" width="12.85546875" bestFit="1" customWidth="1"/>
    <col min="7941" max="7947" width="11.5703125" bestFit="1" customWidth="1"/>
    <col min="7948" max="7948" width="11.7109375" bestFit="1" customWidth="1"/>
    <col min="7949" max="7950" width="11.5703125" bestFit="1" customWidth="1"/>
    <col min="7951" max="7951" width="14" customWidth="1"/>
    <col min="8193" max="8193" width="9.7109375" customWidth="1"/>
    <col min="8194" max="8194" width="38" customWidth="1"/>
    <col min="8195" max="8195" width="15.5703125" customWidth="1"/>
    <col min="8196" max="8196" width="12.85546875" bestFit="1" customWidth="1"/>
    <col min="8197" max="8203" width="11.5703125" bestFit="1" customWidth="1"/>
    <col min="8204" max="8204" width="11.7109375" bestFit="1" customWidth="1"/>
    <col min="8205" max="8206" width="11.5703125" bestFit="1" customWidth="1"/>
    <col min="8207" max="8207" width="14" customWidth="1"/>
    <col min="8449" max="8449" width="9.7109375" customWidth="1"/>
    <col min="8450" max="8450" width="38" customWidth="1"/>
    <col min="8451" max="8451" width="15.5703125" customWidth="1"/>
    <col min="8452" max="8452" width="12.85546875" bestFit="1" customWidth="1"/>
    <col min="8453" max="8459" width="11.5703125" bestFit="1" customWidth="1"/>
    <col min="8460" max="8460" width="11.7109375" bestFit="1" customWidth="1"/>
    <col min="8461" max="8462" width="11.5703125" bestFit="1" customWidth="1"/>
    <col min="8463" max="8463" width="14" customWidth="1"/>
    <col min="8705" max="8705" width="9.7109375" customWidth="1"/>
    <col min="8706" max="8706" width="38" customWidth="1"/>
    <col min="8707" max="8707" width="15.5703125" customWidth="1"/>
    <col min="8708" max="8708" width="12.85546875" bestFit="1" customWidth="1"/>
    <col min="8709" max="8715" width="11.5703125" bestFit="1" customWidth="1"/>
    <col min="8716" max="8716" width="11.7109375" bestFit="1" customWidth="1"/>
    <col min="8717" max="8718" width="11.5703125" bestFit="1" customWidth="1"/>
    <col min="8719" max="8719" width="14" customWidth="1"/>
    <col min="8961" max="8961" width="9.7109375" customWidth="1"/>
    <col min="8962" max="8962" width="38" customWidth="1"/>
    <col min="8963" max="8963" width="15.5703125" customWidth="1"/>
    <col min="8964" max="8964" width="12.85546875" bestFit="1" customWidth="1"/>
    <col min="8965" max="8971" width="11.5703125" bestFit="1" customWidth="1"/>
    <col min="8972" max="8972" width="11.7109375" bestFit="1" customWidth="1"/>
    <col min="8973" max="8974" width="11.5703125" bestFit="1" customWidth="1"/>
    <col min="8975" max="8975" width="14" customWidth="1"/>
    <col min="9217" max="9217" width="9.7109375" customWidth="1"/>
    <col min="9218" max="9218" width="38" customWidth="1"/>
    <col min="9219" max="9219" width="15.5703125" customWidth="1"/>
    <col min="9220" max="9220" width="12.85546875" bestFit="1" customWidth="1"/>
    <col min="9221" max="9227" width="11.5703125" bestFit="1" customWidth="1"/>
    <col min="9228" max="9228" width="11.7109375" bestFit="1" customWidth="1"/>
    <col min="9229" max="9230" width="11.5703125" bestFit="1" customWidth="1"/>
    <col min="9231" max="9231" width="14" customWidth="1"/>
    <col min="9473" max="9473" width="9.7109375" customWidth="1"/>
    <col min="9474" max="9474" width="38" customWidth="1"/>
    <col min="9475" max="9475" width="15.5703125" customWidth="1"/>
    <col min="9476" max="9476" width="12.85546875" bestFit="1" customWidth="1"/>
    <col min="9477" max="9483" width="11.5703125" bestFit="1" customWidth="1"/>
    <col min="9484" max="9484" width="11.7109375" bestFit="1" customWidth="1"/>
    <col min="9485" max="9486" width="11.5703125" bestFit="1" customWidth="1"/>
    <col min="9487" max="9487" width="14" customWidth="1"/>
    <col min="9729" max="9729" width="9.7109375" customWidth="1"/>
    <col min="9730" max="9730" width="38" customWidth="1"/>
    <col min="9731" max="9731" width="15.5703125" customWidth="1"/>
    <col min="9732" max="9732" width="12.85546875" bestFit="1" customWidth="1"/>
    <col min="9733" max="9739" width="11.5703125" bestFit="1" customWidth="1"/>
    <col min="9740" max="9740" width="11.7109375" bestFit="1" customWidth="1"/>
    <col min="9741" max="9742" width="11.5703125" bestFit="1" customWidth="1"/>
    <col min="9743" max="9743" width="14" customWidth="1"/>
    <col min="9985" max="9985" width="9.7109375" customWidth="1"/>
    <col min="9986" max="9986" width="38" customWidth="1"/>
    <col min="9987" max="9987" width="15.5703125" customWidth="1"/>
    <col min="9988" max="9988" width="12.85546875" bestFit="1" customWidth="1"/>
    <col min="9989" max="9995" width="11.5703125" bestFit="1" customWidth="1"/>
    <col min="9996" max="9996" width="11.7109375" bestFit="1" customWidth="1"/>
    <col min="9997" max="9998" width="11.5703125" bestFit="1" customWidth="1"/>
    <col min="9999" max="9999" width="14" customWidth="1"/>
    <col min="10241" max="10241" width="9.7109375" customWidth="1"/>
    <col min="10242" max="10242" width="38" customWidth="1"/>
    <col min="10243" max="10243" width="15.5703125" customWidth="1"/>
    <col min="10244" max="10244" width="12.85546875" bestFit="1" customWidth="1"/>
    <col min="10245" max="10251" width="11.5703125" bestFit="1" customWidth="1"/>
    <col min="10252" max="10252" width="11.7109375" bestFit="1" customWidth="1"/>
    <col min="10253" max="10254" width="11.5703125" bestFit="1" customWidth="1"/>
    <col min="10255" max="10255" width="14" customWidth="1"/>
    <col min="10497" max="10497" width="9.7109375" customWidth="1"/>
    <col min="10498" max="10498" width="38" customWidth="1"/>
    <col min="10499" max="10499" width="15.5703125" customWidth="1"/>
    <col min="10500" max="10500" width="12.85546875" bestFit="1" customWidth="1"/>
    <col min="10501" max="10507" width="11.5703125" bestFit="1" customWidth="1"/>
    <col min="10508" max="10508" width="11.7109375" bestFit="1" customWidth="1"/>
    <col min="10509" max="10510" width="11.5703125" bestFit="1" customWidth="1"/>
    <col min="10511" max="10511" width="14" customWidth="1"/>
    <col min="10753" max="10753" width="9.7109375" customWidth="1"/>
    <col min="10754" max="10754" width="38" customWidth="1"/>
    <col min="10755" max="10755" width="15.5703125" customWidth="1"/>
    <col min="10756" max="10756" width="12.85546875" bestFit="1" customWidth="1"/>
    <col min="10757" max="10763" width="11.5703125" bestFit="1" customWidth="1"/>
    <col min="10764" max="10764" width="11.7109375" bestFit="1" customWidth="1"/>
    <col min="10765" max="10766" width="11.5703125" bestFit="1" customWidth="1"/>
    <col min="10767" max="10767" width="14" customWidth="1"/>
    <col min="11009" max="11009" width="9.7109375" customWidth="1"/>
    <col min="11010" max="11010" width="38" customWidth="1"/>
    <col min="11011" max="11011" width="15.5703125" customWidth="1"/>
    <col min="11012" max="11012" width="12.85546875" bestFit="1" customWidth="1"/>
    <col min="11013" max="11019" width="11.5703125" bestFit="1" customWidth="1"/>
    <col min="11020" max="11020" width="11.7109375" bestFit="1" customWidth="1"/>
    <col min="11021" max="11022" width="11.5703125" bestFit="1" customWidth="1"/>
    <col min="11023" max="11023" width="14" customWidth="1"/>
    <col min="11265" max="11265" width="9.7109375" customWidth="1"/>
    <col min="11266" max="11266" width="38" customWidth="1"/>
    <col min="11267" max="11267" width="15.5703125" customWidth="1"/>
    <col min="11268" max="11268" width="12.85546875" bestFit="1" customWidth="1"/>
    <col min="11269" max="11275" width="11.5703125" bestFit="1" customWidth="1"/>
    <col min="11276" max="11276" width="11.7109375" bestFit="1" customWidth="1"/>
    <col min="11277" max="11278" width="11.5703125" bestFit="1" customWidth="1"/>
    <col min="11279" max="11279" width="14" customWidth="1"/>
    <col min="11521" max="11521" width="9.7109375" customWidth="1"/>
    <col min="11522" max="11522" width="38" customWidth="1"/>
    <col min="11523" max="11523" width="15.5703125" customWidth="1"/>
    <col min="11524" max="11524" width="12.85546875" bestFit="1" customWidth="1"/>
    <col min="11525" max="11531" width="11.5703125" bestFit="1" customWidth="1"/>
    <col min="11532" max="11532" width="11.7109375" bestFit="1" customWidth="1"/>
    <col min="11533" max="11534" width="11.5703125" bestFit="1" customWidth="1"/>
    <col min="11535" max="11535" width="14" customWidth="1"/>
    <col min="11777" max="11777" width="9.7109375" customWidth="1"/>
    <col min="11778" max="11778" width="38" customWidth="1"/>
    <col min="11779" max="11779" width="15.5703125" customWidth="1"/>
    <col min="11780" max="11780" width="12.85546875" bestFit="1" customWidth="1"/>
    <col min="11781" max="11787" width="11.5703125" bestFit="1" customWidth="1"/>
    <col min="11788" max="11788" width="11.7109375" bestFit="1" customWidth="1"/>
    <col min="11789" max="11790" width="11.5703125" bestFit="1" customWidth="1"/>
    <col min="11791" max="11791" width="14" customWidth="1"/>
    <col min="12033" max="12033" width="9.7109375" customWidth="1"/>
    <col min="12034" max="12034" width="38" customWidth="1"/>
    <col min="12035" max="12035" width="15.5703125" customWidth="1"/>
    <col min="12036" max="12036" width="12.85546875" bestFit="1" customWidth="1"/>
    <col min="12037" max="12043" width="11.5703125" bestFit="1" customWidth="1"/>
    <col min="12044" max="12044" width="11.7109375" bestFit="1" customWidth="1"/>
    <col min="12045" max="12046" width="11.5703125" bestFit="1" customWidth="1"/>
    <col min="12047" max="12047" width="14" customWidth="1"/>
    <col min="12289" max="12289" width="9.7109375" customWidth="1"/>
    <col min="12290" max="12290" width="38" customWidth="1"/>
    <col min="12291" max="12291" width="15.5703125" customWidth="1"/>
    <col min="12292" max="12292" width="12.85546875" bestFit="1" customWidth="1"/>
    <col min="12293" max="12299" width="11.5703125" bestFit="1" customWidth="1"/>
    <col min="12300" max="12300" width="11.7109375" bestFit="1" customWidth="1"/>
    <col min="12301" max="12302" width="11.5703125" bestFit="1" customWidth="1"/>
    <col min="12303" max="12303" width="14" customWidth="1"/>
    <col min="12545" max="12545" width="9.7109375" customWidth="1"/>
    <col min="12546" max="12546" width="38" customWidth="1"/>
    <col min="12547" max="12547" width="15.5703125" customWidth="1"/>
    <col min="12548" max="12548" width="12.85546875" bestFit="1" customWidth="1"/>
    <col min="12549" max="12555" width="11.5703125" bestFit="1" customWidth="1"/>
    <col min="12556" max="12556" width="11.7109375" bestFit="1" customWidth="1"/>
    <col min="12557" max="12558" width="11.5703125" bestFit="1" customWidth="1"/>
    <col min="12559" max="12559" width="14" customWidth="1"/>
    <col min="12801" max="12801" width="9.7109375" customWidth="1"/>
    <col min="12802" max="12802" width="38" customWidth="1"/>
    <col min="12803" max="12803" width="15.5703125" customWidth="1"/>
    <col min="12804" max="12804" width="12.85546875" bestFit="1" customWidth="1"/>
    <col min="12805" max="12811" width="11.5703125" bestFit="1" customWidth="1"/>
    <col min="12812" max="12812" width="11.7109375" bestFit="1" customWidth="1"/>
    <col min="12813" max="12814" width="11.5703125" bestFit="1" customWidth="1"/>
    <col min="12815" max="12815" width="14" customWidth="1"/>
    <col min="13057" max="13057" width="9.7109375" customWidth="1"/>
    <col min="13058" max="13058" width="38" customWidth="1"/>
    <col min="13059" max="13059" width="15.5703125" customWidth="1"/>
    <col min="13060" max="13060" width="12.85546875" bestFit="1" customWidth="1"/>
    <col min="13061" max="13067" width="11.5703125" bestFit="1" customWidth="1"/>
    <col min="13068" max="13068" width="11.7109375" bestFit="1" customWidth="1"/>
    <col min="13069" max="13070" width="11.5703125" bestFit="1" customWidth="1"/>
    <col min="13071" max="13071" width="14" customWidth="1"/>
    <col min="13313" max="13313" width="9.7109375" customWidth="1"/>
    <col min="13314" max="13314" width="38" customWidth="1"/>
    <col min="13315" max="13315" width="15.5703125" customWidth="1"/>
    <col min="13316" max="13316" width="12.85546875" bestFit="1" customWidth="1"/>
    <col min="13317" max="13323" width="11.5703125" bestFit="1" customWidth="1"/>
    <col min="13324" max="13324" width="11.7109375" bestFit="1" customWidth="1"/>
    <col min="13325" max="13326" width="11.5703125" bestFit="1" customWidth="1"/>
    <col min="13327" max="13327" width="14" customWidth="1"/>
    <col min="13569" max="13569" width="9.7109375" customWidth="1"/>
    <col min="13570" max="13570" width="38" customWidth="1"/>
    <col min="13571" max="13571" width="15.5703125" customWidth="1"/>
    <col min="13572" max="13572" width="12.85546875" bestFit="1" customWidth="1"/>
    <col min="13573" max="13579" width="11.5703125" bestFit="1" customWidth="1"/>
    <col min="13580" max="13580" width="11.7109375" bestFit="1" customWidth="1"/>
    <col min="13581" max="13582" width="11.5703125" bestFit="1" customWidth="1"/>
    <col min="13583" max="13583" width="14" customWidth="1"/>
    <col min="13825" max="13825" width="9.7109375" customWidth="1"/>
    <col min="13826" max="13826" width="38" customWidth="1"/>
    <col min="13827" max="13827" width="15.5703125" customWidth="1"/>
    <col min="13828" max="13828" width="12.85546875" bestFit="1" customWidth="1"/>
    <col min="13829" max="13835" width="11.5703125" bestFit="1" customWidth="1"/>
    <col min="13836" max="13836" width="11.7109375" bestFit="1" customWidth="1"/>
    <col min="13837" max="13838" width="11.5703125" bestFit="1" customWidth="1"/>
    <col min="13839" max="13839" width="14" customWidth="1"/>
    <col min="14081" max="14081" width="9.7109375" customWidth="1"/>
    <col min="14082" max="14082" width="38" customWidth="1"/>
    <col min="14083" max="14083" width="15.5703125" customWidth="1"/>
    <col min="14084" max="14084" width="12.85546875" bestFit="1" customWidth="1"/>
    <col min="14085" max="14091" width="11.5703125" bestFit="1" customWidth="1"/>
    <col min="14092" max="14092" width="11.7109375" bestFit="1" customWidth="1"/>
    <col min="14093" max="14094" width="11.5703125" bestFit="1" customWidth="1"/>
    <col min="14095" max="14095" width="14" customWidth="1"/>
    <col min="14337" max="14337" width="9.7109375" customWidth="1"/>
    <col min="14338" max="14338" width="38" customWidth="1"/>
    <col min="14339" max="14339" width="15.5703125" customWidth="1"/>
    <col min="14340" max="14340" width="12.85546875" bestFit="1" customWidth="1"/>
    <col min="14341" max="14347" width="11.5703125" bestFit="1" customWidth="1"/>
    <col min="14348" max="14348" width="11.7109375" bestFit="1" customWidth="1"/>
    <col min="14349" max="14350" width="11.5703125" bestFit="1" customWidth="1"/>
    <col min="14351" max="14351" width="14" customWidth="1"/>
    <col min="14593" max="14593" width="9.7109375" customWidth="1"/>
    <col min="14594" max="14594" width="38" customWidth="1"/>
    <col min="14595" max="14595" width="15.5703125" customWidth="1"/>
    <col min="14596" max="14596" width="12.85546875" bestFit="1" customWidth="1"/>
    <col min="14597" max="14603" width="11.5703125" bestFit="1" customWidth="1"/>
    <col min="14604" max="14604" width="11.7109375" bestFit="1" customWidth="1"/>
    <col min="14605" max="14606" width="11.5703125" bestFit="1" customWidth="1"/>
    <col min="14607" max="14607" width="14" customWidth="1"/>
    <col min="14849" max="14849" width="9.7109375" customWidth="1"/>
    <col min="14850" max="14850" width="38" customWidth="1"/>
    <col min="14851" max="14851" width="15.5703125" customWidth="1"/>
    <col min="14852" max="14852" width="12.85546875" bestFit="1" customWidth="1"/>
    <col min="14853" max="14859" width="11.5703125" bestFit="1" customWidth="1"/>
    <col min="14860" max="14860" width="11.7109375" bestFit="1" customWidth="1"/>
    <col min="14861" max="14862" width="11.5703125" bestFit="1" customWidth="1"/>
    <col min="14863" max="14863" width="14" customWidth="1"/>
    <col min="15105" max="15105" width="9.7109375" customWidth="1"/>
    <col min="15106" max="15106" width="38" customWidth="1"/>
    <col min="15107" max="15107" width="15.5703125" customWidth="1"/>
    <col min="15108" max="15108" width="12.85546875" bestFit="1" customWidth="1"/>
    <col min="15109" max="15115" width="11.5703125" bestFit="1" customWidth="1"/>
    <col min="15116" max="15116" width="11.7109375" bestFit="1" customWidth="1"/>
    <col min="15117" max="15118" width="11.5703125" bestFit="1" customWidth="1"/>
    <col min="15119" max="15119" width="14" customWidth="1"/>
    <col min="15361" max="15361" width="9.7109375" customWidth="1"/>
    <col min="15362" max="15362" width="38" customWidth="1"/>
    <col min="15363" max="15363" width="15.5703125" customWidth="1"/>
    <col min="15364" max="15364" width="12.85546875" bestFit="1" customWidth="1"/>
    <col min="15365" max="15371" width="11.5703125" bestFit="1" customWidth="1"/>
    <col min="15372" max="15372" width="11.7109375" bestFit="1" customWidth="1"/>
    <col min="15373" max="15374" width="11.5703125" bestFit="1" customWidth="1"/>
    <col min="15375" max="15375" width="14" customWidth="1"/>
    <col min="15617" max="15617" width="9.7109375" customWidth="1"/>
    <col min="15618" max="15618" width="38" customWidth="1"/>
    <col min="15619" max="15619" width="15.5703125" customWidth="1"/>
    <col min="15620" max="15620" width="12.85546875" bestFit="1" customWidth="1"/>
    <col min="15621" max="15627" width="11.5703125" bestFit="1" customWidth="1"/>
    <col min="15628" max="15628" width="11.7109375" bestFit="1" customWidth="1"/>
    <col min="15629" max="15630" width="11.5703125" bestFit="1" customWidth="1"/>
    <col min="15631" max="15631" width="14" customWidth="1"/>
    <col min="15873" max="15873" width="9.7109375" customWidth="1"/>
    <col min="15874" max="15874" width="38" customWidth="1"/>
    <col min="15875" max="15875" width="15.5703125" customWidth="1"/>
    <col min="15876" max="15876" width="12.85546875" bestFit="1" customWidth="1"/>
    <col min="15877" max="15883" width="11.5703125" bestFit="1" customWidth="1"/>
    <col min="15884" max="15884" width="11.7109375" bestFit="1" customWidth="1"/>
    <col min="15885" max="15886" width="11.5703125" bestFit="1" customWidth="1"/>
    <col min="15887" max="15887" width="14" customWidth="1"/>
    <col min="16129" max="16129" width="9.7109375" customWidth="1"/>
    <col min="16130" max="16130" width="38" customWidth="1"/>
    <col min="16131" max="16131" width="15.5703125" customWidth="1"/>
    <col min="16132" max="16132" width="12.85546875" bestFit="1" customWidth="1"/>
    <col min="16133" max="16139" width="11.5703125" bestFit="1" customWidth="1"/>
    <col min="16140" max="16140" width="11.7109375" bestFit="1" customWidth="1"/>
    <col min="16141" max="16142" width="11.5703125" bestFit="1" customWidth="1"/>
    <col min="16143" max="16143" width="14" customWidth="1"/>
  </cols>
  <sheetData>
    <row r="1" spans="1:22" ht="12.75" customHeight="1"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5"/>
      <c r="P2" s="2"/>
      <c r="Q2" s="2"/>
      <c r="R2" s="2"/>
      <c r="S2" s="2"/>
      <c r="T2" s="2"/>
      <c r="U2" s="2"/>
      <c r="V2" s="2"/>
    </row>
    <row r="3" spans="1:22" ht="15.75" customHeight="1">
      <c r="A3" s="3"/>
      <c r="C3" s="3"/>
      <c r="D3" s="3"/>
      <c r="E3" s="3"/>
      <c r="F3" s="3"/>
      <c r="G3" s="3"/>
      <c r="H3" s="3"/>
      <c r="I3" s="3"/>
      <c r="J3" s="3"/>
      <c r="K3" s="6"/>
      <c r="L3" s="2"/>
      <c r="M3" s="2"/>
      <c r="N3" s="2"/>
      <c r="O3" s="7" t="s">
        <v>246</v>
      </c>
      <c r="P3" s="2"/>
      <c r="Q3" s="2"/>
      <c r="R3" s="2"/>
      <c r="S3" s="2"/>
      <c r="T3" s="2"/>
      <c r="U3" s="2"/>
      <c r="V3" s="2"/>
    </row>
    <row r="4" spans="1:22" ht="12.75" customHeight="1">
      <c r="A4"/>
      <c r="K4" s="6"/>
      <c r="L4" s="2"/>
      <c r="M4" s="2"/>
      <c r="N4" s="2"/>
      <c r="O4" s="8" t="s">
        <v>0</v>
      </c>
      <c r="P4" s="2"/>
      <c r="Q4" s="2"/>
      <c r="R4" s="2"/>
      <c r="S4" s="2"/>
      <c r="T4" s="2"/>
      <c r="U4" s="2"/>
      <c r="V4" s="2"/>
    </row>
    <row r="5" spans="1:22" ht="7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6"/>
      <c r="O5" s="6"/>
      <c r="P5" s="2"/>
      <c r="Q5" s="2"/>
      <c r="R5" s="2"/>
      <c r="S5" s="2"/>
      <c r="T5" s="2"/>
      <c r="U5" s="2"/>
      <c r="V5" s="2"/>
    </row>
    <row r="6" spans="1:22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74" t="s">
        <v>1</v>
      </c>
      <c r="L6" s="174"/>
      <c r="M6" s="174"/>
      <c r="N6" s="174"/>
      <c r="O6" s="174"/>
      <c r="P6" s="2"/>
      <c r="Q6" s="2"/>
      <c r="R6" s="2"/>
      <c r="S6" s="2"/>
      <c r="T6" s="2"/>
      <c r="U6" s="2"/>
      <c r="V6" s="2"/>
    </row>
    <row r="7" spans="1:22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1"/>
      <c r="N7" s="6"/>
      <c r="O7" s="12" t="s">
        <v>2</v>
      </c>
      <c r="P7" s="2"/>
      <c r="Q7" s="2"/>
      <c r="R7" s="2"/>
      <c r="S7" s="2"/>
      <c r="T7" s="2"/>
      <c r="U7" s="2"/>
      <c r="V7" s="2"/>
    </row>
    <row r="8" spans="1:22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M8" s="13"/>
      <c r="N8" s="13"/>
      <c r="O8" s="14" t="s">
        <v>3</v>
      </c>
      <c r="P8" s="2"/>
      <c r="Q8" s="2"/>
      <c r="R8" s="2"/>
      <c r="S8" s="2"/>
      <c r="T8" s="2"/>
      <c r="U8" s="2"/>
      <c r="V8" s="2"/>
    </row>
    <row r="9" spans="1:22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1"/>
      <c r="N9" s="6"/>
      <c r="O9" s="12" t="s">
        <v>4</v>
      </c>
      <c r="P9" s="2"/>
      <c r="Q9" s="2"/>
      <c r="R9" s="2"/>
      <c r="S9" s="2"/>
      <c r="T9" s="2"/>
      <c r="U9" s="2"/>
      <c r="V9" s="2"/>
    </row>
    <row r="10" spans="1:22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3"/>
      <c r="L10" s="13"/>
      <c r="M10" s="13"/>
      <c r="N10" s="13"/>
      <c r="O10" s="14" t="s">
        <v>77</v>
      </c>
      <c r="P10" s="2"/>
      <c r="Q10" s="2"/>
      <c r="R10" s="2"/>
      <c r="S10" s="2"/>
      <c r="T10" s="2"/>
      <c r="U10" s="2"/>
      <c r="V10" s="2"/>
    </row>
    <row r="11" spans="1:22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1"/>
      <c r="N11" s="11"/>
      <c r="O11" s="15" t="s">
        <v>6</v>
      </c>
      <c r="P11" s="2"/>
      <c r="Q11" s="2"/>
      <c r="R11" s="2"/>
      <c r="S11" s="2"/>
      <c r="T11" s="2"/>
      <c r="U11" s="2"/>
      <c r="V11" s="2"/>
    </row>
    <row r="12" spans="1:22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8" customFormat="1">
      <c r="A13" s="175" t="s">
        <v>7</v>
      </c>
      <c r="B13" s="176" t="s">
        <v>8</v>
      </c>
      <c r="C13" s="177" t="s">
        <v>9</v>
      </c>
      <c r="D13" s="178" t="s">
        <v>10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22" s="20" customFormat="1" ht="12.75">
      <c r="A14" s="175"/>
      <c r="B14" s="176"/>
      <c r="C14" s="177"/>
      <c r="D14" s="19" t="s">
        <v>11</v>
      </c>
      <c r="E14" s="19" t="s">
        <v>12</v>
      </c>
      <c r="F14" s="19" t="s">
        <v>13</v>
      </c>
      <c r="G14" s="19" t="s">
        <v>14</v>
      </c>
      <c r="H14" s="19" t="s">
        <v>15</v>
      </c>
      <c r="I14" s="19" t="s">
        <v>16</v>
      </c>
      <c r="J14" s="19" t="s">
        <v>17</v>
      </c>
      <c r="K14" s="19" t="s">
        <v>18</v>
      </c>
      <c r="L14" s="19" t="s">
        <v>19</v>
      </c>
      <c r="M14" s="19" t="s">
        <v>20</v>
      </c>
      <c r="N14" s="19" t="s">
        <v>21</v>
      </c>
      <c r="O14" s="19" t="s">
        <v>22</v>
      </c>
    </row>
    <row r="15" spans="1:22">
      <c r="A15" s="21">
        <v>1131</v>
      </c>
      <c r="B15" s="22" t="s">
        <v>23</v>
      </c>
      <c r="C15" s="23">
        <f t="shared" ref="C15:C24" si="0">SUM(D15:O15)</f>
        <v>1475127</v>
      </c>
      <c r="D15" s="23">
        <f>1475127/12+39219.25+150</f>
        <v>162296.5</v>
      </c>
      <c r="E15" s="23">
        <f>1475127/12+39219.25+150</f>
        <v>162296.5</v>
      </c>
      <c r="F15" s="23">
        <f>1475127/12+6482.25+150</f>
        <v>129559.5</v>
      </c>
      <c r="G15" s="23">
        <f t="shared" ref="G15:L15" si="1">1475127/12+39369.25</f>
        <v>162296.5</v>
      </c>
      <c r="H15" s="23">
        <f t="shared" si="1"/>
        <v>162296.5</v>
      </c>
      <c r="I15" s="23">
        <f t="shared" si="1"/>
        <v>162296.5</v>
      </c>
      <c r="J15" s="23">
        <f t="shared" si="1"/>
        <v>162296.5</v>
      </c>
      <c r="K15" s="23">
        <f t="shared" si="1"/>
        <v>162296.5</v>
      </c>
      <c r="L15" s="23">
        <f t="shared" si="1"/>
        <v>162296.5</v>
      </c>
      <c r="M15" s="23">
        <f>1475127/12-36362.5-39369.25</f>
        <v>47195.5</v>
      </c>
      <c r="N15" s="23"/>
      <c r="O15" s="23"/>
    </row>
    <row r="16" spans="1:22">
      <c r="A16" s="21">
        <v>1321</v>
      </c>
      <c r="B16" s="22" t="s">
        <v>24</v>
      </c>
      <c r="C16" s="23">
        <f t="shared" si="0"/>
        <v>32737</v>
      </c>
      <c r="D16" s="23"/>
      <c r="E16" s="23"/>
      <c r="F16" s="23">
        <v>32737</v>
      </c>
      <c r="G16" s="23"/>
      <c r="H16" s="23"/>
      <c r="I16" s="23"/>
      <c r="J16" s="23"/>
      <c r="K16" s="23"/>
      <c r="L16" s="23"/>
      <c r="M16" s="23"/>
      <c r="N16" s="23"/>
      <c r="O16" s="23"/>
    </row>
    <row r="17" spans="1:15">
      <c r="A17" s="21">
        <v>1322</v>
      </c>
      <c r="B17" s="22" t="s">
        <v>25</v>
      </c>
      <c r="C17" s="23">
        <f t="shared" si="0"/>
        <v>327372</v>
      </c>
      <c r="D17" s="23"/>
      <c r="E17" s="23"/>
      <c r="F17" s="23"/>
      <c r="G17" s="23"/>
      <c r="H17" s="23"/>
      <c r="I17" s="23"/>
      <c r="J17" s="23"/>
      <c r="K17" s="23"/>
      <c r="L17" s="23"/>
      <c r="M17" s="23">
        <v>115101</v>
      </c>
      <c r="N17" s="23">
        <v>162296.5</v>
      </c>
      <c r="O17" s="23">
        <f>327372-115101-162296.5</f>
        <v>49974.5</v>
      </c>
    </row>
    <row r="18" spans="1:15">
      <c r="A18" s="21">
        <v>1411</v>
      </c>
      <c r="B18" s="22" t="s">
        <v>26</v>
      </c>
      <c r="C18" s="23">
        <f t="shared" si="0"/>
        <v>21600</v>
      </c>
      <c r="D18" s="31">
        <v>1800</v>
      </c>
      <c r="E18" s="31">
        <v>1800</v>
      </c>
      <c r="F18" s="31">
        <v>1800</v>
      </c>
      <c r="G18" s="31">
        <v>1800</v>
      </c>
      <c r="H18" s="31">
        <v>1800</v>
      </c>
      <c r="I18" s="31">
        <v>1800</v>
      </c>
      <c r="J18" s="31">
        <v>1800</v>
      </c>
      <c r="K18" s="31">
        <v>1800</v>
      </c>
      <c r="L18" s="31">
        <v>1800</v>
      </c>
      <c r="M18" s="31">
        <v>1800</v>
      </c>
      <c r="N18" s="31">
        <v>1800</v>
      </c>
      <c r="O18" s="31">
        <v>1800</v>
      </c>
    </row>
    <row r="19" spans="1:15">
      <c r="A19" s="21">
        <v>1421</v>
      </c>
      <c r="B19" s="22" t="s">
        <v>27</v>
      </c>
      <c r="C19" s="23">
        <f t="shared" si="0"/>
        <v>47601</v>
      </c>
      <c r="D19" s="23">
        <f>47601/12</f>
        <v>3966.75</v>
      </c>
      <c r="E19" s="23">
        <f t="shared" ref="E19:O19" si="2">47601/12</f>
        <v>3966.75</v>
      </c>
      <c r="F19" s="23">
        <f t="shared" si="2"/>
        <v>3966.75</v>
      </c>
      <c r="G19" s="23">
        <f t="shared" si="2"/>
        <v>3966.75</v>
      </c>
      <c r="H19" s="23">
        <f t="shared" si="2"/>
        <v>3966.75</v>
      </c>
      <c r="I19" s="23">
        <f t="shared" si="2"/>
        <v>3966.75</v>
      </c>
      <c r="J19" s="23">
        <f t="shared" si="2"/>
        <v>3966.75</v>
      </c>
      <c r="K19" s="23">
        <f t="shared" si="2"/>
        <v>3966.75</v>
      </c>
      <c r="L19" s="23">
        <f t="shared" si="2"/>
        <v>3966.75</v>
      </c>
      <c r="M19" s="23">
        <f t="shared" si="2"/>
        <v>3966.75</v>
      </c>
      <c r="N19" s="23">
        <f t="shared" si="2"/>
        <v>3966.75</v>
      </c>
      <c r="O19" s="23">
        <f t="shared" si="2"/>
        <v>3966.75</v>
      </c>
    </row>
    <row r="20" spans="1:15">
      <c r="A20" s="21">
        <v>1431</v>
      </c>
      <c r="B20" s="22" t="s">
        <v>28</v>
      </c>
      <c r="C20" s="23">
        <f t="shared" si="0"/>
        <v>277672.00000000006</v>
      </c>
      <c r="D20" s="23">
        <f>277672/12</f>
        <v>23139.333333333332</v>
      </c>
      <c r="E20" s="23">
        <f t="shared" ref="E20:O20" si="3">277672/12</f>
        <v>23139.333333333332</v>
      </c>
      <c r="F20" s="23">
        <f t="shared" si="3"/>
        <v>23139.333333333332</v>
      </c>
      <c r="G20" s="23">
        <f t="shared" si="3"/>
        <v>23139.333333333332</v>
      </c>
      <c r="H20" s="23">
        <f t="shared" si="3"/>
        <v>23139.333333333332</v>
      </c>
      <c r="I20" s="23">
        <f t="shared" si="3"/>
        <v>23139.333333333332</v>
      </c>
      <c r="J20" s="23">
        <f t="shared" si="3"/>
        <v>23139.333333333332</v>
      </c>
      <c r="K20" s="23">
        <f t="shared" si="3"/>
        <v>23139.333333333332</v>
      </c>
      <c r="L20" s="23">
        <f t="shared" si="3"/>
        <v>23139.333333333332</v>
      </c>
      <c r="M20" s="23">
        <f t="shared" si="3"/>
        <v>23139.333333333332</v>
      </c>
      <c r="N20" s="23">
        <f t="shared" si="3"/>
        <v>23139.333333333332</v>
      </c>
      <c r="O20" s="23">
        <f t="shared" si="3"/>
        <v>23139.333333333332</v>
      </c>
    </row>
    <row r="21" spans="1:15">
      <c r="A21" s="21">
        <v>1432</v>
      </c>
      <c r="B21" s="24" t="s">
        <v>29</v>
      </c>
      <c r="C21" s="23">
        <f t="shared" si="0"/>
        <v>26799.999999999996</v>
      </c>
      <c r="D21" s="23">
        <v>2233.3333333333335</v>
      </c>
      <c r="E21" s="23">
        <v>2233.3333333333335</v>
      </c>
      <c r="F21" s="23">
        <v>2233.3333333333335</v>
      </c>
      <c r="G21" s="23">
        <v>2233.3333333333335</v>
      </c>
      <c r="H21" s="23">
        <v>2233.3333333333335</v>
      </c>
      <c r="I21" s="23">
        <v>2233.3333333333335</v>
      </c>
      <c r="J21" s="23">
        <v>2233.3333333333335</v>
      </c>
      <c r="K21" s="23">
        <v>2233.3333333333335</v>
      </c>
      <c r="L21" s="23">
        <v>2233.3333333333335</v>
      </c>
      <c r="M21" s="23">
        <v>2233.3333333333335</v>
      </c>
      <c r="N21" s="23">
        <v>2233.3333333333335</v>
      </c>
      <c r="O21" s="23">
        <v>2233.3333333333335</v>
      </c>
    </row>
    <row r="22" spans="1:15">
      <c r="A22" s="21">
        <v>1611</v>
      </c>
      <c r="B22" s="22" t="s">
        <v>30</v>
      </c>
      <c r="C22" s="23">
        <f t="shared" si="0"/>
        <v>112322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v>112322</v>
      </c>
    </row>
    <row r="23" spans="1:15">
      <c r="A23" s="21">
        <v>1712</v>
      </c>
      <c r="B23" s="22" t="s">
        <v>31</v>
      </c>
      <c r="C23" s="23">
        <f t="shared" si="0"/>
        <v>96072</v>
      </c>
      <c r="D23" s="23">
        <f>96072/12</f>
        <v>8006</v>
      </c>
      <c r="E23" s="23">
        <f t="shared" ref="E23:O23" si="4">96072/12</f>
        <v>8006</v>
      </c>
      <c r="F23" s="23">
        <f t="shared" si="4"/>
        <v>8006</v>
      </c>
      <c r="G23" s="23">
        <f t="shared" si="4"/>
        <v>8006</v>
      </c>
      <c r="H23" s="23">
        <f t="shared" si="4"/>
        <v>8006</v>
      </c>
      <c r="I23" s="23">
        <f t="shared" si="4"/>
        <v>8006</v>
      </c>
      <c r="J23" s="23">
        <f t="shared" si="4"/>
        <v>8006</v>
      </c>
      <c r="K23" s="23">
        <f t="shared" si="4"/>
        <v>8006</v>
      </c>
      <c r="L23" s="23">
        <f t="shared" si="4"/>
        <v>8006</v>
      </c>
      <c r="M23" s="23">
        <f t="shared" si="4"/>
        <v>8006</v>
      </c>
      <c r="N23" s="23">
        <f t="shared" si="4"/>
        <v>8006</v>
      </c>
      <c r="O23" s="23">
        <f t="shared" si="4"/>
        <v>8006</v>
      </c>
    </row>
    <row r="24" spans="1:15">
      <c r="A24" s="21">
        <v>1713</v>
      </c>
      <c r="B24" s="22" t="s">
        <v>32</v>
      </c>
      <c r="C24" s="23">
        <f t="shared" si="0"/>
        <v>67512</v>
      </c>
      <c r="D24" s="23">
        <f>67512/12</f>
        <v>5626</v>
      </c>
      <c r="E24" s="23">
        <f t="shared" ref="E24:O24" si="5">67512/12</f>
        <v>5626</v>
      </c>
      <c r="F24" s="23">
        <f t="shared" si="5"/>
        <v>5626</v>
      </c>
      <c r="G24" s="23">
        <f t="shared" si="5"/>
        <v>5626</v>
      </c>
      <c r="H24" s="23">
        <f t="shared" si="5"/>
        <v>5626</v>
      </c>
      <c r="I24" s="23">
        <f t="shared" si="5"/>
        <v>5626</v>
      </c>
      <c r="J24" s="23">
        <f t="shared" si="5"/>
        <v>5626</v>
      </c>
      <c r="K24" s="23">
        <f t="shared" si="5"/>
        <v>5626</v>
      </c>
      <c r="L24" s="23">
        <f t="shared" si="5"/>
        <v>5626</v>
      </c>
      <c r="M24" s="23">
        <f t="shared" si="5"/>
        <v>5626</v>
      </c>
      <c r="N24" s="23">
        <f t="shared" si="5"/>
        <v>5626</v>
      </c>
      <c r="O24" s="23">
        <f t="shared" si="5"/>
        <v>5626</v>
      </c>
    </row>
    <row r="25" spans="1:15" s="28" customFormat="1" ht="12.75">
      <c r="A25" s="25"/>
      <c r="B25" s="26" t="s">
        <v>34</v>
      </c>
      <c r="C25" s="27">
        <f t="shared" ref="C25:O25" si="6">SUM(C15:C24)</f>
        <v>2484815</v>
      </c>
      <c r="D25" s="27">
        <f t="shared" si="6"/>
        <v>207067.91666666669</v>
      </c>
      <c r="E25" s="27">
        <f t="shared" si="6"/>
        <v>207067.91666666669</v>
      </c>
      <c r="F25" s="27">
        <f t="shared" si="6"/>
        <v>207067.91666666669</v>
      </c>
      <c r="G25" s="27">
        <f t="shared" si="6"/>
        <v>207067.91666666669</v>
      </c>
      <c r="H25" s="27">
        <f t="shared" si="6"/>
        <v>207067.91666666669</v>
      </c>
      <c r="I25" s="27">
        <f t="shared" si="6"/>
        <v>207067.91666666669</v>
      </c>
      <c r="J25" s="27">
        <f t="shared" si="6"/>
        <v>207067.91666666669</v>
      </c>
      <c r="K25" s="27">
        <f t="shared" si="6"/>
        <v>207067.91666666669</v>
      </c>
      <c r="L25" s="27">
        <f t="shared" si="6"/>
        <v>207067.91666666669</v>
      </c>
      <c r="M25" s="27">
        <f t="shared" si="6"/>
        <v>207067.91666666669</v>
      </c>
      <c r="N25" s="27">
        <f t="shared" si="6"/>
        <v>207067.91666666669</v>
      </c>
      <c r="O25" s="27">
        <f t="shared" si="6"/>
        <v>207067.91666666666</v>
      </c>
    </row>
    <row r="26" spans="1:15">
      <c r="A26" s="29"/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s="9" customFormat="1" ht="17.25" customHeight="1">
      <c r="A27" s="38"/>
      <c r="B27" s="39" t="s">
        <v>76</v>
      </c>
      <c r="C27" s="40">
        <f>SUM(C25)</f>
        <v>2484815</v>
      </c>
      <c r="D27" s="40">
        <f t="shared" ref="D27:O27" si="7">SUM(D25)</f>
        <v>207067.91666666669</v>
      </c>
      <c r="E27" s="40">
        <f t="shared" si="7"/>
        <v>207067.91666666669</v>
      </c>
      <c r="F27" s="40">
        <f t="shared" si="7"/>
        <v>207067.91666666669</v>
      </c>
      <c r="G27" s="40">
        <f t="shared" si="7"/>
        <v>207067.91666666669</v>
      </c>
      <c r="H27" s="40">
        <f t="shared" si="7"/>
        <v>207067.91666666669</v>
      </c>
      <c r="I27" s="40">
        <f t="shared" si="7"/>
        <v>207067.91666666669</v>
      </c>
      <c r="J27" s="40">
        <f t="shared" si="7"/>
        <v>207067.91666666669</v>
      </c>
      <c r="K27" s="40">
        <f t="shared" si="7"/>
        <v>207067.91666666669</v>
      </c>
      <c r="L27" s="40">
        <f t="shared" si="7"/>
        <v>207067.91666666669</v>
      </c>
      <c r="M27" s="40">
        <f t="shared" si="7"/>
        <v>207067.91666666669</v>
      </c>
      <c r="N27" s="40">
        <f t="shared" si="7"/>
        <v>207067.91666666669</v>
      </c>
      <c r="O27" s="40">
        <f t="shared" si="7"/>
        <v>207067.91666666666</v>
      </c>
    </row>
    <row r="29" spans="1:15">
      <c r="C29" s="41">
        <f>SUM(D29:O29)</f>
        <v>0</v>
      </c>
      <c r="D29" s="41"/>
      <c r="E29" s="41"/>
      <c r="F29" s="41"/>
      <c r="G29" s="41"/>
      <c r="H29" s="41"/>
      <c r="I29" s="41"/>
      <c r="J29" s="41"/>
    </row>
    <row r="33" spans="3:3">
      <c r="C33" s="41"/>
    </row>
  </sheetData>
  <mergeCells count="5">
    <mergeCell ref="K6:O6"/>
    <mergeCell ref="A13:A14"/>
    <mergeCell ref="B13:B14"/>
    <mergeCell ref="C13:C14"/>
    <mergeCell ref="D13:O13"/>
  </mergeCell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1"/>
  <sheetViews>
    <sheetView topLeftCell="Q8" workbookViewId="0">
      <selection activeCell="AK26" sqref="AK26"/>
    </sheetView>
  </sheetViews>
  <sheetFormatPr baseColWidth="10" defaultColWidth="9.140625" defaultRowHeight="12.75"/>
  <cols>
    <col min="1" max="1" width="5.42578125" style="43" customWidth="1"/>
    <col min="2" max="2" width="3.5703125" style="43" customWidth="1"/>
    <col min="3" max="3" width="4.28515625" style="43" customWidth="1"/>
    <col min="4" max="4" width="4" style="43" customWidth="1"/>
    <col min="5" max="5" width="3.85546875" style="43" customWidth="1"/>
    <col min="6" max="6" width="4.7109375" style="45" customWidth="1"/>
    <col min="7" max="7" width="10.28515625" style="45" customWidth="1"/>
    <col min="8" max="8" width="37" style="42" customWidth="1"/>
    <col min="9" max="9" width="17" style="42" customWidth="1"/>
    <col min="10" max="10" width="3" style="42" customWidth="1"/>
    <col min="11" max="11" width="11.42578125" style="43" customWidth="1"/>
    <col min="12" max="13" width="3.5703125" style="43" customWidth="1"/>
    <col min="14" max="14" width="2.85546875" style="43" customWidth="1"/>
    <col min="15" max="15" width="25.28515625" style="42" customWidth="1"/>
    <col min="16" max="16" width="20.140625" style="42" customWidth="1"/>
    <col min="17" max="17" width="16.42578125" style="42" customWidth="1"/>
    <col min="18" max="18" width="7.28515625" style="43" customWidth="1"/>
    <col min="19" max="19" width="14.28515625" style="43" customWidth="1"/>
    <col min="20" max="20" width="7.42578125" style="48" customWidth="1"/>
    <col min="21" max="21" width="13.28515625" style="48" customWidth="1"/>
    <col min="22" max="22" width="10.28515625" style="48" customWidth="1"/>
    <col min="23" max="23" width="11.28515625" style="48" customWidth="1"/>
    <col min="24" max="24" width="10.5703125" style="48" customWidth="1"/>
    <col min="25" max="25" width="11" style="48" customWidth="1"/>
    <col min="26" max="27" width="10" style="42" customWidth="1"/>
    <col min="28" max="28" width="9" style="42" customWidth="1"/>
    <col min="29" max="29" width="11.5703125" style="42" customWidth="1"/>
    <col min="30" max="30" width="9.7109375" style="42" customWidth="1"/>
    <col min="31" max="31" width="9" style="42" customWidth="1"/>
    <col min="32" max="32" width="11" style="42" customWidth="1"/>
    <col min="33" max="33" width="10.42578125" style="42" hidden="1" customWidth="1"/>
    <col min="34" max="34" width="14.140625" style="42" hidden="1" customWidth="1"/>
    <col min="35" max="35" width="11.28515625" style="42" hidden="1" customWidth="1"/>
    <col min="36" max="36" width="14.140625" style="42" hidden="1" customWidth="1"/>
    <col min="37" max="37" width="14.140625" style="42" customWidth="1"/>
    <col min="38" max="39" width="16.140625" style="42" customWidth="1"/>
    <col min="40" max="40" width="20.7109375" style="42" bestFit="1" customWidth="1"/>
    <col min="41" max="42" width="12.28515625" style="42" bestFit="1" customWidth="1"/>
    <col min="43" max="43" width="13.28515625" style="42" bestFit="1" customWidth="1"/>
    <col min="44" max="44" width="12.28515625" style="42" bestFit="1" customWidth="1"/>
    <col min="45" max="50" width="10.7109375" style="42" bestFit="1" customWidth="1"/>
    <col min="51" max="51" width="14.28515625" style="42" bestFit="1" customWidth="1"/>
    <col min="52" max="52" width="11.42578125" style="42" customWidth="1"/>
    <col min="53" max="256" width="9.140625" style="42"/>
    <col min="257" max="257" width="5.42578125" style="42" customWidth="1"/>
    <col min="258" max="258" width="3.5703125" style="42" customWidth="1"/>
    <col min="259" max="259" width="4.28515625" style="42" customWidth="1"/>
    <col min="260" max="260" width="4" style="42" customWidth="1"/>
    <col min="261" max="261" width="3.85546875" style="42" customWidth="1"/>
    <col min="262" max="262" width="4.7109375" style="42" customWidth="1"/>
    <col min="263" max="263" width="10.28515625" style="42" customWidth="1"/>
    <col min="264" max="264" width="37" style="42" customWidth="1"/>
    <col min="265" max="265" width="17" style="42" customWidth="1"/>
    <col min="266" max="266" width="3" style="42" customWidth="1"/>
    <col min="267" max="267" width="11.42578125" style="42" customWidth="1"/>
    <col min="268" max="269" width="3.5703125" style="42" customWidth="1"/>
    <col min="270" max="270" width="2.85546875" style="42" customWidth="1"/>
    <col min="271" max="271" width="25.28515625" style="42" customWidth="1"/>
    <col min="272" max="272" width="20.140625" style="42" customWidth="1"/>
    <col min="273" max="273" width="16.42578125" style="42" customWidth="1"/>
    <col min="274" max="274" width="7.28515625" style="42" customWidth="1"/>
    <col min="275" max="275" width="14.28515625" style="42" customWidth="1"/>
    <col min="276" max="276" width="7.42578125" style="42" customWidth="1"/>
    <col min="277" max="277" width="13.28515625" style="42" customWidth="1"/>
    <col min="278" max="278" width="10.28515625" style="42" customWidth="1"/>
    <col min="279" max="279" width="11.28515625" style="42" customWidth="1"/>
    <col min="280" max="280" width="10.5703125" style="42" customWidth="1"/>
    <col min="281" max="281" width="11" style="42" customWidth="1"/>
    <col min="282" max="283" width="10" style="42" customWidth="1"/>
    <col min="284" max="284" width="9" style="42" customWidth="1"/>
    <col min="285" max="285" width="11.5703125" style="42" customWidth="1"/>
    <col min="286" max="286" width="9.7109375" style="42" customWidth="1"/>
    <col min="287" max="287" width="9" style="42" customWidth="1"/>
    <col min="288" max="288" width="11" style="42" customWidth="1"/>
    <col min="289" max="292" width="0" style="42" hidden="1" customWidth="1"/>
    <col min="293" max="293" width="14.140625" style="42" customWidth="1"/>
    <col min="294" max="295" width="16.140625" style="42" customWidth="1"/>
    <col min="296" max="296" width="20.7109375" style="42" bestFit="1" customWidth="1"/>
    <col min="297" max="298" width="12.28515625" style="42" bestFit="1" customWidth="1"/>
    <col min="299" max="299" width="13.28515625" style="42" bestFit="1" customWidth="1"/>
    <col min="300" max="300" width="12.28515625" style="42" bestFit="1" customWidth="1"/>
    <col min="301" max="306" width="10.7109375" style="42" bestFit="1" customWidth="1"/>
    <col min="307" max="307" width="14.28515625" style="42" bestFit="1" customWidth="1"/>
    <col min="308" max="308" width="11.42578125" style="42" customWidth="1"/>
    <col min="309" max="512" width="9.140625" style="42"/>
    <col min="513" max="513" width="5.42578125" style="42" customWidth="1"/>
    <col min="514" max="514" width="3.5703125" style="42" customWidth="1"/>
    <col min="515" max="515" width="4.28515625" style="42" customWidth="1"/>
    <col min="516" max="516" width="4" style="42" customWidth="1"/>
    <col min="517" max="517" width="3.85546875" style="42" customWidth="1"/>
    <col min="518" max="518" width="4.7109375" style="42" customWidth="1"/>
    <col min="519" max="519" width="10.28515625" style="42" customWidth="1"/>
    <col min="520" max="520" width="37" style="42" customWidth="1"/>
    <col min="521" max="521" width="17" style="42" customWidth="1"/>
    <col min="522" max="522" width="3" style="42" customWidth="1"/>
    <col min="523" max="523" width="11.42578125" style="42" customWidth="1"/>
    <col min="524" max="525" width="3.5703125" style="42" customWidth="1"/>
    <col min="526" max="526" width="2.85546875" style="42" customWidth="1"/>
    <col min="527" max="527" width="25.28515625" style="42" customWidth="1"/>
    <col min="528" max="528" width="20.140625" style="42" customWidth="1"/>
    <col min="529" max="529" width="16.42578125" style="42" customWidth="1"/>
    <col min="530" max="530" width="7.28515625" style="42" customWidth="1"/>
    <col min="531" max="531" width="14.28515625" style="42" customWidth="1"/>
    <col min="532" max="532" width="7.42578125" style="42" customWidth="1"/>
    <col min="533" max="533" width="13.28515625" style="42" customWidth="1"/>
    <col min="534" max="534" width="10.28515625" style="42" customWidth="1"/>
    <col min="535" max="535" width="11.28515625" style="42" customWidth="1"/>
    <col min="536" max="536" width="10.5703125" style="42" customWidth="1"/>
    <col min="537" max="537" width="11" style="42" customWidth="1"/>
    <col min="538" max="539" width="10" style="42" customWidth="1"/>
    <col min="540" max="540" width="9" style="42" customWidth="1"/>
    <col min="541" max="541" width="11.5703125" style="42" customWidth="1"/>
    <col min="542" max="542" width="9.7109375" style="42" customWidth="1"/>
    <col min="543" max="543" width="9" style="42" customWidth="1"/>
    <col min="544" max="544" width="11" style="42" customWidth="1"/>
    <col min="545" max="548" width="0" style="42" hidden="1" customWidth="1"/>
    <col min="549" max="549" width="14.140625" style="42" customWidth="1"/>
    <col min="550" max="551" width="16.140625" style="42" customWidth="1"/>
    <col min="552" max="552" width="20.7109375" style="42" bestFit="1" customWidth="1"/>
    <col min="553" max="554" width="12.28515625" style="42" bestFit="1" customWidth="1"/>
    <col min="555" max="555" width="13.28515625" style="42" bestFit="1" customWidth="1"/>
    <col min="556" max="556" width="12.28515625" style="42" bestFit="1" customWidth="1"/>
    <col min="557" max="562" width="10.7109375" style="42" bestFit="1" customWidth="1"/>
    <col min="563" max="563" width="14.28515625" style="42" bestFit="1" customWidth="1"/>
    <col min="564" max="564" width="11.42578125" style="42" customWidth="1"/>
    <col min="565" max="768" width="9.140625" style="42"/>
    <col min="769" max="769" width="5.42578125" style="42" customWidth="1"/>
    <col min="770" max="770" width="3.5703125" style="42" customWidth="1"/>
    <col min="771" max="771" width="4.28515625" style="42" customWidth="1"/>
    <col min="772" max="772" width="4" style="42" customWidth="1"/>
    <col min="773" max="773" width="3.85546875" style="42" customWidth="1"/>
    <col min="774" max="774" width="4.7109375" style="42" customWidth="1"/>
    <col min="775" max="775" width="10.28515625" style="42" customWidth="1"/>
    <col min="776" max="776" width="37" style="42" customWidth="1"/>
    <col min="777" max="777" width="17" style="42" customWidth="1"/>
    <col min="778" max="778" width="3" style="42" customWidth="1"/>
    <col min="779" max="779" width="11.42578125" style="42" customWidth="1"/>
    <col min="780" max="781" width="3.5703125" style="42" customWidth="1"/>
    <col min="782" max="782" width="2.85546875" style="42" customWidth="1"/>
    <col min="783" max="783" width="25.28515625" style="42" customWidth="1"/>
    <col min="784" max="784" width="20.140625" style="42" customWidth="1"/>
    <col min="785" max="785" width="16.42578125" style="42" customWidth="1"/>
    <col min="786" max="786" width="7.28515625" style="42" customWidth="1"/>
    <col min="787" max="787" width="14.28515625" style="42" customWidth="1"/>
    <col min="788" max="788" width="7.42578125" style="42" customWidth="1"/>
    <col min="789" max="789" width="13.28515625" style="42" customWidth="1"/>
    <col min="790" max="790" width="10.28515625" style="42" customWidth="1"/>
    <col min="791" max="791" width="11.28515625" style="42" customWidth="1"/>
    <col min="792" max="792" width="10.5703125" style="42" customWidth="1"/>
    <col min="793" max="793" width="11" style="42" customWidth="1"/>
    <col min="794" max="795" width="10" style="42" customWidth="1"/>
    <col min="796" max="796" width="9" style="42" customWidth="1"/>
    <col min="797" max="797" width="11.5703125" style="42" customWidth="1"/>
    <col min="798" max="798" width="9.7109375" style="42" customWidth="1"/>
    <col min="799" max="799" width="9" style="42" customWidth="1"/>
    <col min="800" max="800" width="11" style="42" customWidth="1"/>
    <col min="801" max="804" width="0" style="42" hidden="1" customWidth="1"/>
    <col min="805" max="805" width="14.140625" style="42" customWidth="1"/>
    <col min="806" max="807" width="16.140625" style="42" customWidth="1"/>
    <col min="808" max="808" width="20.7109375" style="42" bestFit="1" customWidth="1"/>
    <col min="809" max="810" width="12.28515625" style="42" bestFit="1" customWidth="1"/>
    <col min="811" max="811" width="13.28515625" style="42" bestFit="1" customWidth="1"/>
    <col min="812" max="812" width="12.28515625" style="42" bestFit="1" customWidth="1"/>
    <col min="813" max="818" width="10.7109375" style="42" bestFit="1" customWidth="1"/>
    <col min="819" max="819" width="14.28515625" style="42" bestFit="1" customWidth="1"/>
    <col min="820" max="820" width="11.42578125" style="42" customWidth="1"/>
    <col min="821" max="1024" width="9.140625" style="42"/>
    <col min="1025" max="1025" width="5.42578125" style="42" customWidth="1"/>
    <col min="1026" max="1026" width="3.5703125" style="42" customWidth="1"/>
    <col min="1027" max="1027" width="4.28515625" style="42" customWidth="1"/>
    <col min="1028" max="1028" width="4" style="42" customWidth="1"/>
    <col min="1029" max="1029" width="3.85546875" style="42" customWidth="1"/>
    <col min="1030" max="1030" width="4.7109375" style="42" customWidth="1"/>
    <col min="1031" max="1031" width="10.28515625" style="42" customWidth="1"/>
    <col min="1032" max="1032" width="37" style="42" customWidth="1"/>
    <col min="1033" max="1033" width="17" style="42" customWidth="1"/>
    <col min="1034" max="1034" width="3" style="42" customWidth="1"/>
    <col min="1035" max="1035" width="11.42578125" style="42" customWidth="1"/>
    <col min="1036" max="1037" width="3.5703125" style="42" customWidth="1"/>
    <col min="1038" max="1038" width="2.85546875" style="42" customWidth="1"/>
    <col min="1039" max="1039" width="25.28515625" style="42" customWidth="1"/>
    <col min="1040" max="1040" width="20.140625" style="42" customWidth="1"/>
    <col min="1041" max="1041" width="16.42578125" style="42" customWidth="1"/>
    <col min="1042" max="1042" width="7.28515625" style="42" customWidth="1"/>
    <col min="1043" max="1043" width="14.28515625" style="42" customWidth="1"/>
    <col min="1044" max="1044" width="7.42578125" style="42" customWidth="1"/>
    <col min="1045" max="1045" width="13.28515625" style="42" customWidth="1"/>
    <col min="1046" max="1046" width="10.28515625" style="42" customWidth="1"/>
    <col min="1047" max="1047" width="11.28515625" style="42" customWidth="1"/>
    <col min="1048" max="1048" width="10.5703125" style="42" customWidth="1"/>
    <col min="1049" max="1049" width="11" style="42" customWidth="1"/>
    <col min="1050" max="1051" width="10" style="42" customWidth="1"/>
    <col min="1052" max="1052" width="9" style="42" customWidth="1"/>
    <col min="1053" max="1053" width="11.5703125" style="42" customWidth="1"/>
    <col min="1054" max="1054" width="9.7109375" style="42" customWidth="1"/>
    <col min="1055" max="1055" width="9" style="42" customWidth="1"/>
    <col min="1056" max="1056" width="11" style="42" customWidth="1"/>
    <col min="1057" max="1060" width="0" style="42" hidden="1" customWidth="1"/>
    <col min="1061" max="1061" width="14.140625" style="42" customWidth="1"/>
    <col min="1062" max="1063" width="16.140625" style="42" customWidth="1"/>
    <col min="1064" max="1064" width="20.7109375" style="42" bestFit="1" customWidth="1"/>
    <col min="1065" max="1066" width="12.28515625" style="42" bestFit="1" customWidth="1"/>
    <col min="1067" max="1067" width="13.28515625" style="42" bestFit="1" customWidth="1"/>
    <col min="1068" max="1068" width="12.28515625" style="42" bestFit="1" customWidth="1"/>
    <col min="1069" max="1074" width="10.7109375" style="42" bestFit="1" customWidth="1"/>
    <col min="1075" max="1075" width="14.28515625" style="42" bestFit="1" customWidth="1"/>
    <col min="1076" max="1076" width="11.42578125" style="42" customWidth="1"/>
    <col min="1077" max="1280" width="9.140625" style="42"/>
    <col min="1281" max="1281" width="5.42578125" style="42" customWidth="1"/>
    <col min="1282" max="1282" width="3.5703125" style="42" customWidth="1"/>
    <col min="1283" max="1283" width="4.28515625" style="42" customWidth="1"/>
    <col min="1284" max="1284" width="4" style="42" customWidth="1"/>
    <col min="1285" max="1285" width="3.85546875" style="42" customWidth="1"/>
    <col min="1286" max="1286" width="4.7109375" style="42" customWidth="1"/>
    <col min="1287" max="1287" width="10.28515625" style="42" customWidth="1"/>
    <col min="1288" max="1288" width="37" style="42" customWidth="1"/>
    <col min="1289" max="1289" width="17" style="42" customWidth="1"/>
    <col min="1290" max="1290" width="3" style="42" customWidth="1"/>
    <col min="1291" max="1291" width="11.42578125" style="42" customWidth="1"/>
    <col min="1292" max="1293" width="3.5703125" style="42" customWidth="1"/>
    <col min="1294" max="1294" width="2.85546875" style="42" customWidth="1"/>
    <col min="1295" max="1295" width="25.28515625" style="42" customWidth="1"/>
    <col min="1296" max="1296" width="20.140625" style="42" customWidth="1"/>
    <col min="1297" max="1297" width="16.42578125" style="42" customWidth="1"/>
    <col min="1298" max="1298" width="7.28515625" style="42" customWidth="1"/>
    <col min="1299" max="1299" width="14.28515625" style="42" customWidth="1"/>
    <col min="1300" max="1300" width="7.42578125" style="42" customWidth="1"/>
    <col min="1301" max="1301" width="13.28515625" style="42" customWidth="1"/>
    <col min="1302" max="1302" width="10.28515625" style="42" customWidth="1"/>
    <col min="1303" max="1303" width="11.28515625" style="42" customWidth="1"/>
    <col min="1304" max="1304" width="10.5703125" style="42" customWidth="1"/>
    <col min="1305" max="1305" width="11" style="42" customWidth="1"/>
    <col min="1306" max="1307" width="10" style="42" customWidth="1"/>
    <col min="1308" max="1308" width="9" style="42" customWidth="1"/>
    <col min="1309" max="1309" width="11.5703125" style="42" customWidth="1"/>
    <col min="1310" max="1310" width="9.7109375" style="42" customWidth="1"/>
    <col min="1311" max="1311" width="9" style="42" customWidth="1"/>
    <col min="1312" max="1312" width="11" style="42" customWidth="1"/>
    <col min="1313" max="1316" width="0" style="42" hidden="1" customWidth="1"/>
    <col min="1317" max="1317" width="14.140625" style="42" customWidth="1"/>
    <col min="1318" max="1319" width="16.140625" style="42" customWidth="1"/>
    <col min="1320" max="1320" width="20.7109375" style="42" bestFit="1" customWidth="1"/>
    <col min="1321" max="1322" width="12.28515625" style="42" bestFit="1" customWidth="1"/>
    <col min="1323" max="1323" width="13.28515625" style="42" bestFit="1" customWidth="1"/>
    <col min="1324" max="1324" width="12.28515625" style="42" bestFit="1" customWidth="1"/>
    <col min="1325" max="1330" width="10.7109375" style="42" bestFit="1" customWidth="1"/>
    <col min="1331" max="1331" width="14.28515625" style="42" bestFit="1" customWidth="1"/>
    <col min="1332" max="1332" width="11.42578125" style="42" customWidth="1"/>
    <col min="1333" max="1536" width="9.140625" style="42"/>
    <col min="1537" max="1537" width="5.42578125" style="42" customWidth="1"/>
    <col min="1538" max="1538" width="3.5703125" style="42" customWidth="1"/>
    <col min="1539" max="1539" width="4.28515625" style="42" customWidth="1"/>
    <col min="1540" max="1540" width="4" style="42" customWidth="1"/>
    <col min="1541" max="1541" width="3.85546875" style="42" customWidth="1"/>
    <col min="1542" max="1542" width="4.7109375" style="42" customWidth="1"/>
    <col min="1543" max="1543" width="10.28515625" style="42" customWidth="1"/>
    <col min="1544" max="1544" width="37" style="42" customWidth="1"/>
    <col min="1545" max="1545" width="17" style="42" customWidth="1"/>
    <col min="1546" max="1546" width="3" style="42" customWidth="1"/>
    <col min="1547" max="1547" width="11.42578125" style="42" customWidth="1"/>
    <col min="1548" max="1549" width="3.5703125" style="42" customWidth="1"/>
    <col min="1550" max="1550" width="2.85546875" style="42" customWidth="1"/>
    <col min="1551" max="1551" width="25.28515625" style="42" customWidth="1"/>
    <col min="1552" max="1552" width="20.140625" style="42" customWidth="1"/>
    <col min="1553" max="1553" width="16.42578125" style="42" customWidth="1"/>
    <col min="1554" max="1554" width="7.28515625" style="42" customWidth="1"/>
    <col min="1555" max="1555" width="14.28515625" style="42" customWidth="1"/>
    <col min="1556" max="1556" width="7.42578125" style="42" customWidth="1"/>
    <col min="1557" max="1557" width="13.28515625" style="42" customWidth="1"/>
    <col min="1558" max="1558" width="10.28515625" style="42" customWidth="1"/>
    <col min="1559" max="1559" width="11.28515625" style="42" customWidth="1"/>
    <col min="1560" max="1560" width="10.5703125" style="42" customWidth="1"/>
    <col min="1561" max="1561" width="11" style="42" customWidth="1"/>
    <col min="1562" max="1563" width="10" style="42" customWidth="1"/>
    <col min="1564" max="1564" width="9" style="42" customWidth="1"/>
    <col min="1565" max="1565" width="11.5703125" style="42" customWidth="1"/>
    <col min="1566" max="1566" width="9.7109375" style="42" customWidth="1"/>
    <col min="1567" max="1567" width="9" style="42" customWidth="1"/>
    <col min="1568" max="1568" width="11" style="42" customWidth="1"/>
    <col min="1569" max="1572" width="0" style="42" hidden="1" customWidth="1"/>
    <col min="1573" max="1573" width="14.140625" style="42" customWidth="1"/>
    <col min="1574" max="1575" width="16.140625" style="42" customWidth="1"/>
    <col min="1576" max="1576" width="20.7109375" style="42" bestFit="1" customWidth="1"/>
    <col min="1577" max="1578" width="12.28515625" style="42" bestFit="1" customWidth="1"/>
    <col min="1579" max="1579" width="13.28515625" style="42" bestFit="1" customWidth="1"/>
    <col min="1580" max="1580" width="12.28515625" style="42" bestFit="1" customWidth="1"/>
    <col min="1581" max="1586" width="10.7109375" style="42" bestFit="1" customWidth="1"/>
    <col min="1587" max="1587" width="14.28515625" style="42" bestFit="1" customWidth="1"/>
    <col min="1588" max="1588" width="11.42578125" style="42" customWidth="1"/>
    <col min="1589" max="1792" width="9.140625" style="42"/>
    <col min="1793" max="1793" width="5.42578125" style="42" customWidth="1"/>
    <col min="1794" max="1794" width="3.5703125" style="42" customWidth="1"/>
    <col min="1795" max="1795" width="4.28515625" style="42" customWidth="1"/>
    <col min="1796" max="1796" width="4" style="42" customWidth="1"/>
    <col min="1797" max="1797" width="3.85546875" style="42" customWidth="1"/>
    <col min="1798" max="1798" width="4.7109375" style="42" customWidth="1"/>
    <col min="1799" max="1799" width="10.28515625" style="42" customWidth="1"/>
    <col min="1800" max="1800" width="37" style="42" customWidth="1"/>
    <col min="1801" max="1801" width="17" style="42" customWidth="1"/>
    <col min="1802" max="1802" width="3" style="42" customWidth="1"/>
    <col min="1803" max="1803" width="11.42578125" style="42" customWidth="1"/>
    <col min="1804" max="1805" width="3.5703125" style="42" customWidth="1"/>
    <col min="1806" max="1806" width="2.85546875" style="42" customWidth="1"/>
    <col min="1807" max="1807" width="25.28515625" style="42" customWidth="1"/>
    <col min="1808" max="1808" width="20.140625" style="42" customWidth="1"/>
    <col min="1809" max="1809" width="16.42578125" style="42" customWidth="1"/>
    <col min="1810" max="1810" width="7.28515625" style="42" customWidth="1"/>
    <col min="1811" max="1811" width="14.28515625" style="42" customWidth="1"/>
    <col min="1812" max="1812" width="7.42578125" style="42" customWidth="1"/>
    <col min="1813" max="1813" width="13.28515625" style="42" customWidth="1"/>
    <col min="1814" max="1814" width="10.28515625" style="42" customWidth="1"/>
    <col min="1815" max="1815" width="11.28515625" style="42" customWidth="1"/>
    <col min="1816" max="1816" width="10.5703125" style="42" customWidth="1"/>
    <col min="1817" max="1817" width="11" style="42" customWidth="1"/>
    <col min="1818" max="1819" width="10" style="42" customWidth="1"/>
    <col min="1820" max="1820" width="9" style="42" customWidth="1"/>
    <col min="1821" max="1821" width="11.5703125" style="42" customWidth="1"/>
    <col min="1822" max="1822" width="9.7109375" style="42" customWidth="1"/>
    <col min="1823" max="1823" width="9" style="42" customWidth="1"/>
    <col min="1824" max="1824" width="11" style="42" customWidth="1"/>
    <col min="1825" max="1828" width="0" style="42" hidden="1" customWidth="1"/>
    <col min="1829" max="1829" width="14.140625" style="42" customWidth="1"/>
    <col min="1830" max="1831" width="16.140625" style="42" customWidth="1"/>
    <col min="1832" max="1832" width="20.7109375" style="42" bestFit="1" customWidth="1"/>
    <col min="1833" max="1834" width="12.28515625" style="42" bestFit="1" customWidth="1"/>
    <col min="1835" max="1835" width="13.28515625" style="42" bestFit="1" customWidth="1"/>
    <col min="1836" max="1836" width="12.28515625" style="42" bestFit="1" customWidth="1"/>
    <col min="1837" max="1842" width="10.7109375" style="42" bestFit="1" customWidth="1"/>
    <col min="1843" max="1843" width="14.28515625" style="42" bestFit="1" customWidth="1"/>
    <col min="1844" max="1844" width="11.42578125" style="42" customWidth="1"/>
    <col min="1845" max="2048" width="9.140625" style="42"/>
    <col min="2049" max="2049" width="5.42578125" style="42" customWidth="1"/>
    <col min="2050" max="2050" width="3.5703125" style="42" customWidth="1"/>
    <col min="2051" max="2051" width="4.28515625" style="42" customWidth="1"/>
    <col min="2052" max="2052" width="4" style="42" customWidth="1"/>
    <col min="2053" max="2053" width="3.85546875" style="42" customWidth="1"/>
    <col min="2054" max="2054" width="4.7109375" style="42" customWidth="1"/>
    <col min="2055" max="2055" width="10.28515625" style="42" customWidth="1"/>
    <col min="2056" max="2056" width="37" style="42" customWidth="1"/>
    <col min="2057" max="2057" width="17" style="42" customWidth="1"/>
    <col min="2058" max="2058" width="3" style="42" customWidth="1"/>
    <col min="2059" max="2059" width="11.42578125" style="42" customWidth="1"/>
    <col min="2060" max="2061" width="3.5703125" style="42" customWidth="1"/>
    <col min="2062" max="2062" width="2.85546875" style="42" customWidth="1"/>
    <col min="2063" max="2063" width="25.28515625" style="42" customWidth="1"/>
    <col min="2064" max="2064" width="20.140625" style="42" customWidth="1"/>
    <col min="2065" max="2065" width="16.42578125" style="42" customWidth="1"/>
    <col min="2066" max="2066" width="7.28515625" style="42" customWidth="1"/>
    <col min="2067" max="2067" width="14.28515625" style="42" customWidth="1"/>
    <col min="2068" max="2068" width="7.42578125" style="42" customWidth="1"/>
    <col min="2069" max="2069" width="13.28515625" style="42" customWidth="1"/>
    <col min="2070" max="2070" width="10.28515625" style="42" customWidth="1"/>
    <col min="2071" max="2071" width="11.28515625" style="42" customWidth="1"/>
    <col min="2072" max="2072" width="10.5703125" style="42" customWidth="1"/>
    <col min="2073" max="2073" width="11" style="42" customWidth="1"/>
    <col min="2074" max="2075" width="10" style="42" customWidth="1"/>
    <col min="2076" max="2076" width="9" style="42" customWidth="1"/>
    <col min="2077" max="2077" width="11.5703125" style="42" customWidth="1"/>
    <col min="2078" max="2078" width="9.7109375" style="42" customWidth="1"/>
    <col min="2079" max="2079" width="9" style="42" customWidth="1"/>
    <col min="2080" max="2080" width="11" style="42" customWidth="1"/>
    <col min="2081" max="2084" width="0" style="42" hidden="1" customWidth="1"/>
    <col min="2085" max="2085" width="14.140625" style="42" customWidth="1"/>
    <col min="2086" max="2087" width="16.140625" style="42" customWidth="1"/>
    <col min="2088" max="2088" width="20.7109375" style="42" bestFit="1" customWidth="1"/>
    <col min="2089" max="2090" width="12.28515625" style="42" bestFit="1" customWidth="1"/>
    <col min="2091" max="2091" width="13.28515625" style="42" bestFit="1" customWidth="1"/>
    <col min="2092" max="2092" width="12.28515625" style="42" bestFit="1" customWidth="1"/>
    <col min="2093" max="2098" width="10.7109375" style="42" bestFit="1" customWidth="1"/>
    <col min="2099" max="2099" width="14.28515625" style="42" bestFit="1" customWidth="1"/>
    <col min="2100" max="2100" width="11.42578125" style="42" customWidth="1"/>
    <col min="2101" max="2304" width="9.140625" style="42"/>
    <col min="2305" max="2305" width="5.42578125" style="42" customWidth="1"/>
    <col min="2306" max="2306" width="3.5703125" style="42" customWidth="1"/>
    <col min="2307" max="2307" width="4.28515625" style="42" customWidth="1"/>
    <col min="2308" max="2308" width="4" style="42" customWidth="1"/>
    <col min="2309" max="2309" width="3.85546875" style="42" customWidth="1"/>
    <col min="2310" max="2310" width="4.7109375" style="42" customWidth="1"/>
    <col min="2311" max="2311" width="10.28515625" style="42" customWidth="1"/>
    <col min="2312" max="2312" width="37" style="42" customWidth="1"/>
    <col min="2313" max="2313" width="17" style="42" customWidth="1"/>
    <col min="2314" max="2314" width="3" style="42" customWidth="1"/>
    <col min="2315" max="2315" width="11.42578125" style="42" customWidth="1"/>
    <col min="2316" max="2317" width="3.5703125" style="42" customWidth="1"/>
    <col min="2318" max="2318" width="2.85546875" style="42" customWidth="1"/>
    <col min="2319" max="2319" width="25.28515625" style="42" customWidth="1"/>
    <col min="2320" max="2320" width="20.140625" style="42" customWidth="1"/>
    <col min="2321" max="2321" width="16.42578125" style="42" customWidth="1"/>
    <col min="2322" max="2322" width="7.28515625" style="42" customWidth="1"/>
    <col min="2323" max="2323" width="14.28515625" style="42" customWidth="1"/>
    <col min="2324" max="2324" width="7.42578125" style="42" customWidth="1"/>
    <col min="2325" max="2325" width="13.28515625" style="42" customWidth="1"/>
    <col min="2326" max="2326" width="10.28515625" style="42" customWidth="1"/>
    <col min="2327" max="2327" width="11.28515625" style="42" customWidth="1"/>
    <col min="2328" max="2328" width="10.5703125" style="42" customWidth="1"/>
    <col min="2329" max="2329" width="11" style="42" customWidth="1"/>
    <col min="2330" max="2331" width="10" style="42" customWidth="1"/>
    <col min="2332" max="2332" width="9" style="42" customWidth="1"/>
    <col min="2333" max="2333" width="11.5703125" style="42" customWidth="1"/>
    <col min="2334" max="2334" width="9.7109375" style="42" customWidth="1"/>
    <col min="2335" max="2335" width="9" style="42" customWidth="1"/>
    <col min="2336" max="2336" width="11" style="42" customWidth="1"/>
    <col min="2337" max="2340" width="0" style="42" hidden="1" customWidth="1"/>
    <col min="2341" max="2341" width="14.140625" style="42" customWidth="1"/>
    <col min="2342" max="2343" width="16.140625" style="42" customWidth="1"/>
    <col min="2344" max="2344" width="20.7109375" style="42" bestFit="1" customWidth="1"/>
    <col min="2345" max="2346" width="12.28515625" style="42" bestFit="1" customWidth="1"/>
    <col min="2347" max="2347" width="13.28515625" style="42" bestFit="1" customWidth="1"/>
    <col min="2348" max="2348" width="12.28515625" style="42" bestFit="1" customWidth="1"/>
    <col min="2349" max="2354" width="10.7109375" style="42" bestFit="1" customWidth="1"/>
    <col min="2355" max="2355" width="14.28515625" style="42" bestFit="1" customWidth="1"/>
    <col min="2356" max="2356" width="11.42578125" style="42" customWidth="1"/>
    <col min="2357" max="2560" width="9.140625" style="42"/>
    <col min="2561" max="2561" width="5.42578125" style="42" customWidth="1"/>
    <col min="2562" max="2562" width="3.5703125" style="42" customWidth="1"/>
    <col min="2563" max="2563" width="4.28515625" style="42" customWidth="1"/>
    <col min="2564" max="2564" width="4" style="42" customWidth="1"/>
    <col min="2565" max="2565" width="3.85546875" style="42" customWidth="1"/>
    <col min="2566" max="2566" width="4.7109375" style="42" customWidth="1"/>
    <col min="2567" max="2567" width="10.28515625" style="42" customWidth="1"/>
    <col min="2568" max="2568" width="37" style="42" customWidth="1"/>
    <col min="2569" max="2569" width="17" style="42" customWidth="1"/>
    <col min="2570" max="2570" width="3" style="42" customWidth="1"/>
    <col min="2571" max="2571" width="11.42578125" style="42" customWidth="1"/>
    <col min="2572" max="2573" width="3.5703125" style="42" customWidth="1"/>
    <col min="2574" max="2574" width="2.85546875" style="42" customWidth="1"/>
    <col min="2575" max="2575" width="25.28515625" style="42" customWidth="1"/>
    <col min="2576" max="2576" width="20.140625" style="42" customWidth="1"/>
    <col min="2577" max="2577" width="16.42578125" style="42" customWidth="1"/>
    <col min="2578" max="2578" width="7.28515625" style="42" customWidth="1"/>
    <col min="2579" max="2579" width="14.28515625" style="42" customWidth="1"/>
    <col min="2580" max="2580" width="7.42578125" style="42" customWidth="1"/>
    <col min="2581" max="2581" width="13.28515625" style="42" customWidth="1"/>
    <col min="2582" max="2582" width="10.28515625" style="42" customWidth="1"/>
    <col min="2583" max="2583" width="11.28515625" style="42" customWidth="1"/>
    <col min="2584" max="2584" width="10.5703125" style="42" customWidth="1"/>
    <col min="2585" max="2585" width="11" style="42" customWidth="1"/>
    <col min="2586" max="2587" width="10" style="42" customWidth="1"/>
    <col min="2588" max="2588" width="9" style="42" customWidth="1"/>
    <col min="2589" max="2589" width="11.5703125" style="42" customWidth="1"/>
    <col min="2590" max="2590" width="9.7109375" style="42" customWidth="1"/>
    <col min="2591" max="2591" width="9" style="42" customWidth="1"/>
    <col min="2592" max="2592" width="11" style="42" customWidth="1"/>
    <col min="2593" max="2596" width="0" style="42" hidden="1" customWidth="1"/>
    <col min="2597" max="2597" width="14.140625" style="42" customWidth="1"/>
    <col min="2598" max="2599" width="16.140625" style="42" customWidth="1"/>
    <col min="2600" max="2600" width="20.7109375" style="42" bestFit="1" customWidth="1"/>
    <col min="2601" max="2602" width="12.28515625" style="42" bestFit="1" customWidth="1"/>
    <col min="2603" max="2603" width="13.28515625" style="42" bestFit="1" customWidth="1"/>
    <col min="2604" max="2604" width="12.28515625" style="42" bestFit="1" customWidth="1"/>
    <col min="2605" max="2610" width="10.7109375" style="42" bestFit="1" customWidth="1"/>
    <col min="2611" max="2611" width="14.28515625" style="42" bestFit="1" customWidth="1"/>
    <col min="2612" max="2612" width="11.42578125" style="42" customWidth="1"/>
    <col min="2613" max="2816" width="9.140625" style="42"/>
    <col min="2817" max="2817" width="5.42578125" style="42" customWidth="1"/>
    <col min="2818" max="2818" width="3.5703125" style="42" customWidth="1"/>
    <col min="2819" max="2819" width="4.28515625" style="42" customWidth="1"/>
    <col min="2820" max="2820" width="4" style="42" customWidth="1"/>
    <col min="2821" max="2821" width="3.85546875" style="42" customWidth="1"/>
    <col min="2822" max="2822" width="4.7109375" style="42" customWidth="1"/>
    <col min="2823" max="2823" width="10.28515625" style="42" customWidth="1"/>
    <col min="2824" max="2824" width="37" style="42" customWidth="1"/>
    <col min="2825" max="2825" width="17" style="42" customWidth="1"/>
    <col min="2826" max="2826" width="3" style="42" customWidth="1"/>
    <col min="2827" max="2827" width="11.42578125" style="42" customWidth="1"/>
    <col min="2828" max="2829" width="3.5703125" style="42" customWidth="1"/>
    <col min="2830" max="2830" width="2.85546875" style="42" customWidth="1"/>
    <col min="2831" max="2831" width="25.28515625" style="42" customWidth="1"/>
    <col min="2832" max="2832" width="20.140625" style="42" customWidth="1"/>
    <col min="2833" max="2833" width="16.42578125" style="42" customWidth="1"/>
    <col min="2834" max="2834" width="7.28515625" style="42" customWidth="1"/>
    <col min="2835" max="2835" width="14.28515625" style="42" customWidth="1"/>
    <col min="2836" max="2836" width="7.42578125" style="42" customWidth="1"/>
    <col min="2837" max="2837" width="13.28515625" style="42" customWidth="1"/>
    <col min="2838" max="2838" width="10.28515625" style="42" customWidth="1"/>
    <col min="2839" max="2839" width="11.28515625" style="42" customWidth="1"/>
    <col min="2840" max="2840" width="10.5703125" style="42" customWidth="1"/>
    <col min="2841" max="2841" width="11" style="42" customWidth="1"/>
    <col min="2842" max="2843" width="10" style="42" customWidth="1"/>
    <col min="2844" max="2844" width="9" style="42" customWidth="1"/>
    <col min="2845" max="2845" width="11.5703125" style="42" customWidth="1"/>
    <col min="2846" max="2846" width="9.7109375" style="42" customWidth="1"/>
    <col min="2847" max="2847" width="9" style="42" customWidth="1"/>
    <col min="2848" max="2848" width="11" style="42" customWidth="1"/>
    <col min="2849" max="2852" width="0" style="42" hidden="1" customWidth="1"/>
    <col min="2853" max="2853" width="14.140625" style="42" customWidth="1"/>
    <col min="2854" max="2855" width="16.140625" style="42" customWidth="1"/>
    <col min="2856" max="2856" width="20.7109375" style="42" bestFit="1" customWidth="1"/>
    <col min="2857" max="2858" width="12.28515625" style="42" bestFit="1" customWidth="1"/>
    <col min="2859" max="2859" width="13.28515625" style="42" bestFit="1" customWidth="1"/>
    <col min="2860" max="2860" width="12.28515625" style="42" bestFit="1" customWidth="1"/>
    <col min="2861" max="2866" width="10.7109375" style="42" bestFit="1" customWidth="1"/>
    <col min="2867" max="2867" width="14.28515625" style="42" bestFit="1" customWidth="1"/>
    <col min="2868" max="2868" width="11.42578125" style="42" customWidth="1"/>
    <col min="2869" max="3072" width="9.140625" style="42"/>
    <col min="3073" max="3073" width="5.42578125" style="42" customWidth="1"/>
    <col min="3074" max="3074" width="3.5703125" style="42" customWidth="1"/>
    <col min="3075" max="3075" width="4.28515625" style="42" customWidth="1"/>
    <col min="3076" max="3076" width="4" style="42" customWidth="1"/>
    <col min="3077" max="3077" width="3.85546875" style="42" customWidth="1"/>
    <col min="3078" max="3078" width="4.7109375" style="42" customWidth="1"/>
    <col min="3079" max="3079" width="10.28515625" style="42" customWidth="1"/>
    <col min="3080" max="3080" width="37" style="42" customWidth="1"/>
    <col min="3081" max="3081" width="17" style="42" customWidth="1"/>
    <col min="3082" max="3082" width="3" style="42" customWidth="1"/>
    <col min="3083" max="3083" width="11.42578125" style="42" customWidth="1"/>
    <col min="3084" max="3085" width="3.5703125" style="42" customWidth="1"/>
    <col min="3086" max="3086" width="2.85546875" style="42" customWidth="1"/>
    <col min="3087" max="3087" width="25.28515625" style="42" customWidth="1"/>
    <col min="3088" max="3088" width="20.140625" style="42" customWidth="1"/>
    <col min="3089" max="3089" width="16.42578125" style="42" customWidth="1"/>
    <col min="3090" max="3090" width="7.28515625" style="42" customWidth="1"/>
    <col min="3091" max="3091" width="14.28515625" style="42" customWidth="1"/>
    <col min="3092" max="3092" width="7.42578125" style="42" customWidth="1"/>
    <col min="3093" max="3093" width="13.28515625" style="42" customWidth="1"/>
    <col min="3094" max="3094" width="10.28515625" style="42" customWidth="1"/>
    <col min="3095" max="3095" width="11.28515625" style="42" customWidth="1"/>
    <col min="3096" max="3096" width="10.5703125" style="42" customWidth="1"/>
    <col min="3097" max="3097" width="11" style="42" customWidth="1"/>
    <col min="3098" max="3099" width="10" style="42" customWidth="1"/>
    <col min="3100" max="3100" width="9" style="42" customWidth="1"/>
    <col min="3101" max="3101" width="11.5703125" style="42" customWidth="1"/>
    <col min="3102" max="3102" width="9.7109375" style="42" customWidth="1"/>
    <col min="3103" max="3103" width="9" style="42" customWidth="1"/>
    <col min="3104" max="3104" width="11" style="42" customWidth="1"/>
    <col min="3105" max="3108" width="0" style="42" hidden="1" customWidth="1"/>
    <col min="3109" max="3109" width="14.140625" style="42" customWidth="1"/>
    <col min="3110" max="3111" width="16.140625" style="42" customWidth="1"/>
    <col min="3112" max="3112" width="20.7109375" style="42" bestFit="1" customWidth="1"/>
    <col min="3113" max="3114" width="12.28515625" style="42" bestFit="1" customWidth="1"/>
    <col min="3115" max="3115" width="13.28515625" style="42" bestFit="1" customWidth="1"/>
    <col min="3116" max="3116" width="12.28515625" style="42" bestFit="1" customWidth="1"/>
    <col min="3117" max="3122" width="10.7109375" style="42" bestFit="1" customWidth="1"/>
    <col min="3123" max="3123" width="14.28515625" style="42" bestFit="1" customWidth="1"/>
    <col min="3124" max="3124" width="11.42578125" style="42" customWidth="1"/>
    <col min="3125" max="3328" width="9.140625" style="42"/>
    <col min="3329" max="3329" width="5.42578125" style="42" customWidth="1"/>
    <col min="3330" max="3330" width="3.5703125" style="42" customWidth="1"/>
    <col min="3331" max="3331" width="4.28515625" style="42" customWidth="1"/>
    <col min="3332" max="3332" width="4" style="42" customWidth="1"/>
    <col min="3333" max="3333" width="3.85546875" style="42" customWidth="1"/>
    <col min="3334" max="3334" width="4.7109375" style="42" customWidth="1"/>
    <col min="3335" max="3335" width="10.28515625" style="42" customWidth="1"/>
    <col min="3336" max="3336" width="37" style="42" customWidth="1"/>
    <col min="3337" max="3337" width="17" style="42" customWidth="1"/>
    <col min="3338" max="3338" width="3" style="42" customWidth="1"/>
    <col min="3339" max="3339" width="11.42578125" style="42" customWidth="1"/>
    <col min="3340" max="3341" width="3.5703125" style="42" customWidth="1"/>
    <col min="3342" max="3342" width="2.85546875" style="42" customWidth="1"/>
    <col min="3343" max="3343" width="25.28515625" style="42" customWidth="1"/>
    <col min="3344" max="3344" width="20.140625" style="42" customWidth="1"/>
    <col min="3345" max="3345" width="16.42578125" style="42" customWidth="1"/>
    <col min="3346" max="3346" width="7.28515625" style="42" customWidth="1"/>
    <col min="3347" max="3347" width="14.28515625" style="42" customWidth="1"/>
    <col min="3348" max="3348" width="7.42578125" style="42" customWidth="1"/>
    <col min="3349" max="3349" width="13.28515625" style="42" customWidth="1"/>
    <col min="3350" max="3350" width="10.28515625" style="42" customWidth="1"/>
    <col min="3351" max="3351" width="11.28515625" style="42" customWidth="1"/>
    <col min="3352" max="3352" width="10.5703125" style="42" customWidth="1"/>
    <col min="3353" max="3353" width="11" style="42" customWidth="1"/>
    <col min="3354" max="3355" width="10" style="42" customWidth="1"/>
    <col min="3356" max="3356" width="9" style="42" customWidth="1"/>
    <col min="3357" max="3357" width="11.5703125" style="42" customWidth="1"/>
    <col min="3358" max="3358" width="9.7109375" style="42" customWidth="1"/>
    <col min="3359" max="3359" width="9" style="42" customWidth="1"/>
    <col min="3360" max="3360" width="11" style="42" customWidth="1"/>
    <col min="3361" max="3364" width="0" style="42" hidden="1" customWidth="1"/>
    <col min="3365" max="3365" width="14.140625" style="42" customWidth="1"/>
    <col min="3366" max="3367" width="16.140625" style="42" customWidth="1"/>
    <col min="3368" max="3368" width="20.7109375" style="42" bestFit="1" customWidth="1"/>
    <col min="3369" max="3370" width="12.28515625" style="42" bestFit="1" customWidth="1"/>
    <col min="3371" max="3371" width="13.28515625" style="42" bestFit="1" customWidth="1"/>
    <col min="3372" max="3372" width="12.28515625" style="42" bestFit="1" customWidth="1"/>
    <col min="3373" max="3378" width="10.7109375" style="42" bestFit="1" customWidth="1"/>
    <col min="3379" max="3379" width="14.28515625" style="42" bestFit="1" customWidth="1"/>
    <col min="3380" max="3380" width="11.42578125" style="42" customWidth="1"/>
    <col min="3381" max="3584" width="9.140625" style="42"/>
    <col min="3585" max="3585" width="5.42578125" style="42" customWidth="1"/>
    <col min="3586" max="3586" width="3.5703125" style="42" customWidth="1"/>
    <col min="3587" max="3587" width="4.28515625" style="42" customWidth="1"/>
    <col min="3588" max="3588" width="4" style="42" customWidth="1"/>
    <col min="3589" max="3589" width="3.85546875" style="42" customWidth="1"/>
    <col min="3590" max="3590" width="4.7109375" style="42" customWidth="1"/>
    <col min="3591" max="3591" width="10.28515625" style="42" customWidth="1"/>
    <col min="3592" max="3592" width="37" style="42" customWidth="1"/>
    <col min="3593" max="3593" width="17" style="42" customWidth="1"/>
    <col min="3594" max="3594" width="3" style="42" customWidth="1"/>
    <col min="3595" max="3595" width="11.42578125" style="42" customWidth="1"/>
    <col min="3596" max="3597" width="3.5703125" style="42" customWidth="1"/>
    <col min="3598" max="3598" width="2.85546875" style="42" customWidth="1"/>
    <col min="3599" max="3599" width="25.28515625" style="42" customWidth="1"/>
    <col min="3600" max="3600" width="20.140625" style="42" customWidth="1"/>
    <col min="3601" max="3601" width="16.42578125" style="42" customWidth="1"/>
    <col min="3602" max="3602" width="7.28515625" style="42" customWidth="1"/>
    <col min="3603" max="3603" width="14.28515625" style="42" customWidth="1"/>
    <col min="3604" max="3604" width="7.42578125" style="42" customWidth="1"/>
    <col min="3605" max="3605" width="13.28515625" style="42" customWidth="1"/>
    <col min="3606" max="3606" width="10.28515625" style="42" customWidth="1"/>
    <col min="3607" max="3607" width="11.28515625" style="42" customWidth="1"/>
    <col min="3608" max="3608" width="10.5703125" style="42" customWidth="1"/>
    <col min="3609" max="3609" width="11" style="42" customWidth="1"/>
    <col min="3610" max="3611" width="10" style="42" customWidth="1"/>
    <col min="3612" max="3612" width="9" style="42" customWidth="1"/>
    <col min="3613" max="3613" width="11.5703125" style="42" customWidth="1"/>
    <col min="3614" max="3614" width="9.7109375" style="42" customWidth="1"/>
    <col min="3615" max="3615" width="9" style="42" customWidth="1"/>
    <col min="3616" max="3616" width="11" style="42" customWidth="1"/>
    <col min="3617" max="3620" width="0" style="42" hidden="1" customWidth="1"/>
    <col min="3621" max="3621" width="14.140625" style="42" customWidth="1"/>
    <col min="3622" max="3623" width="16.140625" style="42" customWidth="1"/>
    <col min="3624" max="3624" width="20.7109375" style="42" bestFit="1" customWidth="1"/>
    <col min="3625" max="3626" width="12.28515625" style="42" bestFit="1" customWidth="1"/>
    <col min="3627" max="3627" width="13.28515625" style="42" bestFit="1" customWidth="1"/>
    <col min="3628" max="3628" width="12.28515625" style="42" bestFit="1" customWidth="1"/>
    <col min="3629" max="3634" width="10.7109375" style="42" bestFit="1" customWidth="1"/>
    <col min="3635" max="3635" width="14.28515625" style="42" bestFit="1" customWidth="1"/>
    <col min="3636" max="3636" width="11.42578125" style="42" customWidth="1"/>
    <col min="3637" max="3840" width="9.140625" style="42"/>
    <col min="3841" max="3841" width="5.42578125" style="42" customWidth="1"/>
    <col min="3842" max="3842" width="3.5703125" style="42" customWidth="1"/>
    <col min="3843" max="3843" width="4.28515625" style="42" customWidth="1"/>
    <col min="3844" max="3844" width="4" style="42" customWidth="1"/>
    <col min="3845" max="3845" width="3.85546875" style="42" customWidth="1"/>
    <col min="3846" max="3846" width="4.7109375" style="42" customWidth="1"/>
    <col min="3847" max="3847" width="10.28515625" style="42" customWidth="1"/>
    <col min="3848" max="3848" width="37" style="42" customWidth="1"/>
    <col min="3849" max="3849" width="17" style="42" customWidth="1"/>
    <col min="3850" max="3850" width="3" style="42" customWidth="1"/>
    <col min="3851" max="3851" width="11.42578125" style="42" customWidth="1"/>
    <col min="3852" max="3853" width="3.5703125" style="42" customWidth="1"/>
    <col min="3854" max="3854" width="2.85546875" style="42" customWidth="1"/>
    <col min="3855" max="3855" width="25.28515625" style="42" customWidth="1"/>
    <col min="3856" max="3856" width="20.140625" style="42" customWidth="1"/>
    <col min="3857" max="3857" width="16.42578125" style="42" customWidth="1"/>
    <col min="3858" max="3858" width="7.28515625" style="42" customWidth="1"/>
    <col min="3859" max="3859" width="14.28515625" style="42" customWidth="1"/>
    <col min="3860" max="3860" width="7.42578125" style="42" customWidth="1"/>
    <col min="3861" max="3861" width="13.28515625" style="42" customWidth="1"/>
    <col min="3862" max="3862" width="10.28515625" style="42" customWidth="1"/>
    <col min="3863" max="3863" width="11.28515625" style="42" customWidth="1"/>
    <col min="3864" max="3864" width="10.5703125" style="42" customWidth="1"/>
    <col min="3865" max="3865" width="11" style="42" customWidth="1"/>
    <col min="3866" max="3867" width="10" style="42" customWidth="1"/>
    <col min="3868" max="3868" width="9" style="42" customWidth="1"/>
    <col min="3869" max="3869" width="11.5703125" style="42" customWidth="1"/>
    <col min="3870" max="3870" width="9.7109375" style="42" customWidth="1"/>
    <col min="3871" max="3871" width="9" style="42" customWidth="1"/>
    <col min="3872" max="3872" width="11" style="42" customWidth="1"/>
    <col min="3873" max="3876" width="0" style="42" hidden="1" customWidth="1"/>
    <col min="3877" max="3877" width="14.140625" style="42" customWidth="1"/>
    <col min="3878" max="3879" width="16.140625" style="42" customWidth="1"/>
    <col min="3880" max="3880" width="20.7109375" style="42" bestFit="1" customWidth="1"/>
    <col min="3881" max="3882" width="12.28515625" style="42" bestFit="1" customWidth="1"/>
    <col min="3883" max="3883" width="13.28515625" style="42" bestFit="1" customWidth="1"/>
    <col min="3884" max="3884" width="12.28515625" style="42" bestFit="1" customWidth="1"/>
    <col min="3885" max="3890" width="10.7109375" style="42" bestFit="1" customWidth="1"/>
    <col min="3891" max="3891" width="14.28515625" style="42" bestFit="1" customWidth="1"/>
    <col min="3892" max="3892" width="11.42578125" style="42" customWidth="1"/>
    <col min="3893" max="4096" width="9.140625" style="42"/>
    <col min="4097" max="4097" width="5.42578125" style="42" customWidth="1"/>
    <col min="4098" max="4098" width="3.5703125" style="42" customWidth="1"/>
    <col min="4099" max="4099" width="4.28515625" style="42" customWidth="1"/>
    <col min="4100" max="4100" width="4" style="42" customWidth="1"/>
    <col min="4101" max="4101" width="3.85546875" style="42" customWidth="1"/>
    <col min="4102" max="4102" width="4.7109375" style="42" customWidth="1"/>
    <col min="4103" max="4103" width="10.28515625" style="42" customWidth="1"/>
    <col min="4104" max="4104" width="37" style="42" customWidth="1"/>
    <col min="4105" max="4105" width="17" style="42" customWidth="1"/>
    <col min="4106" max="4106" width="3" style="42" customWidth="1"/>
    <col min="4107" max="4107" width="11.42578125" style="42" customWidth="1"/>
    <col min="4108" max="4109" width="3.5703125" style="42" customWidth="1"/>
    <col min="4110" max="4110" width="2.85546875" style="42" customWidth="1"/>
    <col min="4111" max="4111" width="25.28515625" style="42" customWidth="1"/>
    <col min="4112" max="4112" width="20.140625" style="42" customWidth="1"/>
    <col min="4113" max="4113" width="16.42578125" style="42" customWidth="1"/>
    <col min="4114" max="4114" width="7.28515625" style="42" customWidth="1"/>
    <col min="4115" max="4115" width="14.28515625" style="42" customWidth="1"/>
    <col min="4116" max="4116" width="7.42578125" style="42" customWidth="1"/>
    <col min="4117" max="4117" width="13.28515625" style="42" customWidth="1"/>
    <col min="4118" max="4118" width="10.28515625" style="42" customWidth="1"/>
    <col min="4119" max="4119" width="11.28515625" style="42" customWidth="1"/>
    <col min="4120" max="4120" width="10.5703125" style="42" customWidth="1"/>
    <col min="4121" max="4121" width="11" style="42" customWidth="1"/>
    <col min="4122" max="4123" width="10" style="42" customWidth="1"/>
    <col min="4124" max="4124" width="9" style="42" customWidth="1"/>
    <col min="4125" max="4125" width="11.5703125" style="42" customWidth="1"/>
    <col min="4126" max="4126" width="9.7109375" style="42" customWidth="1"/>
    <col min="4127" max="4127" width="9" style="42" customWidth="1"/>
    <col min="4128" max="4128" width="11" style="42" customWidth="1"/>
    <col min="4129" max="4132" width="0" style="42" hidden="1" customWidth="1"/>
    <col min="4133" max="4133" width="14.140625" style="42" customWidth="1"/>
    <col min="4134" max="4135" width="16.140625" style="42" customWidth="1"/>
    <col min="4136" max="4136" width="20.7109375" style="42" bestFit="1" customWidth="1"/>
    <col min="4137" max="4138" width="12.28515625" style="42" bestFit="1" customWidth="1"/>
    <col min="4139" max="4139" width="13.28515625" style="42" bestFit="1" customWidth="1"/>
    <col min="4140" max="4140" width="12.28515625" style="42" bestFit="1" customWidth="1"/>
    <col min="4141" max="4146" width="10.7109375" style="42" bestFit="1" customWidth="1"/>
    <col min="4147" max="4147" width="14.28515625" style="42" bestFit="1" customWidth="1"/>
    <col min="4148" max="4148" width="11.42578125" style="42" customWidth="1"/>
    <col min="4149" max="4352" width="9.140625" style="42"/>
    <col min="4353" max="4353" width="5.42578125" style="42" customWidth="1"/>
    <col min="4354" max="4354" width="3.5703125" style="42" customWidth="1"/>
    <col min="4355" max="4355" width="4.28515625" style="42" customWidth="1"/>
    <col min="4356" max="4356" width="4" style="42" customWidth="1"/>
    <col min="4357" max="4357" width="3.85546875" style="42" customWidth="1"/>
    <col min="4358" max="4358" width="4.7109375" style="42" customWidth="1"/>
    <col min="4359" max="4359" width="10.28515625" style="42" customWidth="1"/>
    <col min="4360" max="4360" width="37" style="42" customWidth="1"/>
    <col min="4361" max="4361" width="17" style="42" customWidth="1"/>
    <col min="4362" max="4362" width="3" style="42" customWidth="1"/>
    <col min="4363" max="4363" width="11.42578125" style="42" customWidth="1"/>
    <col min="4364" max="4365" width="3.5703125" style="42" customWidth="1"/>
    <col min="4366" max="4366" width="2.85546875" style="42" customWidth="1"/>
    <col min="4367" max="4367" width="25.28515625" style="42" customWidth="1"/>
    <col min="4368" max="4368" width="20.140625" style="42" customWidth="1"/>
    <col min="4369" max="4369" width="16.42578125" style="42" customWidth="1"/>
    <col min="4370" max="4370" width="7.28515625" style="42" customWidth="1"/>
    <col min="4371" max="4371" width="14.28515625" style="42" customWidth="1"/>
    <col min="4372" max="4372" width="7.42578125" style="42" customWidth="1"/>
    <col min="4373" max="4373" width="13.28515625" style="42" customWidth="1"/>
    <col min="4374" max="4374" width="10.28515625" style="42" customWidth="1"/>
    <col min="4375" max="4375" width="11.28515625" style="42" customWidth="1"/>
    <col min="4376" max="4376" width="10.5703125" style="42" customWidth="1"/>
    <col min="4377" max="4377" width="11" style="42" customWidth="1"/>
    <col min="4378" max="4379" width="10" style="42" customWidth="1"/>
    <col min="4380" max="4380" width="9" style="42" customWidth="1"/>
    <col min="4381" max="4381" width="11.5703125" style="42" customWidth="1"/>
    <col min="4382" max="4382" width="9.7109375" style="42" customWidth="1"/>
    <col min="4383" max="4383" width="9" style="42" customWidth="1"/>
    <col min="4384" max="4384" width="11" style="42" customWidth="1"/>
    <col min="4385" max="4388" width="0" style="42" hidden="1" customWidth="1"/>
    <col min="4389" max="4389" width="14.140625" style="42" customWidth="1"/>
    <col min="4390" max="4391" width="16.140625" style="42" customWidth="1"/>
    <col min="4392" max="4392" width="20.7109375" style="42" bestFit="1" customWidth="1"/>
    <col min="4393" max="4394" width="12.28515625" style="42" bestFit="1" customWidth="1"/>
    <col min="4395" max="4395" width="13.28515625" style="42" bestFit="1" customWidth="1"/>
    <col min="4396" max="4396" width="12.28515625" style="42" bestFit="1" customWidth="1"/>
    <col min="4397" max="4402" width="10.7109375" style="42" bestFit="1" customWidth="1"/>
    <col min="4403" max="4403" width="14.28515625" style="42" bestFit="1" customWidth="1"/>
    <col min="4404" max="4404" width="11.42578125" style="42" customWidth="1"/>
    <col min="4405" max="4608" width="9.140625" style="42"/>
    <col min="4609" max="4609" width="5.42578125" style="42" customWidth="1"/>
    <col min="4610" max="4610" width="3.5703125" style="42" customWidth="1"/>
    <col min="4611" max="4611" width="4.28515625" style="42" customWidth="1"/>
    <col min="4612" max="4612" width="4" style="42" customWidth="1"/>
    <col min="4613" max="4613" width="3.85546875" style="42" customWidth="1"/>
    <col min="4614" max="4614" width="4.7109375" style="42" customWidth="1"/>
    <col min="4615" max="4615" width="10.28515625" style="42" customWidth="1"/>
    <col min="4616" max="4616" width="37" style="42" customWidth="1"/>
    <col min="4617" max="4617" width="17" style="42" customWidth="1"/>
    <col min="4618" max="4618" width="3" style="42" customWidth="1"/>
    <col min="4619" max="4619" width="11.42578125" style="42" customWidth="1"/>
    <col min="4620" max="4621" width="3.5703125" style="42" customWidth="1"/>
    <col min="4622" max="4622" width="2.85546875" style="42" customWidth="1"/>
    <col min="4623" max="4623" width="25.28515625" style="42" customWidth="1"/>
    <col min="4624" max="4624" width="20.140625" style="42" customWidth="1"/>
    <col min="4625" max="4625" width="16.42578125" style="42" customWidth="1"/>
    <col min="4626" max="4626" width="7.28515625" style="42" customWidth="1"/>
    <col min="4627" max="4627" width="14.28515625" style="42" customWidth="1"/>
    <col min="4628" max="4628" width="7.42578125" style="42" customWidth="1"/>
    <col min="4629" max="4629" width="13.28515625" style="42" customWidth="1"/>
    <col min="4630" max="4630" width="10.28515625" style="42" customWidth="1"/>
    <col min="4631" max="4631" width="11.28515625" style="42" customWidth="1"/>
    <col min="4632" max="4632" width="10.5703125" style="42" customWidth="1"/>
    <col min="4633" max="4633" width="11" style="42" customWidth="1"/>
    <col min="4634" max="4635" width="10" style="42" customWidth="1"/>
    <col min="4636" max="4636" width="9" style="42" customWidth="1"/>
    <col min="4637" max="4637" width="11.5703125" style="42" customWidth="1"/>
    <col min="4638" max="4638" width="9.7109375" style="42" customWidth="1"/>
    <col min="4639" max="4639" width="9" style="42" customWidth="1"/>
    <col min="4640" max="4640" width="11" style="42" customWidth="1"/>
    <col min="4641" max="4644" width="0" style="42" hidden="1" customWidth="1"/>
    <col min="4645" max="4645" width="14.140625" style="42" customWidth="1"/>
    <col min="4646" max="4647" width="16.140625" style="42" customWidth="1"/>
    <col min="4648" max="4648" width="20.7109375" style="42" bestFit="1" customWidth="1"/>
    <col min="4649" max="4650" width="12.28515625" style="42" bestFit="1" customWidth="1"/>
    <col min="4651" max="4651" width="13.28515625" style="42" bestFit="1" customWidth="1"/>
    <col min="4652" max="4652" width="12.28515625" style="42" bestFit="1" customWidth="1"/>
    <col min="4653" max="4658" width="10.7109375" style="42" bestFit="1" customWidth="1"/>
    <col min="4659" max="4659" width="14.28515625" style="42" bestFit="1" customWidth="1"/>
    <col min="4660" max="4660" width="11.42578125" style="42" customWidth="1"/>
    <col min="4661" max="4864" width="9.140625" style="42"/>
    <col min="4865" max="4865" width="5.42578125" style="42" customWidth="1"/>
    <col min="4866" max="4866" width="3.5703125" style="42" customWidth="1"/>
    <col min="4867" max="4867" width="4.28515625" style="42" customWidth="1"/>
    <col min="4868" max="4868" width="4" style="42" customWidth="1"/>
    <col min="4869" max="4869" width="3.85546875" style="42" customWidth="1"/>
    <col min="4870" max="4870" width="4.7109375" style="42" customWidth="1"/>
    <col min="4871" max="4871" width="10.28515625" style="42" customWidth="1"/>
    <col min="4872" max="4872" width="37" style="42" customWidth="1"/>
    <col min="4873" max="4873" width="17" style="42" customWidth="1"/>
    <col min="4874" max="4874" width="3" style="42" customWidth="1"/>
    <col min="4875" max="4875" width="11.42578125" style="42" customWidth="1"/>
    <col min="4876" max="4877" width="3.5703125" style="42" customWidth="1"/>
    <col min="4878" max="4878" width="2.85546875" style="42" customWidth="1"/>
    <col min="4879" max="4879" width="25.28515625" style="42" customWidth="1"/>
    <col min="4880" max="4880" width="20.140625" style="42" customWidth="1"/>
    <col min="4881" max="4881" width="16.42578125" style="42" customWidth="1"/>
    <col min="4882" max="4882" width="7.28515625" style="42" customWidth="1"/>
    <col min="4883" max="4883" width="14.28515625" style="42" customWidth="1"/>
    <col min="4884" max="4884" width="7.42578125" style="42" customWidth="1"/>
    <col min="4885" max="4885" width="13.28515625" style="42" customWidth="1"/>
    <col min="4886" max="4886" width="10.28515625" style="42" customWidth="1"/>
    <col min="4887" max="4887" width="11.28515625" style="42" customWidth="1"/>
    <col min="4888" max="4888" width="10.5703125" style="42" customWidth="1"/>
    <col min="4889" max="4889" width="11" style="42" customWidth="1"/>
    <col min="4890" max="4891" width="10" style="42" customWidth="1"/>
    <col min="4892" max="4892" width="9" style="42" customWidth="1"/>
    <col min="4893" max="4893" width="11.5703125" style="42" customWidth="1"/>
    <col min="4894" max="4894" width="9.7109375" style="42" customWidth="1"/>
    <col min="4895" max="4895" width="9" style="42" customWidth="1"/>
    <col min="4896" max="4896" width="11" style="42" customWidth="1"/>
    <col min="4897" max="4900" width="0" style="42" hidden="1" customWidth="1"/>
    <col min="4901" max="4901" width="14.140625" style="42" customWidth="1"/>
    <col min="4902" max="4903" width="16.140625" style="42" customWidth="1"/>
    <col min="4904" max="4904" width="20.7109375" style="42" bestFit="1" customWidth="1"/>
    <col min="4905" max="4906" width="12.28515625" style="42" bestFit="1" customWidth="1"/>
    <col min="4907" max="4907" width="13.28515625" style="42" bestFit="1" customWidth="1"/>
    <col min="4908" max="4908" width="12.28515625" style="42" bestFit="1" customWidth="1"/>
    <col min="4909" max="4914" width="10.7109375" style="42" bestFit="1" customWidth="1"/>
    <col min="4915" max="4915" width="14.28515625" style="42" bestFit="1" customWidth="1"/>
    <col min="4916" max="4916" width="11.42578125" style="42" customWidth="1"/>
    <col min="4917" max="5120" width="9.140625" style="42"/>
    <col min="5121" max="5121" width="5.42578125" style="42" customWidth="1"/>
    <col min="5122" max="5122" width="3.5703125" style="42" customWidth="1"/>
    <col min="5123" max="5123" width="4.28515625" style="42" customWidth="1"/>
    <col min="5124" max="5124" width="4" style="42" customWidth="1"/>
    <col min="5125" max="5125" width="3.85546875" style="42" customWidth="1"/>
    <col min="5126" max="5126" width="4.7109375" style="42" customWidth="1"/>
    <col min="5127" max="5127" width="10.28515625" style="42" customWidth="1"/>
    <col min="5128" max="5128" width="37" style="42" customWidth="1"/>
    <col min="5129" max="5129" width="17" style="42" customWidth="1"/>
    <col min="5130" max="5130" width="3" style="42" customWidth="1"/>
    <col min="5131" max="5131" width="11.42578125" style="42" customWidth="1"/>
    <col min="5132" max="5133" width="3.5703125" style="42" customWidth="1"/>
    <col min="5134" max="5134" width="2.85546875" style="42" customWidth="1"/>
    <col min="5135" max="5135" width="25.28515625" style="42" customWidth="1"/>
    <col min="5136" max="5136" width="20.140625" style="42" customWidth="1"/>
    <col min="5137" max="5137" width="16.42578125" style="42" customWidth="1"/>
    <col min="5138" max="5138" width="7.28515625" style="42" customWidth="1"/>
    <col min="5139" max="5139" width="14.28515625" style="42" customWidth="1"/>
    <col min="5140" max="5140" width="7.42578125" style="42" customWidth="1"/>
    <col min="5141" max="5141" width="13.28515625" style="42" customWidth="1"/>
    <col min="5142" max="5142" width="10.28515625" style="42" customWidth="1"/>
    <col min="5143" max="5143" width="11.28515625" style="42" customWidth="1"/>
    <col min="5144" max="5144" width="10.5703125" style="42" customWidth="1"/>
    <col min="5145" max="5145" width="11" style="42" customWidth="1"/>
    <col min="5146" max="5147" width="10" style="42" customWidth="1"/>
    <col min="5148" max="5148" width="9" style="42" customWidth="1"/>
    <col min="5149" max="5149" width="11.5703125" style="42" customWidth="1"/>
    <col min="5150" max="5150" width="9.7109375" style="42" customWidth="1"/>
    <col min="5151" max="5151" width="9" style="42" customWidth="1"/>
    <col min="5152" max="5152" width="11" style="42" customWidth="1"/>
    <col min="5153" max="5156" width="0" style="42" hidden="1" customWidth="1"/>
    <col min="5157" max="5157" width="14.140625" style="42" customWidth="1"/>
    <col min="5158" max="5159" width="16.140625" style="42" customWidth="1"/>
    <col min="5160" max="5160" width="20.7109375" style="42" bestFit="1" customWidth="1"/>
    <col min="5161" max="5162" width="12.28515625" style="42" bestFit="1" customWidth="1"/>
    <col min="5163" max="5163" width="13.28515625" style="42" bestFit="1" customWidth="1"/>
    <col min="5164" max="5164" width="12.28515625" style="42" bestFit="1" customWidth="1"/>
    <col min="5165" max="5170" width="10.7109375" style="42" bestFit="1" customWidth="1"/>
    <col min="5171" max="5171" width="14.28515625" style="42" bestFit="1" customWidth="1"/>
    <col min="5172" max="5172" width="11.42578125" style="42" customWidth="1"/>
    <col min="5173" max="5376" width="9.140625" style="42"/>
    <col min="5377" max="5377" width="5.42578125" style="42" customWidth="1"/>
    <col min="5378" max="5378" width="3.5703125" style="42" customWidth="1"/>
    <col min="5379" max="5379" width="4.28515625" style="42" customWidth="1"/>
    <col min="5380" max="5380" width="4" style="42" customWidth="1"/>
    <col min="5381" max="5381" width="3.85546875" style="42" customWidth="1"/>
    <col min="5382" max="5382" width="4.7109375" style="42" customWidth="1"/>
    <col min="5383" max="5383" width="10.28515625" style="42" customWidth="1"/>
    <col min="5384" max="5384" width="37" style="42" customWidth="1"/>
    <col min="5385" max="5385" width="17" style="42" customWidth="1"/>
    <col min="5386" max="5386" width="3" style="42" customWidth="1"/>
    <col min="5387" max="5387" width="11.42578125" style="42" customWidth="1"/>
    <col min="5388" max="5389" width="3.5703125" style="42" customWidth="1"/>
    <col min="5390" max="5390" width="2.85546875" style="42" customWidth="1"/>
    <col min="5391" max="5391" width="25.28515625" style="42" customWidth="1"/>
    <col min="5392" max="5392" width="20.140625" style="42" customWidth="1"/>
    <col min="5393" max="5393" width="16.42578125" style="42" customWidth="1"/>
    <col min="5394" max="5394" width="7.28515625" style="42" customWidth="1"/>
    <col min="5395" max="5395" width="14.28515625" style="42" customWidth="1"/>
    <col min="5396" max="5396" width="7.42578125" style="42" customWidth="1"/>
    <col min="5397" max="5397" width="13.28515625" style="42" customWidth="1"/>
    <col min="5398" max="5398" width="10.28515625" style="42" customWidth="1"/>
    <col min="5399" max="5399" width="11.28515625" style="42" customWidth="1"/>
    <col min="5400" max="5400" width="10.5703125" style="42" customWidth="1"/>
    <col min="5401" max="5401" width="11" style="42" customWidth="1"/>
    <col min="5402" max="5403" width="10" style="42" customWidth="1"/>
    <col min="5404" max="5404" width="9" style="42" customWidth="1"/>
    <col min="5405" max="5405" width="11.5703125" style="42" customWidth="1"/>
    <col min="5406" max="5406" width="9.7109375" style="42" customWidth="1"/>
    <col min="5407" max="5407" width="9" style="42" customWidth="1"/>
    <col min="5408" max="5408" width="11" style="42" customWidth="1"/>
    <col min="5409" max="5412" width="0" style="42" hidden="1" customWidth="1"/>
    <col min="5413" max="5413" width="14.140625" style="42" customWidth="1"/>
    <col min="5414" max="5415" width="16.140625" style="42" customWidth="1"/>
    <col min="5416" max="5416" width="20.7109375" style="42" bestFit="1" customWidth="1"/>
    <col min="5417" max="5418" width="12.28515625" style="42" bestFit="1" customWidth="1"/>
    <col min="5419" max="5419" width="13.28515625" style="42" bestFit="1" customWidth="1"/>
    <col min="5420" max="5420" width="12.28515625" style="42" bestFit="1" customWidth="1"/>
    <col min="5421" max="5426" width="10.7109375" style="42" bestFit="1" customWidth="1"/>
    <col min="5427" max="5427" width="14.28515625" style="42" bestFit="1" customWidth="1"/>
    <col min="5428" max="5428" width="11.42578125" style="42" customWidth="1"/>
    <col min="5429" max="5632" width="9.140625" style="42"/>
    <col min="5633" max="5633" width="5.42578125" style="42" customWidth="1"/>
    <col min="5634" max="5634" width="3.5703125" style="42" customWidth="1"/>
    <col min="5635" max="5635" width="4.28515625" style="42" customWidth="1"/>
    <col min="5636" max="5636" width="4" style="42" customWidth="1"/>
    <col min="5637" max="5637" width="3.85546875" style="42" customWidth="1"/>
    <col min="5638" max="5638" width="4.7109375" style="42" customWidth="1"/>
    <col min="5639" max="5639" width="10.28515625" style="42" customWidth="1"/>
    <col min="5640" max="5640" width="37" style="42" customWidth="1"/>
    <col min="5641" max="5641" width="17" style="42" customWidth="1"/>
    <col min="5642" max="5642" width="3" style="42" customWidth="1"/>
    <col min="5643" max="5643" width="11.42578125" style="42" customWidth="1"/>
    <col min="5644" max="5645" width="3.5703125" style="42" customWidth="1"/>
    <col min="5646" max="5646" width="2.85546875" style="42" customWidth="1"/>
    <col min="5647" max="5647" width="25.28515625" style="42" customWidth="1"/>
    <col min="5648" max="5648" width="20.140625" style="42" customWidth="1"/>
    <col min="5649" max="5649" width="16.42578125" style="42" customWidth="1"/>
    <col min="5650" max="5650" width="7.28515625" style="42" customWidth="1"/>
    <col min="5651" max="5651" width="14.28515625" style="42" customWidth="1"/>
    <col min="5652" max="5652" width="7.42578125" style="42" customWidth="1"/>
    <col min="5653" max="5653" width="13.28515625" style="42" customWidth="1"/>
    <col min="5654" max="5654" width="10.28515625" style="42" customWidth="1"/>
    <col min="5655" max="5655" width="11.28515625" style="42" customWidth="1"/>
    <col min="5656" max="5656" width="10.5703125" style="42" customWidth="1"/>
    <col min="5657" max="5657" width="11" style="42" customWidth="1"/>
    <col min="5658" max="5659" width="10" style="42" customWidth="1"/>
    <col min="5660" max="5660" width="9" style="42" customWidth="1"/>
    <col min="5661" max="5661" width="11.5703125" style="42" customWidth="1"/>
    <col min="5662" max="5662" width="9.7109375" style="42" customWidth="1"/>
    <col min="5663" max="5663" width="9" style="42" customWidth="1"/>
    <col min="5664" max="5664" width="11" style="42" customWidth="1"/>
    <col min="5665" max="5668" width="0" style="42" hidden="1" customWidth="1"/>
    <col min="5669" max="5669" width="14.140625" style="42" customWidth="1"/>
    <col min="5670" max="5671" width="16.140625" style="42" customWidth="1"/>
    <col min="5672" max="5672" width="20.7109375" style="42" bestFit="1" customWidth="1"/>
    <col min="5673" max="5674" width="12.28515625" style="42" bestFit="1" customWidth="1"/>
    <col min="5675" max="5675" width="13.28515625" style="42" bestFit="1" customWidth="1"/>
    <col min="5676" max="5676" width="12.28515625" style="42" bestFit="1" customWidth="1"/>
    <col min="5677" max="5682" width="10.7109375" style="42" bestFit="1" customWidth="1"/>
    <col min="5683" max="5683" width="14.28515625" style="42" bestFit="1" customWidth="1"/>
    <col min="5684" max="5684" width="11.42578125" style="42" customWidth="1"/>
    <col min="5685" max="5888" width="9.140625" style="42"/>
    <col min="5889" max="5889" width="5.42578125" style="42" customWidth="1"/>
    <col min="5890" max="5890" width="3.5703125" style="42" customWidth="1"/>
    <col min="5891" max="5891" width="4.28515625" style="42" customWidth="1"/>
    <col min="5892" max="5892" width="4" style="42" customWidth="1"/>
    <col min="5893" max="5893" width="3.85546875" style="42" customWidth="1"/>
    <col min="5894" max="5894" width="4.7109375" style="42" customWidth="1"/>
    <col min="5895" max="5895" width="10.28515625" style="42" customWidth="1"/>
    <col min="5896" max="5896" width="37" style="42" customWidth="1"/>
    <col min="5897" max="5897" width="17" style="42" customWidth="1"/>
    <col min="5898" max="5898" width="3" style="42" customWidth="1"/>
    <col min="5899" max="5899" width="11.42578125" style="42" customWidth="1"/>
    <col min="5900" max="5901" width="3.5703125" style="42" customWidth="1"/>
    <col min="5902" max="5902" width="2.85546875" style="42" customWidth="1"/>
    <col min="5903" max="5903" width="25.28515625" style="42" customWidth="1"/>
    <col min="5904" max="5904" width="20.140625" style="42" customWidth="1"/>
    <col min="5905" max="5905" width="16.42578125" style="42" customWidth="1"/>
    <col min="5906" max="5906" width="7.28515625" style="42" customWidth="1"/>
    <col min="5907" max="5907" width="14.28515625" style="42" customWidth="1"/>
    <col min="5908" max="5908" width="7.42578125" style="42" customWidth="1"/>
    <col min="5909" max="5909" width="13.28515625" style="42" customWidth="1"/>
    <col min="5910" max="5910" width="10.28515625" style="42" customWidth="1"/>
    <col min="5911" max="5911" width="11.28515625" style="42" customWidth="1"/>
    <col min="5912" max="5912" width="10.5703125" style="42" customWidth="1"/>
    <col min="5913" max="5913" width="11" style="42" customWidth="1"/>
    <col min="5914" max="5915" width="10" style="42" customWidth="1"/>
    <col min="5916" max="5916" width="9" style="42" customWidth="1"/>
    <col min="5917" max="5917" width="11.5703125" style="42" customWidth="1"/>
    <col min="5918" max="5918" width="9.7109375" style="42" customWidth="1"/>
    <col min="5919" max="5919" width="9" style="42" customWidth="1"/>
    <col min="5920" max="5920" width="11" style="42" customWidth="1"/>
    <col min="5921" max="5924" width="0" style="42" hidden="1" customWidth="1"/>
    <col min="5925" max="5925" width="14.140625" style="42" customWidth="1"/>
    <col min="5926" max="5927" width="16.140625" style="42" customWidth="1"/>
    <col min="5928" max="5928" width="20.7109375" style="42" bestFit="1" customWidth="1"/>
    <col min="5929" max="5930" width="12.28515625" style="42" bestFit="1" customWidth="1"/>
    <col min="5931" max="5931" width="13.28515625" style="42" bestFit="1" customWidth="1"/>
    <col min="5932" max="5932" width="12.28515625" style="42" bestFit="1" customWidth="1"/>
    <col min="5933" max="5938" width="10.7109375" style="42" bestFit="1" customWidth="1"/>
    <col min="5939" max="5939" width="14.28515625" style="42" bestFit="1" customWidth="1"/>
    <col min="5940" max="5940" width="11.42578125" style="42" customWidth="1"/>
    <col min="5941" max="6144" width="9.140625" style="42"/>
    <col min="6145" max="6145" width="5.42578125" style="42" customWidth="1"/>
    <col min="6146" max="6146" width="3.5703125" style="42" customWidth="1"/>
    <col min="6147" max="6147" width="4.28515625" style="42" customWidth="1"/>
    <col min="6148" max="6148" width="4" style="42" customWidth="1"/>
    <col min="6149" max="6149" width="3.85546875" style="42" customWidth="1"/>
    <col min="6150" max="6150" width="4.7109375" style="42" customWidth="1"/>
    <col min="6151" max="6151" width="10.28515625" style="42" customWidth="1"/>
    <col min="6152" max="6152" width="37" style="42" customWidth="1"/>
    <col min="6153" max="6153" width="17" style="42" customWidth="1"/>
    <col min="6154" max="6154" width="3" style="42" customWidth="1"/>
    <col min="6155" max="6155" width="11.42578125" style="42" customWidth="1"/>
    <col min="6156" max="6157" width="3.5703125" style="42" customWidth="1"/>
    <col min="6158" max="6158" width="2.85546875" style="42" customWidth="1"/>
    <col min="6159" max="6159" width="25.28515625" style="42" customWidth="1"/>
    <col min="6160" max="6160" width="20.140625" style="42" customWidth="1"/>
    <col min="6161" max="6161" width="16.42578125" style="42" customWidth="1"/>
    <col min="6162" max="6162" width="7.28515625" style="42" customWidth="1"/>
    <col min="6163" max="6163" width="14.28515625" style="42" customWidth="1"/>
    <col min="6164" max="6164" width="7.42578125" style="42" customWidth="1"/>
    <col min="6165" max="6165" width="13.28515625" style="42" customWidth="1"/>
    <col min="6166" max="6166" width="10.28515625" style="42" customWidth="1"/>
    <col min="6167" max="6167" width="11.28515625" style="42" customWidth="1"/>
    <col min="6168" max="6168" width="10.5703125" style="42" customWidth="1"/>
    <col min="6169" max="6169" width="11" style="42" customWidth="1"/>
    <col min="6170" max="6171" width="10" style="42" customWidth="1"/>
    <col min="6172" max="6172" width="9" style="42" customWidth="1"/>
    <col min="6173" max="6173" width="11.5703125" style="42" customWidth="1"/>
    <col min="6174" max="6174" width="9.7109375" style="42" customWidth="1"/>
    <col min="6175" max="6175" width="9" style="42" customWidth="1"/>
    <col min="6176" max="6176" width="11" style="42" customWidth="1"/>
    <col min="6177" max="6180" width="0" style="42" hidden="1" customWidth="1"/>
    <col min="6181" max="6181" width="14.140625" style="42" customWidth="1"/>
    <col min="6182" max="6183" width="16.140625" style="42" customWidth="1"/>
    <col min="6184" max="6184" width="20.7109375" style="42" bestFit="1" customWidth="1"/>
    <col min="6185" max="6186" width="12.28515625" style="42" bestFit="1" customWidth="1"/>
    <col min="6187" max="6187" width="13.28515625" style="42" bestFit="1" customWidth="1"/>
    <col min="6188" max="6188" width="12.28515625" style="42" bestFit="1" customWidth="1"/>
    <col min="6189" max="6194" width="10.7109375" style="42" bestFit="1" customWidth="1"/>
    <col min="6195" max="6195" width="14.28515625" style="42" bestFit="1" customWidth="1"/>
    <col min="6196" max="6196" width="11.42578125" style="42" customWidth="1"/>
    <col min="6197" max="6400" width="9.140625" style="42"/>
    <col min="6401" max="6401" width="5.42578125" style="42" customWidth="1"/>
    <col min="6402" max="6402" width="3.5703125" style="42" customWidth="1"/>
    <col min="6403" max="6403" width="4.28515625" style="42" customWidth="1"/>
    <col min="6404" max="6404" width="4" style="42" customWidth="1"/>
    <col min="6405" max="6405" width="3.85546875" style="42" customWidth="1"/>
    <col min="6406" max="6406" width="4.7109375" style="42" customWidth="1"/>
    <col min="6407" max="6407" width="10.28515625" style="42" customWidth="1"/>
    <col min="6408" max="6408" width="37" style="42" customWidth="1"/>
    <col min="6409" max="6409" width="17" style="42" customWidth="1"/>
    <col min="6410" max="6410" width="3" style="42" customWidth="1"/>
    <col min="6411" max="6411" width="11.42578125" style="42" customWidth="1"/>
    <col min="6412" max="6413" width="3.5703125" style="42" customWidth="1"/>
    <col min="6414" max="6414" width="2.85546875" style="42" customWidth="1"/>
    <col min="6415" max="6415" width="25.28515625" style="42" customWidth="1"/>
    <col min="6416" max="6416" width="20.140625" style="42" customWidth="1"/>
    <col min="6417" max="6417" width="16.42578125" style="42" customWidth="1"/>
    <col min="6418" max="6418" width="7.28515625" style="42" customWidth="1"/>
    <col min="6419" max="6419" width="14.28515625" style="42" customWidth="1"/>
    <col min="6420" max="6420" width="7.42578125" style="42" customWidth="1"/>
    <col min="6421" max="6421" width="13.28515625" style="42" customWidth="1"/>
    <col min="6422" max="6422" width="10.28515625" style="42" customWidth="1"/>
    <col min="6423" max="6423" width="11.28515625" style="42" customWidth="1"/>
    <col min="6424" max="6424" width="10.5703125" style="42" customWidth="1"/>
    <col min="6425" max="6425" width="11" style="42" customWidth="1"/>
    <col min="6426" max="6427" width="10" style="42" customWidth="1"/>
    <col min="6428" max="6428" width="9" style="42" customWidth="1"/>
    <col min="6429" max="6429" width="11.5703125" style="42" customWidth="1"/>
    <col min="6430" max="6430" width="9.7109375" style="42" customWidth="1"/>
    <col min="6431" max="6431" width="9" style="42" customWidth="1"/>
    <col min="6432" max="6432" width="11" style="42" customWidth="1"/>
    <col min="6433" max="6436" width="0" style="42" hidden="1" customWidth="1"/>
    <col min="6437" max="6437" width="14.140625" style="42" customWidth="1"/>
    <col min="6438" max="6439" width="16.140625" style="42" customWidth="1"/>
    <col min="6440" max="6440" width="20.7109375" style="42" bestFit="1" customWidth="1"/>
    <col min="6441" max="6442" width="12.28515625" style="42" bestFit="1" customWidth="1"/>
    <col min="6443" max="6443" width="13.28515625" style="42" bestFit="1" customWidth="1"/>
    <col min="6444" max="6444" width="12.28515625" style="42" bestFit="1" customWidth="1"/>
    <col min="6445" max="6450" width="10.7109375" style="42" bestFit="1" customWidth="1"/>
    <col min="6451" max="6451" width="14.28515625" style="42" bestFit="1" customWidth="1"/>
    <col min="6452" max="6452" width="11.42578125" style="42" customWidth="1"/>
    <col min="6453" max="6656" width="9.140625" style="42"/>
    <col min="6657" max="6657" width="5.42578125" style="42" customWidth="1"/>
    <col min="6658" max="6658" width="3.5703125" style="42" customWidth="1"/>
    <col min="6659" max="6659" width="4.28515625" style="42" customWidth="1"/>
    <col min="6660" max="6660" width="4" style="42" customWidth="1"/>
    <col min="6661" max="6661" width="3.85546875" style="42" customWidth="1"/>
    <col min="6662" max="6662" width="4.7109375" style="42" customWidth="1"/>
    <col min="6663" max="6663" width="10.28515625" style="42" customWidth="1"/>
    <col min="6664" max="6664" width="37" style="42" customWidth="1"/>
    <col min="6665" max="6665" width="17" style="42" customWidth="1"/>
    <col min="6666" max="6666" width="3" style="42" customWidth="1"/>
    <col min="6667" max="6667" width="11.42578125" style="42" customWidth="1"/>
    <col min="6668" max="6669" width="3.5703125" style="42" customWidth="1"/>
    <col min="6670" max="6670" width="2.85546875" style="42" customWidth="1"/>
    <col min="6671" max="6671" width="25.28515625" style="42" customWidth="1"/>
    <col min="6672" max="6672" width="20.140625" style="42" customWidth="1"/>
    <col min="6673" max="6673" width="16.42578125" style="42" customWidth="1"/>
    <col min="6674" max="6674" width="7.28515625" style="42" customWidth="1"/>
    <col min="6675" max="6675" width="14.28515625" style="42" customWidth="1"/>
    <col min="6676" max="6676" width="7.42578125" style="42" customWidth="1"/>
    <col min="6677" max="6677" width="13.28515625" style="42" customWidth="1"/>
    <col min="6678" max="6678" width="10.28515625" style="42" customWidth="1"/>
    <col min="6679" max="6679" width="11.28515625" style="42" customWidth="1"/>
    <col min="6680" max="6680" width="10.5703125" style="42" customWidth="1"/>
    <col min="6681" max="6681" width="11" style="42" customWidth="1"/>
    <col min="6682" max="6683" width="10" style="42" customWidth="1"/>
    <col min="6684" max="6684" width="9" style="42" customWidth="1"/>
    <col min="6685" max="6685" width="11.5703125" style="42" customWidth="1"/>
    <col min="6686" max="6686" width="9.7109375" style="42" customWidth="1"/>
    <col min="6687" max="6687" width="9" style="42" customWidth="1"/>
    <col min="6688" max="6688" width="11" style="42" customWidth="1"/>
    <col min="6689" max="6692" width="0" style="42" hidden="1" customWidth="1"/>
    <col min="6693" max="6693" width="14.140625" style="42" customWidth="1"/>
    <col min="6694" max="6695" width="16.140625" style="42" customWidth="1"/>
    <col min="6696" max="6696" width="20.7109375" style="42" bestFit="1" customWidth="1"/>
    <col min="6697" max="6698" width="12.28515625" style="42" bestFit="1" customWidth="1"/>
    <col min="6699" max="6699" width="13.28515625" style="42" bestFit="1" customWidth="1"/>
    <col min="6700" max="6700" width="12.28515625" style="42" bestFit="1" customWidth="1"/>
    <col min="6701" max="6706" width="10.7109375" style="42" bestFit="1" customWidth="1"/>
    <col min="6707" max="6707" width="14.28515625" style="42" bestFit="1" customWidth="1"/>
    <col min="6708" max="6708" width="11.42578125" style="42" customWidth="1"/>
    <col min="6709" max="6912" width="9.140625" style="42"/>
    <col min="6913" max="6913" width="5.42578125" style="42" customWidth="1"/>
    <col min="6914" max="6914" width="3.5703125" style="42" customWidth="1"/>
    <col min="6915" max="6915" width="4.28515625" style="42" customWidth="1"/>
    <col min="6916" max="6916" width="4" style="42" customWidth="1"/>
    <col min="6917" max="6917" width="3.85546875" style="42" customWidth="1"/>
    <col min="6918" max="6918" width="4.7109375" style="42" customWidth="1"/>
    <col min="6919" max="6919" width="10.28515625" style="42" customWidth="1"/>
    <col min="6920" max="6920" width="37" style="42" customWidth="1"/>
    <col min="6921" max="6921" width="17" style="42" customWidth="1"/>
    <col min="6922" max="6922" width="3" style="42" customWidth="1"/>
    <col min="6923" max="6923" width="11.42578125" style="42" customWidth="1"/>
    <col min="6924" max="6925" width="3.5703125" style="42" customWidth="1"/>
    <col min="6926" max="6926" width="2.85546875" style="42" customWidth="1"/>
    <col min="6927" max="6927" width="25.28515625" style="42" customWidth="1"/>
    <col min="6928" max="6928" width="20.140625" style="42" customWidth="1"/>
    <col min="6929" max="6929" width="16.42578125" style="42" customWidth="1"/>
    <col min="6930" max="6930" width="7.28515625" style="42" customWidth="1"/>
    <col min="6931" max="6931" width="14.28515625" style="42" customWidth="1"/>
    <col min="6932" max="6932" width="7.42578125" style="42" customWidth="1"/>
    <col min="6933" max="6933" width="13.28515625" style="42" customWidth="1"/>
    <col min="6934" max="6934" width="10.28515625" style="42" customWidth="1"/>
    <col min="6935" max="6935" width="11.28515625" style="42" customWidth="1"/>
    <col min="6936" max="6936" width="10.5703125" style="42" customWidth="1"/>
    <col min="6937" max="6937" width="11" style="42" customWidth="1"/>
    <col min="6938" max="6939" width="10" style="42" customWidth="1"/>
    <col min="6940" max="6940" width="9" style="42" customWidth="1"/>
    <col min="6941" max="6941" width="11.5703125" style="42" customWidth="1"/>
    <col min="6942" max="6942" width="9.7109375" style="42" customWidth="1"/>
    <col min="6943" max="6943" width="9" style="42" customWidth="1"/>
    <col min="6944" max="6944" width="11" style="42" customWidth="1"/>
    <col min="6945" max="6948" width="0" style="42" hidden="1" customWidth="1"/>
    <col min="6949" max="6949" width="14.140625" style="42" customWidth="1"/>
    <col min="6950" max="6951" width="16.140625" style="42" customWidth="1"/>
    <col min="6952" max="6952" width="20.7109375" style="42" bestFit="1" customWidth="1"/>
    <col min="6953" max="6954" width="12.28515625" style="42" bestFit="1" customWidth="1"/>
    <col min="6955" max="6955" width="13.28515625" style="42" bestFit="1" customWidth="1"/>
    <col min="6956" max="6956" width="12.28515625" style="42" bestFit="1" customWidth="1"/>
    <col min="6957" max="6962" width="10.7109375" style="42" bestFit="1" customWidth="1"/>
    <col min="6963" max="6963" width="14.28515625" style="42" bestFit="1" customWidth="1"/>
    <col min="6964" max="6964" width="11.42578125" style="42" customWidth="1"/>
    <col min="6965" max="7168" width="9.140625" style="42"/>
    <col min="7169" max="7169" width="5.42578125" style="42" customWidth="1"/>
    <col min="7170" max="7170" width="3.5703125" style="42" customWidth="1"/>
    <col min="7171" max="7171" width="4.28515625" style="42" customWidth="1"/>
    <col min="7172" max="7172" width="4" style="42" customWidth="1"/>
    <col min="7173" max="7173" width="3.85546875" style="42" customWidth="1"/>
    <col min="7174" max="7174" width="4.7109375" style="42" customWidth="1"/>
    <col min="7175" max="7175" width="10.28515625" style="42" customWidth="1"/>
    <col min="7176" max="7176" width="37" style="42" customWidth="1"/>
    <col min="7177" max="7177" width="17" style="42" customWidth="1"/>
    <col min="7178" max="7178" width="3" style="42" customWidth="1"/>
    <col min="7179" max="7179" width="11.42578125" style="42" customWidth="1"/>
    <col min="7180" max="7181" width="3.5703125" style="42" customWidth="1"/>
    <col min="7182" max="7182" width="2.85546875" style="42" customWidth="1"/>
    <col min="7183" max="7183" width="25.28515625" style="42" customWidth="1"/>
    <col min="7184" max="7184" width="20.140625" style="42" customWidth="1"/>
    <col min="7185" max="7185" width="16.42578125" style="42" customWidth="1"/>
    <col min="7186" max="7186" width="7.28515625" style="42" customWidth="1"/>
    <col min="7187" max="7187" width="14.28515625" style="42" customWidth="1"/>
    <col min="7188" max="7188" width="7.42578125" style="42" customWidth="1"/>
    <col min="7189" max="7189" width="13.28515625" style="42" customWidth="1"/>
    <col min="7190" max="7190" width="10.28515625" style="42" customWidth="1"/>
    <col min="7191" max="7191" width="11.28515625" style="42" customWidth="1"/>
    <col min="7192" max="7192" width="10.5703125" style="42" customWidth="1"/>
    <col min="7193" max="7193" width="11" style="42" customWidth="1"/>
    <col min="7194" max="7195" width="10" style="42" customWidth="1"/>
    <col min="7196" max="7196" width="9" style="42" customWidth="1"/>
    <col min="7197" max="7197" width="11.5703125" style="42" customWidth="1"/>
    <col min="7198" max="7198" width="9.7109375" style="42" customWidth="1"/>
    <col min="7199" max="7199" width="9" style="42" customWidth="1"/>
    <col min="7200" max="7200" width="11" style="42" customWidth="1"/>
    <col min="7201" max="7204" width="0" style="42" hidden="1" customWidth="1"/>
    <col min="7205" max="7205" width="14.140625" style="42" customWidth="1"/>
    <col min="7206" max="7207" width="16.140625" style="42" customWidth="1"/>
    <col min="7208" max="7208" width="20.7109375" style="42" bestFit="1" customWidth="1"/>
    <col min="7209" max="7210" width="12.28515625" style="42" bestFit="1" customWidth="1"/>
    <col min="7211" max="7211" width="13.28515625" style="42" bestFit="1" customWidth="1"/>
    <col min="7212" max="7212" width="12.28515625" style="42" bestFit="1" customWidth="1"/>
    <col min="7213" max="7218" width="10.7109375" style="42" bestFit="1" customWidth="1"/>
    <col min="7219" max="7219" width="14.28515625" style="42" bestFit="1" customWidth="1"/>
    <col min="7220" max="7220" width="11.42578125" style="42" customWidth="1"/>
    <col min="7221" max="7424" width="9.140625" style="42"/>
    <col min="7425" max="7425" width="5.42578125" style="42" customWidth="1"/>
    <col min="7426" max="7426" width="3.5703125" style="42" customWidth="1"/>
    <col min="7427" max="7427" width="4.28515625" style="42" customWidth="1"/>
    <col min="7428" max="7428" width="4" style="42" customWidth="1"/>
    <col min="7429" max="7429" width="3.85546875" style="42" customWidth="1"/>
    <col min="7430" max="7430" width="4.7109375" style="42" customWidth="1"/>
    <col min="7431" max="7431" width="10.28515625" style="42" customWidth="1"/>
    <col min="7432" max="7432" width="37" style="42" customWidth="1"/>
    <col min="7433" max="7433" width="17" style="42" customWidth="1"/>
    <col min="7434" max="7434" width="3" style="42" customWidth="1"/>
    <col min="7435" max="7435" width="11.42578125" style="42" customWidth="1"/>
    <col min="7436" max="7437" width="3.5703125" style="42" customWidth="1"/>
    <col min="7438" max="7438" width="2.85546875" style="42" customWidth="1"/>
    <col min="7439" max="7439" width="25.28515625" style="42" customWidth="1"/>
    <col min="7440" max="7440" width="20.140625" style="42" customWidth="1"/>
    <col min="7441" max="7441" width="16.42578125" style="42" customWidth="1"/>
    <col min="7442" max="7442" width="7.28515625" style="42" customWidth="1"/>
    <col min="7443" max="7443" width="14.28515625" style="42" customWidth="1"/>
    <col min="7444" max="7444" width="7.42578125" style="42" customWidth="1"/>
    <col min="7445" max="7445" width="13.28515625" style="42" customWidth="1"/>
    <col min="7446" max="7446" width="10.28515625" style="42" customWidth="1"/>
    <col min="7447" max="7447" width="11.28515625" style="42" customWidth="1"/>
    <col min="7448" max="7448" width="10.5703125" style="42" customWidth="1"/>
    <col min="7449" max="7449" width="11" style="42" customWidth="1"/>
    <col min="7450" max="7451" width="10" style="42" customWidth="1"/>
    <col min="7452" max="7452" width="9" style="42" customWidth="1"/>
    <col min="7453" max="7453" width="11.5703125" style="42" customWidth="1"/>
    <col min="7454" max="7454" width="9.7109375" style="42" customWidth="1"/>
    <col min="7455" max="7455" width="9" style="42" customWidth="1"/>
    <col min="7456" max="7456" width="11" style="42" customWidth="1"/>
    <col min="7457" max="7460" width="0" style="42" hidden="1" customWidth="1"/>
    <col min="7461" max="7461" width="14.140625" style="42" customWidth="1"/>
    <col min="7462" max="7463" width="16.140625" style="42" customWidth="1"/>
    <col min="7464" max="7464" width="20.7109375" style="42" bestFit="1" customWidth="1"/>
    <col min="7465" max="7466" width="12.28515625" style="42" bestFit="1" customWidth="1"/>
    <col min="7467" max="7467" width="13.28515625" style="42" bestFit="1" customWidth="1"/>
    <col min="7468" max="7468" width="12.28515625" style="42" bestFit="1" customWidth="1"/>
    <col min="7469" max="7474" width="10.7109375" style="42" bestFit="1" customWidth="1"/>
    <col min="7475" max="7475" width="14.28515625" style="42" bestFit="1" customWidth="1"/>
    <col min="7476" max="7476" width="11.42578125" style="42" customWidth="1"/>
    <col min="7477" max="7680" width="9.140625" style="42"/>
    <col min="7681" max="7681" width="5.42578125" style="42" customWidth="1"/>
    <col min="7682" max="7682" width="3.5703125" style="42" customWidth="1"/>
    <col min="7683" max="7683" width="4.28515625" style="42" customWidth="1"/>
    <col min="7684" max="7684" width="4" style="42" customWidth="1"/>
    <col min="7685" max="7685" width="3.85546875" style="42" customWidth="1"/>
    <col min="7686" max="7686" width="4.7109375" style="42" customWidth="1"/>
    <col min="7687" max="7687" width="10.28515625" style="42" customWidth="1"/>
    <col min="7688" max="7688" width="37" style="42" customWidth="1"/>
    <col min="7689" max="7689" width="17" style="42" customWidth="1"/>
    <col min="7690" max="7690" width="3" style="42" customWidth="1"/>
    <col min="7691" max="7691" width="11.42578125" style="42" customWidth="1"/>
    <col min="7692" max="7693" width="3.5703125" style="42" customWidth="1"/>
    <col min="7694" max="7694" width="2.85546875" style="42" customWidth="1"/>
    <col min="7695" max="7695" width="25.28515625" style="42" customWidth="1"/>
    <col min="7696" max="7696" width="20.140625" style="42" customWidth="1"/>
    <col min="7697" max="7697" width="16.42578125" style="42" customWidth="1"/>
    <col min="7698" max="7698" width="7.28515625" style="42" customWidth="1"/>
    <col min="7699" max="7699" width="14.28515625" style="42" customWidth="1"/>
    <col min="7700" max="7700" width="7.42578125" style="42" customWidth="1"/>
    <col min="7701" max="7701" width="13.28515625" style="42" customWidth="1"/>
    <col min="7702" max="7702" width="10.28515625" style="42" customWidth="1"/>
    <col min="7703" max="7703" width="11.28515625" style="42" customWidth="1"/>
    <col min="7704" max="7704" width="10.5703125" style="42" customWidth="1"/>
    <col min="7705" max="7705" width="11" style="42" customWidth="1"/>
    <col min="7706" max="7707" width="10" style="42" customWidth="1"/>
    <col min="7708" max="7708" width="9" style="42" customWidth="1"/>
    <col min="7709" max="7709" width="11.5703125" style="42" customWidth="1"/>
    <col min="7710" max="7710" width="9.7109375" style="42" customWidth="1"/>
    <col min="7711" max="7711" width="9" style="42" customWidth="1"/>
    <col min="7712" max="7712" width="11" style="42" customWidth="1"/>
    <col min="7713" max="7716" width="0" style="42" hidden="1" customWidth="1"/>
    <col min="7717" max="7717" width="14.140625" style="42" customWidth="1"/>
    <col min="7718" max="7719" width="16.140625" style="42" customWidth="1"/>
    <col min="7720" max="7720" width="20.7109375" style="42" bestFit="1" customWidth="1"/>
    <col min="7721" max="7722" width="12.28515625" style="42" bestFit="1" customWidth="1"/>
    <col min="7723" max="7723" width="13.28515625" style="42" bestFit="1" customWidth="1"/>
    <col min="7724" max="7724" width="12.28515625" style="42" bestFit="1" customWidth="1"/>
    <col min="7725" max="7730" width="10.7109375" style="42" bestFit="1" customWidth="1"/>
    <col min="7731" max="7731" width="14.28515625" style="42" bestFit="1" customWidth="1"/>
    <col min="7732" max="7732" width="11.42578125" style="42" customWidth="1"/>
    <col min="7733" max="7936" width="9.140625" style="42"/>
    <col min="7937" max="7937" width="5.42578125" style="42" customWidth="1"/>
    <col min="7938" max="7938" width="3.5703125" style="42" customWidth="1"/>
    <col min="7939" max="7939" width="4.28515625" style="42" customWidth="1"/>
    <col min="7940" max="7940" width="4" style="42" customWidth="1"/>
    <col min="7941" max="7941" width="3.85546875" style="42" customWidth="1"/>
    <col min="7942" max="7942" width="4.7109375" style="42" customWidth="1"/>
    <col min="7943" max="7943" width="10.28515625" style="42" customWidth="1"/>
    <col min="7944" max="7944" width="37" style="42" customWidth="1"/>
    <col min="7945" max="7945" width="17" style="42" customWidth="1"/>
    <col min="7946" max="7946" width="3" style="42" customWidth="1"/>
    <col min="7947" max="7947" width="11.42578125" style="42" customWidth="1"/>
    <col min="7948" max="7949" width="3.5703125" style="42" customWidth="1"/>
    <col min="7950" max="7950" width="2.85546875" style="42" customWidth="1"/>
    <col min="7951" max="7951" width="25.28515625" style="42" customWidth="1"/>
    <col min="7952" max="7952" width="20.140625" style="42" customWidth="1"/>
    <col min="7953" max="7953" width="16.42578125" style="42" customWidth="1"/>
    <col min="7954" max="7954" width="7.28515625" style="42" customWidth="1"/>
    <col min="7955" max="7955" width="14.28515625" style="42" customWidth="1"/>
    <col min="7956" max="7956" width="7.42578125" style="42" customWidth="1"/>
    <col min="7957" max="7957" width="13.28515625" style="42" customWidth="1"/>
    <col min="7958" max="7958" width="10.28515625" style="42" customWidth="1"/>
    <col min="7959" max="7959" width="11.28515625" style="42" customWidth="1"/>
    <col min="7960" max="7960" width="10.5703125" style="42" customWidth="1"/>
    <col min="7961" max="7961" width="11" style="42" customWidth="1"/>
    <col min="7962" max="7963" width="10" style="42" customWidth="1"/>
    <col min="7964" max="7964" width="9" style="42" customWidth="1"/>
    <col min="7965" max="7965" width="11.5703125" style="42" customWidth="1"/>
    <col min="7966" max="7966" width="9.7109375" style="42" customWidth="1"/>
    <col min="7967" max="7967" width="9" style="42" customWidth="1"/>
    <col min="7968" max="7968" width="11" style="42" customWidth="1"/>
    <col min="7969" max="7972" width="0" style="42" hidden="1" customWidth="1"/>
    <col min="7973" max="7973" width="14.140625" style="42" customWidth="1"/>
    <col min="7974" max="7975" width="16.140625" style="42" customWidth="1"/>
    <col min="7976" max="7976" width="20.7109375" style="42" bestFit="1" customWidth="1"/>
    <col min="7977" max="7978" width="12.28515625" style="42" bestFit="1" customWidth="1"/>
    <col min="7979" max="7979" width="13.28515625" style="42" bestFit="1" customWidth="1"/>
    <col min="7980" max="7980" width="12.28515625" style="42" bestFit="1" customWidth="1"/>
    <col min="7981" max="7986" width="10.7109375" style="42" bestFit="1" customWidth="1"/>
    <col min="7987" max="7987" width="14.28515625" style="42" bestFit="1" customWidth="1"/>
    <col min="7988" max="7988" width="11.42578125" style="42" customWidth="1"/>
    <col min="7989" max="8192" width="9.140625" style="42"/>
    <col min="8193" max="8193" width="5.42578125" style="42" customWidth="1"/>
    <col min="8194" max="8194" width="3.5703125" style="42" customWidth="1"/>
    <col min="8195" max="8195" width="4.28515625" style="42" customWidth="1"/>
    <col min="8196" max="8196" width="4" style="42" customWidth="1"/>
    <col min="8197" max="8197" width="3.85546875" style="42" customWidth="1"/>
    <col min="8198" max="8198" width="4.7109375" style="42" customWidth="1"/>
    <col min="8199" max="8199" width="10.28515625" style="42" customWidth="1"/>
    <col min="8200" max="8200" width="37" style="42" customWidth="1"/>
    <col min="8201" max="8201" width="17" style="42" customWidth="1"/>
    <col min="8202" max="8202" width="3" style="42" customWidth="1"/>
    <col min="8203" max="8203" width="11.42578125" style="42" customWidth="1"/>
    <col min="8204" max="8205" width="3.5703125" style="42" customWidth="1"/>
    <col min="8206" max="8206" width="2.85546875" style="42" customWidth="1"/>
    <col min="8207" max="8207" width="25.28515625" style="42" customWidth="1"/>
    <col min="8208" max="8208" width="20.140625" style="42" customWidth="1"/>
    <col min="8209" max="8209" width="16.42578125" style="42" customWidth="1"/>
    <col min="8210" max="8210" width="7.28515625" style="42" customWidth="1"/>
    <col min="8211" max="8211" width="14.28515625" style="42" customWidth="1"/>
    <col min="8212" max="8212" width="7.42578125" style="42" customWidth="1"/>
    <col min="8213" max="8213" width="13.28515625" style="42" customWidth="1"/>
    <col min="8214" max="8214" width="10.28515625" style="42" customWidth="1"/>
    <col min="8215" max="8215" width="11.28515625" style="42" customWidth="1"/>
    <col min="8216" max="8216" width="10.5703125" style="42" customWidth="1"/>
    <col min="8217" max="8217" width="11" style="42" customWidth="1"/>
    <col min="8218" max="8219" width="10" style="42" customWidth="1"/>
    <col min="8220" max="8220" width="9" style="42" customWidth="1"/>
    <col min="8221" max="8221" width="11.5703125" style="42" customWidth="1"/>
    <col min="8222" max="8222" width="9.7109375" style="42" customWidth="1"/>
    <col min="8223" max="8223" width="9" style="42" customWidth="1"/>
    <col min="8224" max="8224" width="11" style="42" customWidth="1"/>
    <col min="8225" max="8228" width="0" style="42" hidden="1" customWidth="1"/>
    <col min="8229" max="8229" width="14.140625" style="42" customWidth="1"/>
    <col min="8230" max="8231" width="16.140625" style="42" customWidth="1"/>
    <col min="8232" max="8232" width="20.7109375" style="42" bestFit="1" customWidth="1"/>
    <col min="8233" max="8234" width="12.28515625" style="42" bestFit="1" customWidth="1"/>
    <col min="8235" max="8235" width="13.28515625" style="42" bestFit="1" customWidth="1"/>
    <col min="8236" max="8236" width="12.28515625" style="42" bestFit="1" customWidth="1"/>
    <col min="8237" max="8242" width="10.7109375" style="42" bestFit="1" customWidth="1"/>
    <col min="8243" max="8243" width="14.28515625" style="42" bestFit="1" customWidth="1"/>
    <col min="8244" max="8244" width="11.42578125" style="42" customWidth="1"/>
    <col min="8245" max="8448" width="9.140625" style="42"/>
    <col min="8449" max="8449" width="5.42578125" style="42" customWidth="1"/>
    <col min="8450" max="8450" width="3.5703125" style="42" customWidth="1"/>
    <col min="8451" max="8451" width="4.28515625" style="42" customWidth="1"/>
    <col min="8452" max="8452" width="4" style="42" customWidth="1"/>
    <col min="8453" max="8453" width="3.85546875" style="42" customWidth="1"/>
    <col min="8454" max="8454" width="4.7109375" style="42" customWidth="1"/>
    <col min="8455" max="8455" width="10.28515625" style="42" customWidth="1"/>
    <col min="8456" max="8456" width="37" style="42" customWidth="1"/>
    <col min="8457" max="8457" width="17" style="42" customWidth="1"/>
    <col min="8458" max="8458" width="3" style="42" customWidth="1"/>
    <col min="8459" max="8459" width="11.42578125" style="42" customWidth="1"/>
    <col min="8460" max="8461" width="3.5703125" style="42" customWidth="1"/>
    <col min="8462" max="8462" width="2.85546875" style="42" customWidth="1"/>
    <col min="8463" max="8463" width="25.28515625" style="42" customWidth="1"/>
    <col min="8464" max="8464" width="20.140625" style="42" customWidth="1"/>
    <col min="8465" max="8465" width="16.42578125" style="42" customWidth="1"/>
    <col min="8466" max="8466" width="7.28515625" style="42" customWidth="1"/>
    <col min="8467" max="8467" width="14.28515625" style="42" customWidth="1"/>
    <col min="8468" max="8468" width="7.42578125" style="42" customWidth="1"/>
    <col min="8469" max="8469" width="13.28515625" style="42" customWidth="1"/>
    <col min="8470" max="8470" width="10.28515625" style="42" customWidth="1"/>
    <col min="8471" max="8471" width="11.28515625" style="42" customWidth="1"/>
    <col min="8472" max="8472" width="10.5703125" style="42" customWidth="1"/>
    <col min="8473" max="8473" width="11" style="42" customWidth="1"/>
    <col min="8474" max="8475" width="10" style="42" customWidth="1"/>
    <col min="8476" max="8476" width="9" style="42" customWidth="1"/>
    <col min="8477" max="8477" width="11.5703125" style="42" customWidth="1"/>
    <col min="8478" max="8478" width="9.7109375" style="42" customWidth="1"/>
    <col min="8479" max="8479" width="9" style="42" customWidth="1"/>
    <col min="8480" max="8480" width="11" style="42" customWidth="1"/>
    <col min="8481" max="8484" width="0" style="42" hidden="1" customWidth="1"/>
    <col min="8485" max="8485" width="14.140625" style="42" customWidth="1"/>
    <col min="8486" max="8487" width="16.140625" style="42" customWidth="1"/>
    <col min="8488" max="8488" width="20.7109375" style="42" bestFit="1" customWidth="1"/>
    <col min="8489" max="8490" width="12.28515625" style="42" bestFit="1" customWidth="1"/>
    <col min="8491" max="8491" width="13.28515625" style="42" bestFit="1" customWidth="1"/>
    <col min="8492" max="8492" width="12.28515625" style="42" bestFit="1" customWidth="1"/>
    <col min="8493" max="8498" width="10.7109375" style="42" bestFit="1" customWidth="1"/>
    <col min="8499" max="8499" width="14.28515625" style="42" bestFit="1" customWidth="1"/>
    <col min="8500" max="8500" width="11.42578125" style="42" customWidth="1"/>
    <col min="8501" max="8704" width="9.140625" style="42"/>
    <col min="8705" max="8705" width="5.42578125" style="42" customWidth="1"/>
    <col min="8706" max="8706" width="3.5703125" style="42" customWidth="1"/>
    <col min="8707" max="8707" width="4.28515625" style="42" customWidth="1"/>
    <col min="8708" max="8708" width="4" style="42" customWidth="1"/>
    <col min="8709" max="8709" width="3.85546875" style="42" customWidth="1"/>
    <col min="8710" max="8710" width="4.7109375" style="42" customWidth="1"/>
    <col min="8711" max="8711" width="10.28515625" style="42" customWidth="1"/>
    <col min="8712" max="8712" width="37" style="42" customWidth="1"/>
    <col min="8713" max="8713" width="17" style="42" customWidth="1"/>
    <col min="8714" max="8714" width="3" style="42" customWidth="1"/>
    <col min="8715" max="8715" width="11.42578125" style="42" customWidth="1"/>
    <col min="8716" max="8717" width="3.5703125" style="42" customWidth="1"/>
    <col min="8718" max="8718" width="2.85546875" style="42" customWidth="1"/>
    <col min="8719" max="8719" width="25.28515625" style="42" customWidth="1"/>
    <col min="8720" max="8720" width="20.140625" style="42" customWidth="1"/>
    <col min="8721" max="8721" width="16.42578125" style="42" customWidth="1"/>
    <col min="8722" max="8722" width="7.28515625" style="42" customWidth="1"/>
    <col min="8723" max="8723" width="14.28515625" style="42" customWidth="1"/>
    <col min="8724" max="8724" width="7.42578125" style="42" customWidth="1"/>
    <col min="8725" max="8725" width="13.28515625" style="42" customWidth="1"/>
    <col min="8726" max="8726" width="10.28515625" style="42" customWidth="1"/>
    <col min="8727" max="8727" width="11.28515625" style="42" customWidth="1"/>
    <col min="8728" max="8728" width="10.5703125" style="42" customWidth="1"/>
    <col min="8729" max="8729" width="11" style="42" customWidth="1"/>
    <col min="8730" max="8731" width="10" style="42" customWidth="1"/>
    <col min="8732" max="8732" width="9" style="42" customWidth="1"/>
    <col min="8733" max="8733" width="11.5703125" style="42" customWidth="1"/>
    <col min="8734" max="8734" width="9.7109375" style="42" customWidth="1"/>
    <col min="8735" max="8735" width="9" style="42" customWidth="1"/>
    <col min="8736" max="8736" width="11" style="42" customWidth="1"/>
    <col min="8737" max="8740" width="0" style="42" hidden="1" customWidth="1"/>
    <col min="8741" max="8741" width="14.140625" style="42" customWidth="1"/>
    <col min="8742" max="8743" width="16.140625" style="42" customWidth="1"/>
    <col min="8744" max="8744" width="20.7109375" style="42" bestFit="1" customWidth="1"/>
    <col min="8745" max="8746" width="12.28515625" style="42" bestFit="1" customWidth="1"/>
    <col min="8747" max="8747" width="13.28515625" style="42" bestFit="1" customWidth="1"/>
    <col min="8748" max="8748" width="12.28515625" style="42" bestFit="1" customWidth="1"/>
    <col min="8749" max="8754" width="10.7109375" style="42" bestFit="1" customWidth="1"/>
    <col min="8755" max="8755" width="14.28515625" style="42" bestFit="1" customWidth="1"/>
    <col min="8756" max="8756" width="11.42578125" style="42" customWidth="1"/>
    <col min="8757" max="8960" width="9.140625" style="42"/>
    <col min="8961" max="8961" width="5.42578125" style="42" customWidth="1"/>
    <col min="8962" max="8962" width="3.5703125" style="42" customWidth="1"/>
    <col min="8963" max="8963" width="4.28515625" style="42" customWidth="1"/>
    <col min="8964" max="8964" width="4" style="42" customWidth="1"/>
    <col min="8965" max="8965" width="3.85546875" style="42" customWidth="1"/>
    <col min="8966" max="8966" width="4.7109375" style="42" customWidth="1"/>
    <col min="8967" max="8967" width="10.28515625" style="42" customWidth="1"/>
    <col min="8968" max="8968" width="37" style="42" customWidth="1"/>
    <col min="8969" max="8969" width="17" style="42" customWidth="1"/>
    <col min="8970" max="8970" width="3" style="42" customWidth="1"/>
    <col min="8971" max="8971" width="11.42578125" style="42" customWidth="1"/>
    <col min="8972" max="8973" width="3.5703125" style="42" customWidth="1"/>
    <col min="8974" max="8974" width="2.85546875" style="42" customWidth="1"/>
    <col min="8975" max="8975" width="25.28515625" style="42" customWidth="1"/>
    <col min="8976" max="8976" width="20.140625" style="42" customWidth="1"/>
    <col min="8977" max="8977" width="16.42578125" style="42" customWidth="1"/>
    <col min="8978" max="8978" width="7.28515625" style="42" customWidth="1"/>
    <col min="8979" max="8979" width="14.28515625" style="42" customWidth="1"/>
    <col min="8980" max="8980" width="7.42578125" style="42" customWidth="1"/>
    <col min="8981" max="8981" width="13.28515625" style="42" customWidth="1"/>
    <col min="8982" max="8982" width="10.28515625" style="42" customWidth="1"/>
    <col min="8983" max="8983" width="11.28515625" style="42" customWidth="1"/>
    <col min="8984" max="8984" width="10.5703125" style="42" customWidth="1"/>
    <col min="8985" max="8985" width="11" style="42" customWidth="1"/>
    <col min="8986" max="8987" width="10" style="42" customWidth="1"/>
    <col min="8988" max="8988" width="9" style="42" customWidth="1"/>
    <col min="8989" max="8989" width="11.5703125" style="42" customWidth="1"/>
    <col min="8990" max="8990" width="9.7109375" style="42" customWidth="1"/>
    <col min="8991" max="8991" width="9" style="42" customWidth="1"/>
    <col min="8992" max="8992" width="11" style="42" customWidth="1"/>
    <col min="8993" max="8996" width="0" style="42" hidden="1" customWidth="1"/>
    <col min="8997" max="8997" width="14.140625" style="42" customWidth="1"/>
    <col min="8998" max="8999" width="16.140625" style="42" customWidth="1"/>
    <col min="9000" max="9000" width="20.7109375" style="42" bestFit="1" customWidth="1"/>
    <col min="9001" max="9002" width="12.28515625" style="42" bestFit="1" customWidth="1"/>
    <col min="9003" max="9003" width="13.28515625" style="42" bestFit="1" customWidth="1"/>
    <col min="9004" max="9004" width="12.28515625" style="42" bestFit="1" customWidth="1"/>
    <col min="9005" max="9010" width="10.7109375" style="42" bestFit="1" customWidth="1"/>
    <col min="9011" max="9011" width="14.28515625" style="42" bestFit="1" customWidth="1"/>
    <col min="9012" max="9012" width="11.42578125" style="42" customWidth="1"/>
    <col min="9013" max="9216" width="9.140625" style="42"/>
    <col min="9217" max="9217" width="5.42578125" style="42" customWidth="1"/>
    <col min="9218" max="9218" width="3.5703125" style="42" customWidth="1"/>
    <col min="9219" max="9219" width="4.28515625" style="42" customWidth="1"/>
    <col min="9220" max="9220" width="4" style="42" customWidth="1"/>
    <col min="9221" max="9221" width="3.85546875" style="42" customWidth="1"/>
    <col min="9222" max="9222" width="4.7109375" style="42" customWidth="1"/>
    <col min="9223" max="9223" width="10.28515625" style="42" customWidth="1"/>
    <col min="9224" max="9224" width="37" style="42" customWidth="1"/>
    <col min="9225" max="9225" width="17" style="42" customWidth="1"/>
    <col min="9226" max="9226" width="3" style="42" customWidth="1"/>
    <col min="9227" max="9227" width="11.42578125" style="42" customWidth="1"/>
    <col min="9228" max="9229" width="3.5703125" style="42" customWidth="1"/>
    <col min="9230" max="9230" width="2.85546875" style="42" customWidth="1"/>
    <col min="9231" max="9231" width="25.28515625" style="42" customWidth="1"/>
    <col min="9232" max="9232" width="20.140625" style="42" customWidth="1"/>
    <col min="9233" max="9233" width="16.42578125" style="42" customWidth="1"/>
    <col min="9234" max="9234" width="7.28515625" style="42" customWidth="1"/>
    <col min="9235" max="9235" width="14.28515625" style="42" customWidth="1"/>
    <col min="9236" max="9236" width="7.42578125" style="42" customWidth="1"/>
    <col min="9237" max="9237" width="13.28515625" style="42" customWidth="1"/>
    <col min="9238" max="9238" width="10.28515625" style="42" customWidth="1"/>
    <col min="9239" max="9239" width="11.28515625" style="42" customWidth="1"/>
    <col min="9240" max="9240" width="10.5703125" style="42" customWidth="1"/>
    <col min="9241" max="9241" width="11" style="42" customWidth="1"/>
    <col min="9242" max="9243" width="10" style="42" customWidth="1"/>
    <col min="9244" max="9244" width="9" style="42" customWidth="1"/>
    <col min="9245" max="9245" width="11.5703125" style="42" customWidth="1"/>
    <col min="9246" max="9246" width="9.7109375" style="42" customWidth="1"/>
    <col min="9247" max="9247" width="9" style="42" customWidth="1"/>
    <col min="9248" max="9248" width="11" style="42" customWidth="1"/>
    <col min="9249" max="9252" width="0" style="42" hidden="1" customWidth="1"/>
    <col min="9253" max="9253" width="14.140625" style="42" customWidth="1"/>
    <col min="9254" max="9255" width="16.140625" style="42" customWidth="1"/>
    <col min="9256" max="9256" width="20.7109375" style="42" bestFit="1" customWidth="1"/>
    <col min="9257" max="9258" width="12.28515625" style="42" bestFit="1" customWidth="1"/>
    <col min="9259" max="9259" width="13.28515625" style="42" bestFit="1" customWidth="1"/>
    <col min="9260" max="9260" width="12.28515625" style="42" bestFit="1" customWidth="1"/>
    <col min="9261" max="9266" width="10.7109375" style="42" bestFit="1" customWidth="1"/>
    <col min="9267" max="9267" width="14.28515625" style="42" bestFit="1" customWidth="1"/>
    <col min="9268" max="9268" width="11.42578125" style="42" customWidth="1"/>
    <col min="9269" max="9472" width="9.140625" style="42"/>
    <col min="9473" max="9473" width="5.42578125" style="42" customWidth="1"/>
    <col min="9474" max="9474" width="3.5703125" style="42" customWidth="1"/>
    <col min="9475" max="9475" width="4.28515625" style="42" customWidth="1"/>
    <col min="9476" max="9476" width="4" style="42" customWidth="1"/>
    <col min="9477" max="9477" width="3.85546875" style="42" customWidth="1"/>
    <col min="9478" max="9478" width="4.7109375" style="42" customWidth="1"/>
    <col min="9479" max="9479" width="10.28515625" style="42" customWidth="1"/>
    <col min="9480" max="9480" width="37" style="42" customWidth="1"/>
    <col min="9481" max="9481" width="17" style="42" customWidth="1"/>
    <col min="9482" max="9482" width="3" style="42" customWidth="1"/>
    <col min="9483" max="9483" width="11.42578125" style="42" customWidth="1"/>
    <col min="9484" max="9485" width="3.5703125" style="42" customWidth="1"/>
    <col min="9486" max="9486" width="2.85546875" style="42" customWidth="1"/>
    <col min="9487" max="9487" width="25.28515625" style="42" customWidth="1"/>
    <col min="9488" max="9488" width="20.140625" style="42" customWidth="1"/>
    <col min="9489" max="9489" width="16.42578125" style="42" customWidth="1"/>
    <col min="9490" max="9490" width="7.28515625" style="42" customWidth="1"/>
    <col min="9491" max="9491" width="14.28515625" style="42" customWidth="1"/>
    <col min="9492" max="9492" width="7.42578125" style="42" customWidth="1"/>
    <col min="9493" max="9493" width="13.28515625" style="42" customWidth="1"/>
    <col min="9494" max="9494" width="10.28515625" style="42" customWidth="1"/>
    <col min="9495" max="9495" width="11.28515625" style="42" customWidth="1"/>
    <col min="9496" max="9496" width="10.5703125" style="42" customWidth="1"/>
    <col min="9497" max="9497" width="11" style="42" customWidth="1"/>
    <col min="9498" max="9499" width="10" style="42" customWidth="1"/>
    <col min="9500" max="9500" width="9" style="42" customWidth="1"/>
    <col min="9501" max="9501" width="11.5703125" style="42" customWidth="1"/>
    <col min="9502" max="9502" width="9.7109375" style="42" customWidth="1"/>
    <col min="9503" max="9503" width="9" style="42" customWidth="1"/>
    <col min="9504" max="9504" width="11" style="42" customWidth="1"/>
    <col min="9505" max="9508" width="0" style="42" hidden="1" customWidth="1"/>
    <col min="9509" max="9509" width="14.140625" style="42" customWidth="1"/>
    <col min="9510" max="9511" width="16.140625" style="42" customWidth="1"/>
    <col min="9512" max="9512" width="20.7109375" style="42" bestFit="1" customWidth="1"/>
    <col min="9513" max="9514" width="12.28515625" style="42" bestFit="1" customWidth="1"/>
    <col min="9515" max="9515" width="13.28515625" style="42" bestFit="1" customWidth="1"/>
    <col min="9516" max="9516" width="12.28515625" style="42" bestFit="1" customWidth="1"/>
    <col min="9517" max="9522" width="10.7109375" style="42" bestFit="1" customWidth="1"/>
    <col min="9523" max="9523" width="14.28515625" style="42" bestFit="1" customWidth="1"/>
    <col min="9524" max="9524" width="11.42578125" style="42" customWidth="1"/>
    <col min="9525" max="9728" width="9.140625" style="42"/>
    <col min="9729" max="9729" width="5.42578125" style="42" customWidth="1"/>
    <col min="9730" max="9730" width="3.5703125" style="42" customWidth="1"/>
    <col min="9731" max="9731" width="4.28515625" style="42" customWidth="1"/>
    <col min="9732" max="9732" width="4" style="42" customWidth="1"/>
    <col min="9733" max="9733" width="3.85546875" style="42" customWidth="1"/>
    <col min="9734" max="9734" width="4.7109375" style="42" customWidth="1"/>
    <col min="9735" max="9735" width="10.28515625" style="42" customWidth="1"/>
    <col min="9736" max="9736" width="37" style="42" customWidth="1"/>
    <col min="9737" max="9737" width="17" style="42" customWidth="1"/>
    <col min="9738" max="9738" width="3" style="42" customWidth="1"/>
    <col min="9739" max="9739" width="11.42578125" style="42" customWidth="1"/>
    <col min="9740" max="9741" width="3.5703125" style="42" customWidth="1"/>
    <col min="9742" max="9742" width="2.85546875" style="42" customWidth="1"/>
    <col min="9743" max="9743" width="25.28515625" style="42" customWidth="1"/>
    <col min="9744" max="9744" width="20.140625" style="42" customWidth="1"/>
    <col min="9745" max="9745" width="16.42578125" style="42" customWidth="1"/>
    <col min="9746" max="9746" width="7.28515625" style="42" customWidth="1"/>
    <col min="9747" max="9747" width="14.28515625" style="42" customWidth="1"/>
    <col min="9748" max="9748" width="7.42578125" style="42" customWidth="1"/>
    <col min="9749" max="9749" width="13.28515625" style="42" customWidth="1"/>
    <col min="9750" max="9750" width="10.28515625" style="42" customWidth="1"/>
    <col min="9751" max="9751" width="11.28515625" style="42" customWidth="1"/>
    <col min="9752" max="9752" width="10.5703125" style="42" customWidth="1"/>
    <col min="9753" max="9753" width="11" style="42" customWidth="1"/>
    <col min="9754" max="9755" width="10" style="42" customWidth="1"/>
    <col min="9756" max="9756" width="9" style="42" customWidth="1"/>
    <col min="9757" max="9757" width="11.5703125" style="42" customWidth="1"/>
    <col min="9758" max="9758" width="9.7109375" style="42" customWidth="1"/>
    <col min="9759" max="9759" width="9" style="42" customWidth="1"/>
    <col min="9760" max="9760" width="11" style="42" customWidth="1"/>
    <col min="9761" max="9764" width="0" style="42" hidden="1" customWidth="1"/>
    <col min="9765" max="9765" width="14.140625" style="42" customWidth="1"/>
    <col min="9766" max="9767" width="16.140625" style="42" customWidth="1"/>
    <col min="9768" max="9768" width="20.7109375" style="42" bestFit="1" customWidth="1"/>
    <col min="9769" max="9770" width="12.28515625" style="42" bestFit="1" customWidth="1"/>
    <col min="9771" max="9771" width="13.28515625" style="42" bestFit="1" customWidth="1"/>
    <col min="9772" max="9772" width="12.28515625" style="42" bestFit="1" customWidth="1"/>
    <col min="9773" max="9778" width="10.7109375" style="42" bestFit="1" customWidth="1"/>
    <col min="9779" max="9779" width="14.28515625" style="42" bestFit="1" customWidth="1"/>
    <col min="9780" max="9780" width="11.42578125" style="42" customWidth="1"/>
    <col min="9781" max="9984" width="9.140625" style="42"/>
    <col min="9985" max="9985" width="5.42578125" style="42" customWidth="1"/>
    <col min="9986" max="9986" width="3.5703125" style="42" customWidth="1"/>
    <col min="9987" max="9987" width="4.28515625" style="42" customWidth="1"/>
    <col min="9988" max="9988" width="4" style="42" customWidth="1"/>
    <col min="9989" max="9989" width="3.85546875" style="42" customWidth="1"/>
    <col min="9990" max="9990" width="4.7109375" style="42" customWidth="1"/>
    <col min="9991" max="9991" width="10.28515625" style="42" customWidth="1"/>
    <col min="9992" max="9992" width="37" style="42" customWidth="1"/>
    <col min="9993" max="9993" width="17" style="42" customWidth="1"/>
    <col min="9994" max="9994" width="3" style="42" customWidth="1"/>
    <col min="9995" max="9995" width="11.42578125" style="42" customWidth="1"/>
    <col min="9996" max="9997" width="3.5703125" style="42" customWidth="1"/>
    <col min="9998" max="9998" width="2.85546875" style="42" customWidth="1"/>
    <col min="9999" max="9999" width="25.28515625" style="42" customWidth="1"/>
    <col min="10000" max="10000" width="20.140625" style="42" customWidth="1"/>
    <col min="10001" max="10001" width="16.42578125" style="42" customWidth="1"/>
    <col min="10002" max="10002" width="7.28515625" style="42" customWidth="1"/>
    <col min="10003" max="10003" width="14.28515625" style="42" customWidth="1"/>
    <col min="10004" max="10004" width="7.42578125" style="42" customWidth="1"/>
    <col min="10005" max="10005" width="13.28515625" style="42" customWidth="1"/>
    <col min="10006" max="10006" width="10.28515625" style="42" customWidth="1"/>
    <col min="10007" max="10007" width="11.28515625" style="42" customWidth="1"/>
    <col min="10008" max="10008" width="10.5703125" style="42" customWidth="1"/>
    <col min="10009" max="10009" width="11" style="42" customWidth="1"/>
    <col min="10010" max="10011" width="10" style="42" customWidth="1"/>
    <col min="10012" max="10012" width="9" style="42" customWidth="1"/>
    <col min="10013" max="10013" width="11.5703125" style="42" customWidth="1"/>
    <col min="10014" max="10014" width="9.7109375" style="42" customWidth="1"/>
    <col min="10015" max="10015" width="9" style="42" customWidth="1"/>
    <col min="10016" max="10016" width="11" style="42" customWidth="1"/>
    <col min="10017" max="10020" width="0" style="42" hidden="1" customWidth="1"/>
    <col min="10021" max="10021" width="14.140625" style="42" customWidth="1"/>
    <col min="10022" max="10023" width="16.140625" style="42" customWidth="1"/>
    <col min="10024" max="10024" width="20.7109375" style="42" bestFit="1" customWidth="1"/>
    <col min="10025" max="10026" width="12.28515625" style="42" bestFit="1" customWidth="1"/>
    <col min="10027" max="10027" width="13.28515625" style="42" bestFit="1" customWidth="1"/>
    <col min="10028" max="10028" width="12.28515625" style="42" bestFit="1" customWidth="1"/>
    <col min="10029" max="10034" width="10.7109375" style="42" bestFit="1" customWidth="1"/>
    <col min="10035" max="10035" width="14.28515625" style="42" bestFit="1" customWidth="1"/>
    <col min="10036" max="10036" width="11.42578125" style="42" customWidth="1"/>
    <col min="10037" max="10240" width="9.140625" style="42"/>
    <col min="10241" max="10241" width="5.42578125" style="42" customWidth="1"/>
    <col min="10242" max="10242" width="3.5703125" style="42" customWidth="1"/>
    <col min="10243" max="10243" width="4.28515625" style="42" customWidth="1"/>
    <col min="10244" max="10244" width="4" style="42" customWidth="1"/>
    <col min="10245" max="10245" width="3.85546875" style="42" customWidth="1"/>
    <col min="10246" max="10246" width="4.7109375" style="42" customWidth="1"/>
    <col min="10247" max="10247" width="10.28515625" style="42" customWidth="1"/>
    <col min="10248" max="10248" width="37" style="42" customWidth="1"/>
    <col min="10249" max="10249" width="17" style="42" customWidth="1"/>
    <col min="10250" max="10250" width="3" style="42" customWidth="1"/>
    <col min="10251" max="10251" width="11.42578125" style="42" customWidth="1"/>
    <col min="10252" max="10253" width="3.5703125" style="42" customWidth="1"/>
    <col min="10254" max="10254" width="2.85546875" style="42" customWidth="1"/>
    <col min="10255" max="10255" width="25.28515625" style="42" customWidth="1"/>
    <col min="10256" max="10256" width="20.140625" style="42" customWidth="1"/>
    <col min="10257" max="10257" width="16.42578125" style="42" customWidth="1"/>
    <col min="10258" max="10258" width="7.28515625" style="42" customWidth="1"/>
    <col min="10259" max="10259" width="14.28515625" style="42" customWidth="1"/>
    <col min="10260" max="10260" width="7.42578125" style="42" customWidth="1"/>
    <col min="10261" max="10261" width="13.28515625" style="42" customWidth="1"/>
    <col min="10262" max="10262" width="10.28515625" style="42" customWidth="1"/>
    <col min="10263" max="10263" width="11.28515625" style="42" customWidth="1"/>
    <col min="10264" max="10264" width="10.5703125" style="42" customWidth="1"/>
    <col min="10265" max="10265" width="11" style="42" customWidth="1"/>
    <col min="10266" max="10267" width="10" style="42" customWidth="1"/>
    <col min="10268" max="10268" width="9" style="42" customWidth="1"/>
    <col min="10269" max="10269" width="11.5703125" style="42" customWidth="1"/>
    <col min="10270" max="10270" width="9.7109375" style="42" customWidth="1"/>
    <col min="10271" max="10271" width="9" style="42" customWidth="1"/>
    <col min="10272" max="10272" width="11" style="42" customWidth="1"/>
    <col min="10273" max="10276" width="0" style="42" hidden="1" customWidth="1"/>
    <col min="10277" max="10277" width="14.140625" style="42" customWidth="1"/>
    <col min="10278" max="10279" width="16.140625" style="42" customWidth="1"/>
    <col min="10280" max="10280" width="20.7109375" style="42" bestFit="1" customWidth="1"/>
    <col min="10281" max="10282" width="12.28515625" style="42" bestFit="1" customWidth="1"/>
    <col min="10283" max="10283" width="13.28515625" style="42" bestFit="1" customWidth="1"/>
    <col min="10284" max="10284" width="12.28515625" style="42" bestFit="1" customWidth="1"/>
    <col min="10285" max="10290" width="10.7109375" style="42" bestFit="1" customWidth="1"/>
    <col min="10291" max="10291" width="14.28515625" style="42" bestFit="1" customWidth="1"/>
    <col min="10292" max="10292" width="11.42578125" style="42" customWidth="1"/>
    <col min="10293" max="10496" width="9.140625" style="42"/>
    <col min="10497" max="10497" width="5.42578125" style="42" customWidth="1"/>
    <col min="10498" max="10498" width="3.5703125" style="42" customWidth="1"/>
    <col min="10499" max="10499" width="4.28515625" style="42" customWidth="1"/>
    <col min="10500" max="10500" width="4" style="42" customWidth="1"/>
    <col min="10501" max="10501" width="3.85546875" style="42" customWidth="1"/>
    <col min="10502" max="10502" width="4.7109375" style="42" customWidth="1"/>
    <col min="10503" max="10503" width="10.28515625" style="42" customWidth="1"/>
    <col min="10504" max="10504" width="37" style="42" customWidth="1"/>
    <col min="10505" max="10505" width="17" style="42" customWidth="1"/>
    <col min="10506" max="10506" width="3" style="42" customWidth="1"/>
    <col min="10507" max="10507" width="11.42578125" style="42" customWidth="1"/>
    <col min="10508" max="10509" width="3.5703125" style="42" customWidth="1"/>
    <col min="10510" max="10510" width="2.85546875" style="42" customWidth="1"/>
    <col min="10511" max="10511" width="25.28515625" style="42" customWidth="1"/>
    <col min="10512" max="10512" width="20.140625" style="42" customWidth="1"/>
    <col min="10513" max="10513" width="16.42578125" style="42" customWidth="1"/>
    <col min="10514" max="10514" width="7.28515625" style="42" customWidth="1"/>
    <col min="10515" max="10515" width="14.28515625" style="42" customWidth="1"/>
    <col min="10516" max="10516" width="7.42578125" style="42" customWidth="1"/>
    <col min="10517" max="10517" width="13.28515625" style="42" customWidth="1"/>
    <col min="10518" max="10518" width="10.28515625" style="42" customWidth="1"/>
    <col min="10519" max="10519" width="11.28515625" style="42" customWidth="1"/>
    <col min="10520" max="10520" width="10.5703125" style="42" customWidth="1"/>
    <col min="10521" max="10521" width="11" style="42" customWidth="1"/>
    <col min="10522" max="10523" width="10" style="42" customWidth="1"/>
    <col min="10524" max="10524" width="9" style="42" customWidth="1"/>
    <col min="10525" max="10525" width="11.5703125" style="42" customWidth="1"/>
    <col min="10526" max="10526" width="9.7109375" style="42" customWidth="1"/>
    <col min="10527" max="10527" width="9" style="42" customWidth="1"/>
    <col min="10528" max="10528" width="11" style="42" customWidth="1"/>
    <col min="10529" max="10532" width="0" style="42" hidden="1" customWidth="1"/>
    <col min="10533" max="10533" width="14.140625" style="42" customWidth="1"/>
    <col min="10534" max="10535" width="16.140625" style="42" customWidth="1"/>
    <col min="10536" max="10536" width="20.7109375" style="42" bestFit="1" customWidth="1"/>
    <col min="10537" max="10538" width="12.28515625" style="42" bestFit="1" customWidth="1"/>
    <col min="10539" max="10539" width="13.28515625" style="42" bestFit="1" customWidth="1"/>
    <col min="10540" max="10540" width="12.28515625" style="42" bestFit="1" customWidth="1"/>
    <col min="10541" max="10546" width="10.7109375" style="42" bestFit="1" customWidth="1"/>
    <col min="10547" max="10547" width="14.28515625" style="42" bestFit="1" customWidth="1"/>
    <col min="10548" max="10548" width="11.42578125" style="42" customWidth="1"/>
    <col min="10549" max="10752" width="9.140625" style="42"/>
    <col min="10753" max="10753" width="5.42578125" style="42" customWidth="1"/>
    <col min="10754" max="10754" width="3.5703125" style="42" customWidth="1"/>
    <col min="10755" max="10755" width="4.28515625" style="42" customWidth="1"/>
    <col min="10756" max="10756" width="4" style="42" customWidth="1"/>
    <col min="10757" max="10757" width="3.85546875" style="42" customWidth="1"/>
    <col min="10758" max="10758" width="4.7109375" style="42" customWidth="1"/>
    <col min="10759" max="10759" width="10.28515625" style="42" customWidth="1"/>
    <col min="10760" max="10760" width="37" style="42" customWidth="1"/>
    <col min="10761" max="10761" width="17" style="42" customWidth="1"/>
    <col min="10762" max="10762" width="3" style="42" customWidth="1"/>
    <col min="10763" max="10763" width="11.42578125" style="42" customWidth="1"/>
    <col min="10764" max="10765" width="3.5703125" style="42" customWidth="1"/>
    <col min="10766" max="10766" width="2.85546875" style="42" customWidth="1"/>
    <col min="10767" max="10767" width="25.28515625" style="42" customWidth="1"/>
    <col min="10768" max="10768" width="20.140625" style="42" customWidth="1"/>
    <col min="10769" max="10769" width="16.42578125" style="42" customWidth="1"/>
    <col min="10770" max="10770" width="7.28515625" style="42" customWidth="1"/>
    <col min="10771" max="10771" width="14.28515625" style="42" customWidth="1"/>
    <col min="10772" max="10772" width="7.42578125" style="42" customWidth="1"/>
    <col min="10773" max="10773" width="13.28515625" style="42" customWidth="1"/>
    <col min="10774" max="10774" width="10.28515625" style="42" customWidth="1"/>
    <col min="10775" max="10775" width="11.28515625" style="42" customWidth="1"/>
    <col min="10776" max="10776" width="10.5703125" style="42" customWidth="1"/>
    <col min="10777" max="10777" width="11" style="42" customWidth="1"/>
    <col min="10778" max="10779" width="10" style="42" customWidth="1"/>
    <col min="10780" max="10780" width="9" style="42" customWidth="1"/>
    <col min="10781" max="10781" width="11.5703125" style="42" customWidth="1"/>
    <col min="10782" max="10782" width="9.7109375" style="42" customWidth="1"/>
    <col min="10783" max="10783" width="9" style="42" customWidth="1"/>
    <col min="10784" max="10784" width="11" style="42" customWidth="1"/>
    <col min="10785" max="10788" width="0" style="42" hidden="1" customWidth="1"/>
    <col min="10789" max="10789" width="14.140625" style="42" customWidth="1"/>
    <col min="10790" max="10791" width="16.140625" style="42" customWidth="1"/>
    <col min="10792" max="10792" width="20.7109375" style="42" bestFit="1" customWidth="1"/>
    <col min="10793" max="10794" width="12.28515625" style="42" bestFit="1" customWidth="1"/>
    <col min="10795" max="10795" width="13.28515625" style="42" bestFit="1" customWidth="1"/>
    <col min="10796" max="10796" width="12.28515625" style="42" bestFit="1" customWidth="1"/>
    <col min="10797" max="10802" width="10.7109375" style="42" bestFit="1" customWidth="1"/>
    <col min="10803" max="10803" width="14.28515625" style="42" bestFit="1" customWidth="1"/>
    <col min="10804" max="10804" width="11.42578125" style="42" customWidth="1"/>
    <col min="10805" max="11008" width="9.140625" style="42"/>
    <col min="11009" max="11009" width="5.42578125" style="42" customWidth="1"/>
    <col min="11010" max="11010" width="3.5703125" style="42" customWidth="1"/>
    <col min="11011" max="11011" width="4.28515625" style="42" customWidth="1"/>
    <col min="11012" max="11012" width="4" style="42" customWidth="1"/>
    <col min="11013" max="11013" width="3.85546875" style="42" customWidth="1"/>
    <col min="11014" max="11014" width="4.7109375" style="42" customWidth="1"/>
    <col min="11015" max="11015" width="10.28515625" style="42" customWidth="1"/>
    <col min="11016" max="11016" width="37" style="42" customWidth="1"/>
    <col min="11017" max="11017" width="17" style="42" customWidth="1"/>
    <col min="11018" max="11018" width="3" style="42" customWidth="1"/>
    <col min="11019" max="11019" width="11.42578125" style="42" customWidth="1"/>
    <col min="11020" max="11021" width="3.5703125" style="42" customWidth="1"/>
    <col min="11022" max="11022" width="2.85546875" style="42" customWidth="1"/>
    <col min="11023" max="11023" width="25.28515625" style="42" customWidth="1"/>
    <col min="11024" max="11024" width="20.140625" style="42" customWidth="1"/>
    <col min="11025" max="11025" width="16.42578125" style="42" customWidth="1"/>
    <col min="11026" max="11026" width="7.28515625" style="42" customWidth="1"/>
    <col min="11027" max="11027" width="14.28515625" style="42" customWidth="1"/>
    <col min="11028" max="11028" width="7.42578125" style="42" customWidth="1"/>
    <col min="11029" max="11029" width="13.28515625" style="42" customWidth="1"/>
    <col min="11030" max="11030" width="10.28515625" style="42" customWidth="1"/>
    <col min="11031" max="11031" width="11.28515625" style="42" customWidth="1"/>
    <col min="11032" max="11032" width="10.5703125" style="42" customWidth="1"/>
    <col min="11033" max="11033" width="11" style="42" customWidth="1"/>
    <col min="11034" max="11035" width="10" style="42" customWidth="1"/>
    <col min="11036" max="11036" width="9" style="42" customWidth="1"/>
    <col min="11037" max="11037" width="11.5703125" style="42" customWidth="1"/>
    <col min="11038" max="11038" width="9.7109375" style="42" customWidth="1"/>
    <col min="11039" max="11039" width="9" style="42" customWidth="1"/>
    <col min="11040" max="11040" width="11" style="42" customWidth="1"/>
    <col min="11041" max="11044" width="0" style="42" hidden="1" customWidth="1"/>
    <col min="11045" max="11045" width="14.140625" style="42" customWidth="1"/>
    <col min="11046" max="11047" width="16.140625" style="42" customWidth="1"/>
    <col min="11048" max="11048" width="20.7109375" style="42" bestFit="1" customWidth="1"/>
    <col min="11049" max="11050" width="12.28515625" style="42" bestFit="1" customWidth="1"/>
    <col min="11051" max="11051" width="13.28515625" style="42" bestFit="1" customWidth="1"/>
    <col min="11052" max="11052" width="12.28515625" style="42" bestFit="1" customWidth="1"/>
    <col min="11053" max="11058" width="10.7109375" style="42" bestFit="1" customWidth="1"/>
    <col min="11059" max="11059" width="14.28515625" style="42" bestFit="1" customWidth="1"/>
    <col min="11060" max="11060" width="11.42578125" style="42" customWidth="1"/>
    <col min="11061" max="11264" width="9.140625" style="42"/>
    <col min="11265" max="11265" width="5.42578125" style="42" customWidth="1"/>
    <col min="11266" max="11266" width="3.5703125" style="42" customWidth="1"/>
    <col min="11267" max="11267" width="4.28515625" style="42" customWidth="1"/>
    <col min="11268" max="11268" width="4" style="42" customWidth="1"/>
    <col min="11269" max="11269" width="3.85546875" style="42" customWidth="1"/>
    <col min="11270" max="11270" width="4.7109375" style="42" customWidth="1"/>
    <col min="11271" max="11271" width="10.28515625" style="42" customWidth="1"/>
    <col min="11272" max="11272" width="37" style="42" customWidth="1"/>
    <col min="11273" max="11273" width="17" style="42" customWidth="1"/>
    <col min="11274" max="11274" width="3" style="42" customWidth="1"/>
    <col min="11275" max="11275" width="11.42578125" style="42" customWidth="1"/>
    <col min="11276" max="11277" width="3.5703125" style="42" customWidth="1"/>
    <col min="11278" max="11278" width="2.85546875" style="42" customWidth="1"/>
    <col min="11279" max="11279" width="25.28515625" style="42" customWidth="1"/>
    <col min="11280" max="11280" width="20.140625" style="42" customWidth="1"/>
    <col min="11281" max="11281" width="16.42578125" style="42" customWidth="1"/>
    <col min="11282" max="11282" width="7.28515625" style="42" customWidth="1"/>
    <col min="11283" max="11283" width="14.28515625" style="42" customWidth="1"/>
    <col min="11284" max="11284" width="7.42578125" style="42" customWidth="1"/>
    <col min="11285" max="11285" width="13.28515625" style="42" customWidth="1"/>
    <col min="11286" max="11286" width="10.28515625" style="42" customWidth="1"/>
    <col min="11287" max="11287" width="11.28515625" style="42" customWidth="1"/>
    <col min="11288" max="11288" width="10.5703125" style="42" customWidth="1"/>
    <col min="11289" max="11289" width="11" style="42" customWidth="1"/>
    <col min="11290" max="11291" width="10" style="42" customWidth="1"/>
    <col min="11292" max="11292" width="9" style="42" customWidth="1"/>
    <col min="11293" max="11293" width="11.5703125" style="42" customWidth="1"/>
    <col min="11294" max="11294" width="9.7109375" style="42" customWidth="1"/>
    <col min="11295" max="11295" width="9" style="42" customWidth="1"/>
    <col min="11296" max="11296" width="11" style="42" customWidth="1"/>
    <col min="11297" max="11300" width="0" style="42" hidden="1" customWidth="1"/>
    <col min="11301" max="11301" width="14.140625" style="42" customWidth="1"/>
    <col min="11302" max="11303" width="16.140625" style="42" customWidth="1"/>
    <col min="11304" max="11304" width="20.7109375" style="42" bestFit="1" customWidth="1"/>
    <col min="11305" max="11306" width="12.28515625" style="42" bestFit="1" customWidth="1"/>
    <col min="11307" max="11307" width="13.28515625" style="42" bestFit="1" customWidth="1"/>
    <col min="11308" max="11308" width="12.28515625" style="42" bestFit="1" customWidth="1"/>
    <col min="11309" max="11314" width="10.7109375" style="42" bestFit="1" customWidth="1"/>
    <col min="11315" max="11315" width="14.28515625" style="42" bestFit="1" customWidth="1"/>
    <col min="11316" max="11316" width="11.42578125" style="42" customWidth="1"/>
    <col min="11317" max="11520" width="9.140625" style="42"/>
    <col min="11521" max="11521" width="5.42578125" style="42" customWidth="1"/>
    <col min="11522" max="11522" width="3.5703125" style="42" customWidth="1"/>
    <col min="11523" max="11523" width="4.28515625" style="42" customWidth="1"/>
    <col min="11524" max="11524" width="4" style="42" customWidth="1"/>
    <col min="11525" max="11525" width="3.85546875" style="42" customWidth="1"/>
    <col min="11526" max="11526" width="4.7109375" style="42" customWidth="1"/>
    <col min="11527" max="11527" width="10.28515625" style="42" customWidth="1"/>
    <col min="11528" max="11528" width="37" style="42" customWidth="1"/>
    <col min="11529" max="11529" width="17" style="42" customWidth="1"/>
    <col min="11530" max="11530" width="3" style="42" customWidth="1"/>
    <col min="11531" max="11531" width="11.42578125" style="42" customWidth="1"/>
    <col min="11532" max="11533" width="3.5703125" style="42" customWidth="1"/>
    <col min="11534" max="11534" width="2.85546875" style="42" customWidth="1"/>
    <col min="11535" max="11535" width="25.28515625" style="42" customWidth="1"/>
    <col min="11536" max="11536" width="20.140625" style="42" customWidth="1"/>
    <col min="11537" max="11537" width="16.42578125" style="42" customWidth="1"/>
    <col min="11538" max="11538" width="7.28515625" style="42" customWidth="1"/>
    <col min="11539" max="11539" width="14.28515625" style="42" customWidth="1"/>
    <col min="11540" max="11540" width="7.42578125" style="42" customWidth="1"/>
    <col min="11541" max="11541" width="13.28515625" style="42" customWidth="1"/>
    <col min="11542" max="11542" width="10.28515625" style="42" customWidth="1"/>
    <col min="11543" max="11543" width="11.28515625" style="42" customWidth="1"/>
    <col min="11544" max="11544" width="10.5703125" style="42" customWidth="1"/>
    <col min="11545" max="11545" width="11" style="42" customWidth="1"/>
    <col min="11546" max="11547" width="10" style="42" customWidth="1"/>
    <col min="11548" max="11548" width="9" style="42" customWidth="1"/>
    <col min="11549" max="11549" width="11.5703125" style="42" customWidth="1"/>
    <col min="11550" max="11550" width="9.7109375" style="42" customWidth="1"/>
    <col min="11551" max="11551" width="9" style="42" customWidth="1"/>
    <col min="11552" max="11552" width="11" style="42" customWidth="1"/>
    <col min="11553" max="11556" width="0" style="42" hidden="1" customWidth="1"/>
    <col min="11557" max="11557" width="14.140625" style="42" customWidth="1"/>
    <col min="11558" max="11559" width="16.140625" style="42" customWidth="1"/>
    <col min="11560" max="11560" width="20.7109375" style="42" bestFit="1" customWidth="1"/>
    <col min="11561" max="11562" width="12.28515625" style="42" bestFit="1" customWidth="1"/>
    <col min="11563" max="11563" width="13.28515625" style="42" bestFit="1" customWidth="1"/>
    <col min="11564" max="11564" width="12.28515625" style="42" bestFit="1" customWidth="1"/>
    <col min="11565" max="11570" width="10.7109375" style="42" bestFit="1" customWidth="1"/>
    <col min="11571" max="11571" width="14.28515625" style="42" bestFit="1" customWidth="1"/>
    <col min="11572" max="11572" width="11.42578125" style="42" customWidth="1"/>
    <col min="11573" max="11776" width="9.140625" style="42"/>
    <col min="11777" max="11777" width="5.42578125" style="42" customWidth="1"/>
    <col min="11778" max="11778" width="3.5703125" style="42" customWidth="1"/>
    <col min="11779" max="11779" width="4.28515625" style="42" customWidth="1"/>
    <col min="11780" max="11780" width="4" style="42" customWidth="1"/>
    <col min="11781" max="11781" width="3.85546875" style="42" customWidth="1"/>
    <col min="11782" max="11782" width="4.7109375" style="42" customWidth="1"/>
    <col min="11783" max="11783" width="10.28515625" style="42" customWidth="1"/>
    <col min="11784" max="11784" width="37" style="42" customWidth="1"/>
    <col min="11785" max="11785" width="17" style="42" customWidth="1"/>
    <col min="11786" max="11786" width="3" style="42" customWidth="1"/>
    <col min="11787" max="11787" width="11.42578125" style="42" customWidth="1"/>
    <col min="11788" max="11789" width="3.5703125" style="42" customWidth="1"/>
    <col min="11790" max="11790" width="2.85546875" style="42" customWidth="1"/>
    <col min="11791" max="11791" width="25.28515625" style="42" customWidth="1"/>
    <col min="11792" max="11792" width="20.140625" style="42" customWidth="1"/>
    <col min="11793" max="11793" width="16.42578125" style="42" customWidth="1"/>
    <col min="11794" max="11794" width="7.28515625" style="42" customWidth="1"/>
    <col min="11795" max="11795" width="14.28515625" style="42" customWidth="1"/>
    <col min="11796" max="11796" width="7.42578125" style="42" customWidth="1"/>
    <col min="11797" max="11797" width="13.28515625" style="42" customWidth="1"/>
    <col min="11798" max="11798" width="10.28515625" style="42" customWidth="1"/>
    <col min="11799" max="11799" width="11.28515625" style="42" customWidth="1"/>
    <col min="11800" max="11800" width="10.5703125" style="42" customWidth="1"/>
    <col min="11801" max="11801" width="11" style="42" customWidth="1"/>
    <col min="11802" max="11803" width="10" style="42" customWidth="1"/>
    <col min="11804" max="11804" width="9" style="42" customWidth="1"/>
    <col min="11805" max="11805" width="11.5703125" style="42" customWidth="1"/>
    <col min="11806" max="11806" width="9.7109375" style="42" customWidth="1"/>
    <col min="11807" max="11807" width="9" style="42" customWidth="1"/>
    <col min="11808" max="11808" width="11" style="42" customWidth="1"/>
    <col min="11809" max="11812" width="0" style="42" hidden="1" customWidth="1"/>
    <col min="11813" max="11813" width="14.140625" style="42" customWidth="1"/>
    <col min="11814" max="11815" width="16.140625" style="42" customWidth="1"/>
    <col min="11816" max="11816" width="20.7109375" style="42" bestFit="1" customWidth="1"/>
    <col min="11817" max="11818" width="12.28515625" style="42" bestFit="1" customWidth="1"/>
    <col min="11819" max="11819" width="13.28515625" style="42" bestFit="1" customWidth="1"/>
    <col min="11820" max="11820" width="12.28515625" style="42" bestFit="1" customWidth="1"/>
    <col min="11821" max="11826" width="10.7109375" style="42" bestFit="1" customWidth="1"/>
    <col min="11827" max="11827" width="14.28515625" style="42" bestFit="1" customWidth="1"/>
    <col min="11828" max="11828" width="11.42578125" style="42" customWidth="1"/>
    <col min="11829" max="12032" width="9.140625" style="42"/>
    <col min="12033" max="12033" width="5.42578125" style="42" customWidth="1"/>
    <col min="12034" max="12034" width="3.5703125" style="42" customWidth="1"/>
    <col min="12035" max="12035" width="4.28515625" style="42" customWidth="1"/>
    <col min="12036" max="12036" width="4" style="42" customWidth="1"/>
    <col min="12037" max="12037" width="3.85546875" style="42" customWidth="1"/>
    <col min="12038" max="12038" width="4.7109375" style="42" customWidth="1"/>
    <col min="12039" max="12039" width="10.28515625" style="42" customWidth="1"/>
    <col min="12040" max="12040" width="37" style="42" customWidth="1"/>
    <col min="12041" max="12041" width="17" style="42" customWidth="1"/>
    <col min="12042" max="12042" width="3" style="42" customWidth="1"/>
    <col min="12043" max="12043" width="11.42578125" style="42" customWidth="1"/>
    <col min="12044" max="12045" width="3.5703125" style="42" customWidth="1"/>
    <col min="12046" max="12046" width="2.85546875" style="42" customWidth="1"/>
    <col min="12047" max="12047" width="25.28515625" style="42" customWidth="1"/>
    <col min="12048" max="12048" width="20.140625" style="42" customWidth="1"/>
    <col min="12049" max="12049" width="16.42578125" style="42" customWidth="1"/>
    <col min="12050" max="12050" width="7.28515625" style="42" customWidth="1"/>
    <col min="12051" max="12051" width="14.28515625" style="42" customWidth="1"/>
    <col min="12052" max="12052" width="7.42578125" style="42" customWidth="1"/>
    <col min="12053" max="12053" width="13.28515625" style="42" customWidth="1"/>
    <col min="12054" max="12054" width="10.28515625" style="42" customWidth="1"/>
    <col min="12055" max="12055" width="11.28515625" style="42" customWidth="1"/>
    <col min="12056" max="12056" width="10.5703125" style="42" customWidth="1"/>
    <col min="12057" max="12057" width="11" style="42" customWidth="1"/>
    <col min="12058" max="12059" width="10" style="42" customWidth="1"/>
    <col min="12060" max="12060" width="9" style="42" customWidth="1"/>
    <col min="12061" max="12061" width="11.5703125" style="42" customWidth="1"/>
    <col min="12062" max="12062" width="9.7109375" style="42" customWidth="1"/>
    <col min="12063" max="12063" width="9" style="42" customWidth="1"/>
    <col min="12064" max="12064" width="11" style="42" customWidth="1"/>
    <col min="12065" max="12068" width="0" style="42" hidden="1" customWidth="1"/>
    <col min="12069" max="12069" width="14.140625" style="42" customWidth="1"/>
    <col min="12070" max="12071" width="16.140625" style="42" customWidth="1"/>
    <col min="12072" max="12072" width="20.7109375" style="42" bestFit="1" customWidth="1"/>
    <col min="12073" max="12074" width="12.28515625" style="42" bestFit="1" customWidth="1"/>
    <col min="12075" max="12075" width="13.28515625" style="42" bestFit="1" customWidth="1"/>
    <col min="12076" max="12076" width="12.28515625" style="42" bestFit="1" customWidth="1"/>
    <col min="12077" max="12082" width="10.7109375" style="42" bestFit="1" customWidth="1"/>
    <col min="12083" max="12083" width="14.28515625" style="42" bestFit="1" customWidth="1"/>
    <col min="12084" max="12084" width="11.42578125" style="42" customWidth="1"/>
    <col min="12085" max="12288" width="9.140625" style="42"/>
    <col min="12289" max="12289" width="5.42578125" style="42" customWidth="1"/>
    <col min="12290" max="12290" width="3.5703125" style="42" customWidth="1"/>
    <col min="12291" max="12291" width="4.28515625" style="42" customWidth="1"/>
    <col min="12292" max="12292" width="4" style="42" customWidth="1"/>
    <col min="12293" max="12293" width="3.85546875" style="42" customWidth="1"/>
    <col min="12294" max="12294" width="4.7109375" style="42" customWidth="1"/>
    <col min="12295" max="12295" width="10.28515625" style="42" customWidth="1"/>
    <col min="12296" max="12296" width="37" style="42" customWidth="1"/>
    <col min="12297" max="12297" width="17" style="42" customWidth="1"/>
    <col min="12298" max="12298" width="3" style="42" customWidth="1"/>
    <col min="12299" max="12299" width="11.42578125" style="42" customWidth="1"/>
    <col min="12300" max="12301" width="3.5703125" style="42" customWidth="1"/>
    <col min="12302" max="12302" width="2.85546875" style="42" customWidth="1"/>
    <col min="12303" max="12303" width="25.28515625" style="42" customWidth="1"/>
    <col min="12304" max="12304" width="20.140625" style="42" customWidth="1"/>
    <col min="12305" max="12305" width="16.42578125" style="42" customWidth="1"/>
    <col min="12306" max="12306" width="7.28515625" style="42" customWidth="1"/>
    <col min="12307" max="12307" width="14.28515625" style="42" customWidth="1"/>
    <col min="12308" max="12308" width="7.42578125" style="42" customWidth="1"/>
    <col min="12309" max="12309" width="13.28515625" style="42" customWidth="1"/>
    <col min="12310" max="12310" width="10.28515625" style="42" customWidth="1"/>
    <col min="12311" max="12311" width="11.28515625" style="42" customWidth="1"/>
    <col min="12312" max="12312" width="10.5703125" style="42" customWidth="1"/>
    <col min="12313" max="12313" width="11" style="42" customWidth="1"/>
    <col min="12314" max="12315" width="10" style="42" customWidth="1"/>
    <col min="12316" max="12316" width="9" style="42" customWidth="1"/>
    <col min="12317" max="12317" width="11.5703125" style="42" customWidth="1"/>
    <col min="12318" max="12318" width="9.7109375" style="42" customWidth="1"/>
    <col min="12319" max="12319" width="9" style="42" customWidth="1"/>
    <col min="12320" max="12320" width="11" style="42" customWidth="1"/>
    <col min="12321" max="12324" width="0" style="42" hidden="1" customWidth="1"/>
    <col min="12325" max="12325" width="14.140625" style="42" customWidth="1"/>
    <col min="12326" max="12327" width="16.140625" style="42" customWidth="1"/>
    <col min="12328" max="12328" width="20.7109375" style="42" bestFit="1" customWidth="1"/>
    <col min="12329" max="12330" width="12.28515625" style="42" bestFit="1" customWidth="1"/>
    <col min="12331" max="12331" width="13.28515625" style="42" bestFit="1" customWidth="1"/>
    <col min="12332" max="12332" width="12.28515625" style="42" bestFit="1" customWidth="1"/>
    <col min="12333" max="12338" width="10.7109375" style="42" bestFit="1" customWidth="1"/>
    <col min="12339" max="12339" width="14.28515625" style="42" bestFit="1" customWidth="1"/>
    <col min="12340" max="12340" width="11.42578125" style="42" customWidth="1"/>
    <col min="12341" max="12544" width="9.140625" style="42"/>
    <col min="12545" max="12545" width="5.42578125" style="42" customWidth="1"/>
    <col min="12546" max="12546" width="3.5703125" style="42" customWidth="1"/>
    <col min="12547" max="12547" width="4.28515625" style="42" customWidth="1"/>
    <col min="12548" max="12548" width="4" style="42" customWidth="1"/>
    <col min="12549" max="12549" width="3.85546875" style="42" customWidth="1"/>
    <col min="12550" max="12550" width="4.7109375" style="42" customWidth="1"/>
    <col min="12551" max="12551" width="10.28515625" style="42" customWidth="1"/>
    <col min="12552" max="12552" width="37" style="42" customWidth="1"/>
    <col min="12553" max="12553" width="17" style="42" customWidth="1"/>
    <col min="12554" max="12554" width="3" style="42" customWidth="1"/>
    <col min="12555" max="12555" width="11.42578125" style="42" customWidth="1"/>
    <col min="12556" max="12557" width="3.5703125" style="42" customWidth="1"/>
    <col min="12558" max="12558" width="2.85546875" style="42" customWidth="1"/>
    <col min="12559" max="12559" width="25.28515625" style="42" customWidth="1"/>
    <col min="12560" max="12560" width="20.140625" style="42" customWidth="1"/>
    <col min="12561" max="12561" width="16.42578125" style="42" customWidth="1"/>
    <col min="12562" max="12562" width="7.28515625" style="42" customWidth="1"/>
    <col min="12563" max="12563" width="14.28515625" style="42" customWidth="1"/>
    <col min="12564" max="12564" width="7.42578125" style="42" customWidth="1"/>
    <col min="12565" max="12565" width="13.28515625" style="42" customWidth="1"/>
    <col min="12566" max="12566" width="10.28515625" style="42" customWidth="1"/>
    <col min="12567" max="12567" width="11.28515625" style="42" customWidth="1"/>
    <col min="12568" max="12568" width="10.5703125" style="42" customWidth="1"/>
    <col min="12569" max="12569" width="11" style="42" customWidth="1"/>
    <col min="12570" max="12571" width="10" style="42" customWidth="1"/>
    <col min="12572" max="12572" width="9" style="42" customWidth="1"/>
    <col min="12573" max="12573" width="11.5703125" style="42" customWidth="1"/>
    <col min="12574" max="12574" width="9.7109375" style="42" customWidth="1"/>
    <col min="12575" max="12575" width="9" style="42" customWidth="1"/>
    <col min="12576" max="12576" width="11" style="42" customWidth="1"/>
    <col min="12577" max="12580" width="0" style="42" hidden="1" customWidth="1"/>
    <col min="12581" max="12581" width="14.140625" style="42" customWidth="1"/>
    <col min="12582" max="12583" width="16.140625" style="42" customWidth="1"/>
    <col min="12584" max="12584" width="20.7109375" style="42" bestFit="1" customWidth="1"/>
    <col min="12585" max="12586" width="12.28515625" style="42" bestFit="1" customWidth="1"/>
    <col min="12587" max="12587" width="13.28515625" style="42" bestFit="1" customWidth="1"/>
    <col min="12588" max="12588" width="12.28515625" style="42" bestFit="1" customWidth="1"/>
    <col min="12589" max="12594" width="10.7109375" style="42" bestFit="1" customWidth="1"/>
    <col min="12595" max="12595" width="14.28515625" style="42" bestFit="1" customWidth="1"/>
    <col min="12596" max="12596" width="11.42578125" style="42" customWidth="1"/>
    <col min="12597" max="12800" width="9.140625" style="42"/>
    <col min="12801" max="12801" width="5.42578125" style="42" customWidth="1"/>
    <col min="12802" max="12802" width="3.5703125" style="42" customWidth="1"/>
    <col min="12803" max="12803" width="4.28515625" style="42" customWidth="1"/>
    <col min="12804" max="12804" width="4" style="42" customWidth="1"/>
    <col min="12805" max="12805" width="3.85546875" style="42" customWidth="1"/>
    <col min="12806" max="12806" width="4.7109375" style="42" customWidth="1"/>
    <col min="12807" max="12807" width="10.28515625" style="42" customWidth="1"/>
    <col min="12808" max="12808" width="37" style="42" customWidth="1"/>
    <col min="12809" max="12809" width="17" style="42" customWidth="1"/>
    <col min="12810" max="12810" width="3" style="42" customWidth="1"/>
    <col min="12811" max="12811" width="11.42578125" style="42" customWidth="1"/>
    <col min="12812" max="12813" width="3.5703125" style="42" customWidth="1"/>
    <col min="12814" max="12814" width="2.85546875" style="42" customWidth="1"/>
    <col min="12815" max="12815" width="25.28515625" style="42" customWidth="1"/>
    <col min="12816" max="12816" width="20.140625" style="42" customWidth="1"/>
    <col min="12817" max="12817" width="16.42578125" style="42" customWidth="1"/>
    <col min="12818" max="12818" width="7.28515625" style="42" customWidth="1"/>
    <col min="12819" max="12819" width="14.28515625" style="42" customWidth="1"/>
    <col min="12820" max="12820" width="7.42578125" style="42" customWidth="1"/>
    <col min="12821" max="12821" width="13.28515625" style="42" customWidth="1"/>
    <col min="12822" max="12822" width="10.28515625" style="42" customWidth="1"/>
    <col min="12823" max="12823" width="11.28515625" style="42" customWidth="1"/>
    <col min="12824" max="12824" width="10.5703125" style="42" customWidth="1"/>
    <col min="12825" max="12825" width="11" style="42" customWidth="1"/>
    <col min="12826" max="12827" width="10" style="42" customWidth="1"/>
    <col min="12828" max="12828" width="9" style="42" customWidth="1"/>
    <col min="12829" max="12829" width="11.5703125" style="42" customWidth="1"/>
    <col min="12830" max="12830" width="9.7109375" style="42" customWidth="1"/>
    <col min="12831" max="12831" width="9" style="42" customWidth="1"/>
    <col min="12832" max="12832" width="11" style="42" customWidth="1"/>
    <col min="12833" max="12836" width="0" style="42" hidden="1" customWidth="1"/>
    <col min="12837" max="12837" width="14.140625" style="42" customWidth="1"/>
    <col min="12838" max="12839" width="16.140625" style="42" customWidth="1"/>
    <col min="12840" max="12840" width="20.7109375" style="42" bestFit="1" customWidth="1"/>
    <col min="12841" max="12842" width="12.28515625" style="42" bestFit="1" customWidth="1"/>
    <col min="12843" max="12843" width="13.28515625" style="42" bestFit="1" customWidth="1"/>
    <col min="12844" max="12844" width="12.28515625" style="42" bestFit="1" customWidth="1"/>
    <col min="12845" max="12850" width="10.7109375" style="42" bestFit="1" customWidth="1"/>
    <col min="12851" max="12851" width="14.28515625" style="42" bestFit="1" customWidth="1"/>
    <col min="12852" max="12852" width="11.42578125" style="42" customWidth="1"/>
    <col min="12853" max="13056" width="9.140625" style="42"/>
    <col min="13057" max="13057" width="5.42578125" style="42" customWidth="1"/>
    <col min="13058" max="13058" width="3.5703125" style="42" customWidth="1"/>
    <col min="13059" max="13059" width="4.28515625" style="42" customWidth="1"/>
    <col min="13060" max="13060" width="4" style="42" customWidth="1"/>
    <col min="13061" max="13061" width="3.85546875" style="42" customWidth="1"/>
    <col min="13062" max="13062" width="4.7109375" style="42" customWidth="1"/>
    <col min="13063" max="13063" width="10.28515625" style="42" customWidth="1"/>
    <col min="13064" max="13064" width="37" style="42" customWidth="1"/>
    <col min="13065" max="13065" width="17" style="42" customWidth="1"/>
    <col min="13066" max="13066" width="3" style="42" customWidth="1"/>
    <col min="13067" max="13067" width="11.42578125" style="42" customWidth="1"/>
    <col min="13068" max="13069" width="3.5703125" style="42" customWidth="1"/>
    <col min="13070" max="13070" width="2.85546875" style="42" customWidth="1"/>
    <col min="13071" max="13071" width="25.28515625" style="42" customWidth="1"/>
    <col min="13072" max="13072" width="20.140625" style="42" customWidth="1"/>
    <col min="13073" max="13073" width="16.42578125" style="42" customWidth="1"/>
    <col min="13074" max="13074" width="7.28515625" style="42" customWidth="1"/>
    <col min="13075" max="13075" width="14.28515625" style="42" customWidth="1"/>
    <col min="13076" max="13076" width="7.42578125" style="42" customWidth="1"/>
    <col min="13077" max="13077" width="13.28515625" style="42" customWidth="1"/>
    <col min="13078" max="13078" width="10.28515625" style="42" customWidth="1"/>
    <col min="13079" max="13079" width="11.28515625" style="42" customWidth="1"/>
    <col min="13080" max="13080" width="10.5703125" style="42" customWidth="1"/>
    <col min="13081" max="13081" width="11" style="42" customWidth="1"/>
    <col min="13082" max="13083" width="10" style="42" customWidth="1"/>
    <col min="13084" max="13084" width="9" style="42" customWidth="1"/>
    <col min="13085" max="13085" width="11.5703125" style="42" customWidth="1"/>
    <col min="13086" max="13086" width="9.7109375" style="42" customWidth="1"/>
    <col min="13087" max="13087" width="9" style="42" customWidth="1"/>
    <col min="13088" max="13088" width="11" style="42" customWidth="1"/>
    <col min="13089" max="13092" width="0" style="42" hidden="1" customWidth="1"/>
    <col min="13093" max="13093" width="14.140625" style="42" customWidth="1"/>
    <col min="13094" max="13095" width="16.140625" style="42" customWidth="1"/>
    <col min="13096" max="13096" width="20.7109375" style="42" bestFit="1" customWidth="1"/>
    <col min="13097" max="13098" width="12.28515625" style="42" bestFit="1" customWidth="1"/>
    <col min="13099" max="13099" width="13.28515625" style="42" bestFit="1" customWidth="1"/>
    <col min="13100" max="13100" width="12.28515625" style="42" bestFit="1" customWidth="1"/>
    <col min="13101" max="13106" width="10.7109375" style="42" bestFit="1" customWidth="1"/>
    <col min="13107" max="13107" width="14.28515625" style="42" bestFit="1" customWidth="1"/>
    <col min="13108" max="13108" width="11.42578125" style="42" customWidth="1"/>
    <col min="13109" max="13312" width="9.140625" style="42"/>
    <col min="13313" max="13313" width="5.42578125" style="42" customWidth="1"/>
    <col min="13314" max="13314" width="3.5703125" style="42" customWidth="1"/>
    <col min="13315" max="13315" width="4.28515625" style="42" customWidth="1"/>
    <col min="13316" max="13316" width="4" style="42" customWidth="1"/>
    <col min="13317" max="13317" width="3.85546875" style="42" customWidth="1"/>
    <col min="13318" max="13318" width="4.7109375" style="42" customWidth="1"/>
    <col min="13319" max="13319" width="10.28515625" style="42" customWidth="1"/>
    <col min="13320" max="13320" width="37" style="42" customWidth="1"/>
    <col min="13321" max="13321" width="17" style="42" customWidth="1"/>
    <col min="13322" max="13322" width="3" style="42" customWidth="1"/>
    <col min="13323" max="13323" width="11.42578125" style="42" customWidth="1"/>
    <col min="13324" max="13325" width="3.5703125" style="42" customWidth="1"/>
    <col min="13326" max="13326" width="2.85546875" style="42" customWidth="1"/>
    <col min="13327" max="13327" width="25.28515625" style="42" customWidth="1"/>
    <col min="13328" max="13328" width="20.140625" style="42" customWidth="1"/>
    <col min="13329" max="13329" width="16.42578125" style="42" customWidth="1"/>
    <col min="13330" max="13330" width="7.28515625" style="42" customWidth="1"/>
    <col min="13331" max="13331" width="14.28515625" style="42" customWidth="1"/>
    <col min="13332" max="13332" width="7.42578125" style="42" customWidth="1"/>
    <col min="13333" max="13333" width="13.28515625" style="42" customWidth="1"/>
    <col min="13334" max="13334" width="10.28515625" style="42" customWidth="1"/>
    <col min="13335" max="13335" width="11.28515625" style="42" customWidth="1"/>
    <col min="13336" max="13336" width="10.5703125" style="42" customWidth="1"/>
    <col min="13337" max="13337" width="11" style="42" customWidth="1"/>
    <col min="13338" max="13339" width="10" style="42" customWidth="1"/>
    <col min="13340" max="13340" width="9" style="42" customWidth="1"/>
    <col min="13341" max="13341" width="11.5703125" style="42" customWidth="1"/>
    <col min="13342" max="13342" width="9.7109375" style="42" customWidth="1"/>
    <col min="13343" max="13343" width="9" style="42" customWidth="1"/>
    <col min="13344" max="13344" width="11" style="42" customWidth="1"/>
    <col min="13345" max="13348" width="0" style="42" hidden="1" customWidth="1"/>
    <col min="13349" max="13349" width="14.140625" style="42" customWidth="1"/>
    <col min="13350" max="13351" width="16.140625" style="42" customWidth="1"/>
    <col min="13352" max="13352" width="20.7109375" style="42" bestFit="1" customWidth="1"/>
    <col min="13353" max="13354" width="12.28515625" style="42" bestFit="1" customWidth="1"/>
    <col min="13355" max="13355" width="13.28515625" style="42" bestFit="1" customWidth="1"/>
    <col min="13356" max="13356" width="12.28515625" style="42" bestFit="1" customWidth="1"/>
    <col min="13357" max="13362" width="10.7109375" style="42" bestFit="1" customWidth="1"/>
    <col min="13363" max="13363" width="14.28515625" style="42" bestFit="1" customWidth="1"/>
    <col min="13364" max="13364" width="11.42578125" style="42" customWidth="1"/>
    <col min="13365" max="13568" width="9.140625" style="42"/>
    <col min="13569" max="13569" width="5.42578125" style="42" customWidth="1"/>
    <col min="13570" max="13570" width="3.5703125" style="42" customWidth="1"/>
    <col min="13571" max="13571" width="4.28515625" style="42" customWidth="1"/>
    <col min="13572" max="13572" width="4" style="42" customWidth="1"/>
    <col min="13573" max="13573" width="3.85546875" style="42" customWidth="1"/>
    <col min="13574" max="13574" width="4.7109375" style="42" customWidth="1"/>
    <col min="13575" max="13575" width="10.28515625" style="42" customWidth="1"/>
    <col min="13576" max="13576" width="37" style="42" customWidth="1"/>
    <col min="13577" max="13577" width="17" style="42" customWidth="1"/>
    <col min="13578" max="13578" width="3" style="42" customWidth="1"/>
    <col min="13579" max="13579" width="11.42578125" style="42" customWidth="1"/>
    <col min="13580" max="13581" width="3.5703125" style="42" customWidth="1"/>
    <col min="13582" max="13582" width="2.85546875" style="42" customWidth="1"/>
    <col min="13583" max="13583" width="25.28515625" style="42" customWidth="1"/>
    <col min="13584" max="13584" width="20.140625" style="42" customWidth="1"/>
    <col min="13585" max="13585" width="16.42578125" style="42" customWidth="1"/>
    <col min="13586" max="13586" width="7.28515625" style="42" customWidth="1"/>
    <col min="13587" max="13587" width="14.28515625" style="42" customWidth="1"/>
    <col min="13588" max="13588" width="7.42578125" style="42" customWidth="1"/>
    <col min="13589" max="13589" width="13.28515625" style="42" customWidth="1"/>
    <col min="13590" max="13590" width="10.28515625" style="42" customWidth="1"/>
    <col min="13591" max="13591" width="11.28515625" style="42" customWidth="1"/>
    <col min="13592" max="13592" width="10.5703125" style="42" customWidth="1"/>
    <col min="13593" max="13593" width="11" style="42" customWidth="1"/>
    <col min="13594" max="13595" width="10" style="42" customWidth="1"/>
    <col min="13596" max="13596" width="9" style="42" customWidth="1"/>
    <col min="13597" max="13597" width="11.5703125" style="42" customWidth="1"/>
    <col min="13598" max="13598" width="9.7109375" style="42" customWidth="1"/>
    <col min="13599" max="13599" width="9" style="42" customWidth="1"/>
    <col min="13600" max="13600" width="11" style="42" customWidth="1"/>
    <col min="13601" max="13604" width="0" style="42" hidden="1" customWidth="1"/>
    <col min="13605" max="13605" width="14.140625" style="42" customWidth="1"/>
    <col min="13606" max="13607" width="16.140625" style="42" customWidth="1"/>
    <col min="13608" max="13608" width="20.7109375" style="42" bestFit="1" customWidth="1"/>
    <col min="13609" max="13610" width="12.28515625" style="42" bestFit="1" customWidth="1"/>
    <col min="13611" max="13611" width="13.28515625" style="42" bestFit="1" customWidth="1"/>
    <col min="13612" max="13612" width="12.28515625" style="42" bestFit="1" customWidth="1"/>
    <col min="13613" max="13618" width="10.7109375" style="42" bestFit="1" customWidth="1"/>
    <col min="13619" max="13619" width="14.28515625" style="42" bestFit="1" customWidth="1"/>
    <col min="13620" max="13620" width="11.42578125" style="42" customWidth="1"/>
    <col min="13621" max="13824" width="9.140625" style="42"/>
    <col min="13825" max="13825" width="5.42578125" style="42" customWidth="1"/>
    <col min="13826" max="13826" width="3.5703125" style="42" customWidth="1"/>
    <col min="13827" max="13827" width="4.28515625" style="42" customWidth="1"/>
    <col min="13828" max="13828" width="4" style="42" customWidth="1"/>
    <col min="13829" max="13829" width="3.85546875" style="42" customWidth="1"/>
    <col min="13830" max="13830" width="4.7109375" style="42" customWidth="1"/>
    <col min="13831" max="13831" width="10.28515625" style="42" customWidth="1"/>
    <col min="13832" max="13832" width="37" style="42" customWidth="1"/>
    <col min="13833" max="13833" width="17" style="42" customWidth="1"/>
    <col min="13834" max="13834" width="3" style="42" customWidth="1"/>
    <col min="13835" max="13835" width="11.42578125" style="42" customWidth="1"/>
    <col min="13836" max="13837" width="3.5703125" style="42" customWidth="1"/>
    <col min="13838" max="13838" width="2.85546875" style="42" customWidth="1"/>
    <col min="13839" max="13839" width="25.28515625" style="42" customWidth="1"/>
    <col min="13840" max="13840" width="20.140625" style="42" customWidth="1"/>
    <col min="13841" max="13841" width="16.42578125" style="42" customWidth="1"/>
    <col min="13842" max="13842" width="7.28515625" style="42" customWidth="1"/>
    <col min="13843" max="13843" width="14.28515625" style="42" customWidth="1"/>
    <col min="13844" max="13844" width="7.42578125" style="42" customWidth="1"/>
    <col min="13845" max="13845" width="13.28515625" style="42" customWidth="1"/>
    <col min="13846" max="13846" width="10.28515625" style="42" customWidth="1"/>
    <col min="13847" max="13847" width="11.28515625" style="42" customWidth="1"/>
    <col min="13848" max="13848" width="10.5703125" style="42" customWidth="1"/>
    <col min="13849" max="13849" width="11" style="42" customWidth="1"/>
    <col min="13850" max="13851" width="10" style="42" customWidth="1"/>
    <col min="13852" max="13852" width="9" style="42" customWidth="1"/>
    <col min="13853" max="13853" width="11.5703125" style="42" customWidth="1"/>
    <col min="13854" max="13854" width="9.7109375" style="42" customWidth="1"/>
    <col min="13855" max="13855" width="9" style="42" customWidth="1"/>
    <col min="13856" max="13856" width="11" style="42" customWidth="1"/>
    <col min="13857" max="13860" width="0" style="42" hidden="1" customWidth="1"/>
    <col min="13861" max="13861" width="14.140625" style="42" customWidth="1"/>
    <col min="13862" max="13863" width="16.140625" style="42" customWidth="1"/>
    <col min="13864" max="13864" width="20.7109375" style="42" bestFit="1" customWidth="1"/>
    <col min="13865" max="13866" width="12.28515625" style="42" bestFit="1" customWidth="1"/>
    <col min="13867" max="13867" width="13.28515625" style="42" bestFit="1" customWidth="1"/>
    <col min="13868" max="13868" width="12.28515625" style="42" bestFit="1" customWidth="1"/>
    <col min="13869" max="13874" width="10.7109375" style="42" bestFit="1" customWidth="1"/>
    <col min="13875" max="13875" width="14.28515625" style="42" bestFit="1" customWidth="1"/>
    <col min="13876" max="13876" width="11.42578125" style="42" customWidth="1"/>
    <col min="13877" max="14080" width="9.140625" style="42"/>
    <col min="14081" max="14081" width="5.42578125" style="42" customWidth="1"/>
    <col min="14082" max="14082" width="3.5703125" style="42" customWidth="1"/>
    <col min="14083" max="14083" width="4.28515625" style="42" customWidth="1"/>
    <col min="14084" max="14084" width="4" style="42" customWidth="1"/>
    <col min="14085" max="14085" width="3.85546875" style="42" customWidth="1"/>
    <col min="14086" max="14086" width="4.7109375" style="42" customWidth="1"/>
    <col min="14087" max="14087" width="10.28515625" style="42" customWidth="1"/>
    <col min="14088" max="14088" width="37" style="42" customWidth="1"/>
    <col min="14089" max="14089" width="17" style="42" customWidth="1"/>
    <col min="14090" max="14090" width="3" style="42" customWidth="1"/>
    <col min="14091" max="14091" width="11.42578125" style="42" customWidth="1"/>
    <col min="14092" max="14093" width="3.5703125" style="42" customWidth="1"/>
    <col min="14094" max="14094" width="2.85546875" style="42" customWidth="1"/>
    <col min="14095" max="14095" width="25.28515625" style="42" customWidth="1"/>
    <col min="14096" max="14096" width="20.140625" style="42" customWidth="1"/>
    <col min="14097" max="14097" width="16.42578125" style="42" customWidth="1"/>
    <col min="14098" max="14098" width="7.28515625" style="42" customWidth="1"/>
    <col min="14099" max="14099" width="14.28515625" style="42" customWidth="1"/>
    <col min="14100" max="14100" width="7.42578125" style="42" customWidth="1"/>
    <col min="14101" max="14101" width="13.28515625" style="42" customWidth="1"/>
    <col min="14102" max="14102" width="10.28515625" style="42" customWidth="1"/>
    <col min="14103" max="14103" width="11.28515625" style="42" customWidth="1"/>
    <col min="14104" max="14104" width="10.5703125" style="42" customWidth="1"/>
    <col min="14105" max="14105" width="11" style="42" customWidth="1"/>
    <col min="14106" max="14107" width="10" style="42" customWidth="1"/>
    <col min="14108" max="14108" width="9" style="42" customWidth="1"/>
    <col min="14109" max="14109" width="11.5703125" style="42" customWidth="1"/>
    <col min="14110" max="14110" width="9.7109375" style="42" customWidth="1"/>
    <col min="14111" max="14111" width="9" style="42" customWidth="1"/>
    <col min="14112" max="14112" width="11" style="42" customWidth="1"/>
    <col min="14113" max="14116" width="0" style="42" hidden="1" customWidth="1"/>
    <col min="14117" max="14117" width="14.140625" style="42" customWidth="1"/>
    <col min="14118" max="14119" width="16.140625" style="42" customWidth="1"/>
    <col min="14120" max="14120" width="20.7109375" style="42" bestFit="1" customWidth="1"/>
    <col min="14121" max="14122" width="12.28515625" style="42" bestFit="1" customWidth="1"/>
    <col min="14123" max="14123" width="13.28515625" style="42" bestFit="1" customWidth="1"/>
    <col min="14124" max="14124" width="12.28515625" style="42" bestFit="1" customWidth="1"/>
    <col min="14125" max="14130" width="10.7109375" style="42" bestFit="1" customWidth="1"/>
    <col min="14131" max="14131" width="14.28515625" style="42" bestFit="1" customWidth="1"/>
    <col min="14132" max="14132" width="11.42578125" style="42" customWidth="1"/>
    <col min="14133" max="14336" width="9.140625" style="42"/>
    <col min="14337" max="14337" width="5.42578125" style="42" customWidth="1"/>
    <col min="14338" max="14338" width="3.5703125" style="42" customWidth="1"/>
    <col min="14339" max="14339" width="4.28515625" style="42" customWidth="1"/>
    <col min="14340" max="14340" width="4" style="42" customWidth="1"/>
    <col min="14341" max="14341" width="3.85546875" style="42" customWidth="1"/>
    <col min="14342" max="14342" width="4.7109375" style="42" customWidth="1"/>
    <col min="14343" max="14343" width="10.28515625" style="42" customWidth="1"/>
    <col min="14344" max="14344" width="37" style="42" customWidth="1"/>
    <col min="14345" max="14345" width="17" style="42" customWidth="1"/>
    <col min="14346" max="14346" width="3" style="42" customWidth="1"/>
    <col min="14347" max="14347" width="11.42578125" style="42" customWidth="1"/>
    <col min="14348" max="14349" width="3.5703125" style="42" customWidth="1"/>
    <col min="14350" max="14350" width="2.85546875" style="42" customWidth="1"/>
    <col min="14351" max="14351" width="25.28515625" style="42" customWidth="1"/>
    <col min="14352" max="14352" width="20.140625" style="42" customWidth="1"/>
    <col min="14353" max="14353" width="16.42578125" style="42" customWidth="1"/>
    <col min="14354" max="14354" width="7.28515625" style="42" customWidth="1"/>
    <col min="14355" max="14355" width="14.28515625" style="42" customWidth="1"/>
    <col min="14356" max="14356" width="7.42578125" style="42" customWidth="1"/>
    <col min="14357" max="14357" width="13.28515625" style="42" customWidth="1"/>
    <col min="14358" max="14358" width="10.28515625" style="42" customWidth="1"/>
    <col min="14359" max="14359" width="11.28515625" style="42" customWidth="1"/>
    <col min="14360" max="14360" width="10.5703125" style="42" customWidth="1"/>
    <col min="14361" max="14361" width="11" style="42" customWidth="1"/>
    <col min="14362" max="14363" width="10" style="42" customWidth="1"/>
    <col min="14364" max="14364" width="9" style="42" customWidth="1"/>
    <col min="14365" max="14365" width="11.5703125" style="42" customWidth="1"/>
    <col min="14366" max="14366" width="9.7109375" style="42" customWidth="1"/>
    <col min="14367" max="14367" width="9" style="42" customWidth="1"/>
    <col min="14368" max="14368" width="11" style="42" customWidth="1"/>
    <col min="14369" max="14372" width="0" style="42" hidden="1" customWidth="1"/>
    <col min="14373" max="14373" width="14.140625" style="42" customWidth="1"/>
    <col min="14374" max="14375" width="16.140625" style="42" customWidth="1"/>
    <col min="14376" max="14376" width="20.7109375" style="42" bestFit="1" customWidth="1"/>
    <col min="14377" max="14378" width="12.28515625" style="42" bestFit="1" customWidth="1"/>
    <col min="14379" max="14379" width="13.28515625" style="42" bestFit="1" customWidth="1"/>
    <col min="14380" max="14380" width="12.28515625" style="42" bestFit="1" customWidth="1"/>
    <col min="14381" max="14386" width="10.7109375" style="42" bestFit="1" customWidth="1"/>
    <col min="14387" max="14387" width="14.28515625" style="42" bestFit="1" customWidth="1"/>
    <col min="14388" max="14388" width="11.42578125" style="42" customWidth="1"/>
    <col min="14389" max="14592" width="9.140625" style="42"/>
    <col min="14593" max="14593" width="5.42578125" style="42" customWidth="1"/>
    <col min="14594" max="14594" width="3.5703125" style="42" customWidth="1"/>
    <col min="14595" max="14595" width="4.28515625" style="42" customWidth="1"/>
    <col min="14596" max="14596" width="4" style="42" customWidth="1"/>
    <col min="14597" max="14597" width="3.85546875" style="42" customWidth="1"/>
    <col min="14598" max="14598" width="4.7109375" style="42" customWidth="1"/>
    <col min="14599" max="14599" width="10.28515625" style="42" customWidth="1"/>
    <col min="14600" max="14600" width="37" style="42" customWidth="1"/>
    <col min="14601" max="14601" width="17" style="42" customWidth="1"/>
    <col min="14602" max="14602" width="3" style="42" customWidth="1"/>
    <col min="14603" max="14603" width="11.42578125" style="42" customWidth="1"/>
    <col min="14604" max="14605" width="3.5703125" style="42" customWidth="1"/>
    <col min="14606" max="14606" width="2.85546875" style="42" customWidth="1"/>
    <col min="14607" max="14607" width="25.28515625" style="42" customWidth="1"/>
    <col min="14608" max="14608" width="20.140625" style="42" customWidth="1"/>
    <col min="14609" max="14609" width="16.42578125" style="42" customWidth="1"/>
    <col min="14610" max="14610" width="7.28515625" style="42" customWidth="1"/>
    <col min="14611" max="14611" width="14.28515625" style="42" customWidth="1"/>
    <col min="14612" max="14612" width="7.42578125" style="42" customWidth="1"/>
    <col min="14613" max="14613" width="13.28515625" style="42" customWidth="1"/>
    <col min="14614" max="14614" width="10.28515625" style="42" customWidth="1"/>
    <col min="14615" max="14615" width="11.28515625" style="42" customWidth="1"/>
    <col min="14616" max="14616" width="10.5703125" style="42" customWidth="1"/>
    <col min="14617" max="14617" width="11" style="42" customWidth="1"/>
    <col min="14618" max="14619" width="10" style="42" customWidth="1"/>
    <col min="14620" max="14620" width="9" style="42" customWidth="1"/>
    <col min="14621" max="14621" width="11.5703125" style="42" customWidth="1"/>
    <col min="14622" max="14622" width="9.7109375" style="42" customWidth="1"/>
    <col min="14623" max="14623" width="9" style="42" customWidth="1"/>
    <col min="14624" max="14624" width="11" style="42" customWidth="1"/>
    <col min="14625" max="14628" width="0" style="42" hidden="1" customWidth="1"/>
    <col min="14629" max="14629" width="14.140625" style="42" customWidth="1"/>
    <col min="14630" max="14631" width="16.140625" style="42" customWidth="1"/>
    <col min="14632" max="14632" width="20.7109375" style="42" bestFit="1" customWidth="1"/>
    <col min="14633" max="14634" width="12.28515625" style="42" bestFit="1" customWidth="1"/>
    <col min="14635" max="14635" width="13.28515625" style="42" bestFit="1" customWidth="1"/>
    <col min="14636" max="14636" width="12.28515625" style="42" bestFit="1" customWidth="1"/>
    <col min="14637" max="14642" width="10.7109375" style="42" bestFit="1" customWidth="1"/>
    <col min="14643" max="14643" width="14.28515625" style="42" bestFit="1" customWidth="1"/>
    <col min="14644" max="14644" width="11.42578125" style="42" customWidth="1"/>
    <col min="14645" max="14848" width="9.140625" style="42"/>
    <col min="14849" max="14849" width="5.42578125" style="42" customWidth="1"/>
    <col min="14850" max="14850" width="3.5703125" style="42" customWidth="1"/>
    <col min="14851" max="14851" width="4.28515625" style="42" customWidth="1"/>
    <col min="14852" max="14852" width="4" style="42" customWidth="1"/>
    <col min="14853" max="14853" width="3.85546875" style="42" customWidth="1"/>
    <col min="14854" max="14854" width="4.7109375" style="42" customWidth="1"/>
    <col min="14855" max="14855" width="10.28515625" style="42" customWidth="1"/>
    <col min="14856" max="14856" width="37" style="42" customWidth="1"/>
    <col min="14857" max="14857" width="17" style="42" customWidth="1"/>
    <col min="14858" max="14858" width="3" style="42" customWidth="1"/>
    <col min="14859" max="14859" width="11.42578125" style="42" customWidth="1"/>
    <col min="14860" max="14861" width="3.5703125" style="42" customWidth="1"/>
    <col min="14862" max="14862" width="2.85546875" style="42" customWidth="1"/>
    <col min="14863" max="14863" width="25.28515625" style="42" customWidth="1"/>
    <col min="14864" max="14864" width="20.140625" style="42" customWidth="1"/>
    <col min="14865" max="14865" width="16.42578125" style="42" customWidth="1"/>
    <col min="14866" max="14866" width="7.28515625" style="42" customWidth="1"/>
    <col min="14867" max="14867" width="14.28515625" style="42" customWidth="1"/>
    <col min="14868" max="14868" width="7.42578125" style="42" customWidth="1"/>
    <col min="14869" max="14869" width="13.28515625" style="42" customWidth="1"/>
    <col min="14870" max="14870" width="10.28515625" style="42" customWidth="1"/>
    <col min="14871" max="14871" width="11.28515625" style="42" customWidth="1"/>
    <col min="14872" max="14872" width="10.5703125" style="42" customWidth="1"/>
    <col min="14873" max="14873" width="11" style="42" customWidth="1"/>
    <col min="14874" max="14875" width="10" style="42" customWidth="1"/>
    <col min="14876" max="14876" width="9" style="42" customWidth="1"/>
    <col min="14877" max="14877" width="11.5703125" style="42" customWidth="1"/>
    <col min="14878" max="14878" width="9.7109375" style="42" customWidth="1"/>
    <col min="14879" max="14879" width="9" style="42" customWidth="1"/>
    <col min="14880" max="14880" width="11" style="42" customWidth="1"/>
    <col min="14881" max="14884" width="0" style="42" hidden="1" customWidth="1"/>
    <col min="14885" max="14885" width="14.140625" style="42" customWidth="1"/>
    <col min="14886" max="14887" width="16.140625" style="42" customWidth="1"/>
    <col min="14888" max="14888" width="20.7109375" style="42" bestFit="1" customWidth="1"/>
    <col min="14889" max="14890" width="12.28515625" style="42" bestFit="1" customWidth="1"/>
    <col min="14891" max="14891" width="13.28515625" style="42" bestFit="1" customWidth="1"/>
    <col min="14892" max="14892" width="12.28515625" style="42" bestFit="1" customWidth="1"/>
    <col min="14893" max="14898" width="10.7109375" style="42" bestFit="1" customWidth="1"/>
    <col min="14899" max="14899" width="14.28515625" style="42" bestFit="1" customWidth="1"/>
    <col min="14900" max="14900" width="11.42578125" style="42" customWidth="1"/>
    <col min="14901" max="15104" width="9.140625" style="42"/>
    <col min="15105" max="15105" width="5.42578125" style="42" customWidth="1"/>
    <col min="15106" max="15106" width="3.5703125" style="42" customWidth="1"/>
    <col min="15107" max="15107" width="4.28515625" style="42" customWidth="1"/>
    <col min="15108" max="15108" width="4" style="42" customWidth="1"/>
    <col min="15109" max="15109" width="3.85546875" style="42" customWidth="1"/>
    <col min="15110" max="15110" width="4.7109375" style="42" customWidth="1"/>
    <col min="15111" max="15111" width="10.28515625" style="42" customWidth="1"/>
    <col min="15112" max="15112" width="37" style="42" customWidth="1"/>
    <col min="15113" max="15113" width="17" style="42" customWidth="1"/>
    <col min="15114" max="15114" width="3" style="42" customWidth="1"/>
    <col min="15115" max="15115" width="11.42578125" style="42" customWidth="1"/>
    <col min="15116" max="15117" width="3.5703125" style="42" customWidth="1"/>
    <col min="15118" max="15118" width="2.85546875" style="42" customWidth="1"/>
    <col min="15119" max="15119" width="25.28515625" style="42" customWidth="1"/>
    <col min="15120" max="15120" width="20.140625" style="42" customWidth="1"/>
    <col min="15121" max="15121" width="16.42578125" style="42" customWidth="1"/>
    <col min="15122" max="15122" width="7.28515625" style="42" customWidth="1"/>
    <col min="15123" max="15123" width="14.28515625" style="42" customWidth="1"/>
    <col min="15124" max="15124" width="7.42578125" style="42" customWidth="1"/>
    <col min="15125" max="15125" width="13.28515625" style="42" customWidth="1"/>
    <col min="15126" max="15126" width="10.28515625" style="42" customWidth="1"/>
    <col min="15127" max="15127" width="11.28515625" style="42" customWidth="1"/>
    <col min="15128" max="15128" width="10.5703125" style="42" customWidth="1"/>
    <col min="15129" max="15129" width="11" style="42" customWidth="1"/>
    <col min="15130" max="15131" width="10" style="42" customWidth="1"/>
    <col min="15132" max="15132" width="9" style="42" customWidth="1"/>
    <col min="15133" max="15133" width="11.5703125" style="42" customWidth="1"/>
    <col min="15134" max="15134" width="9.7109375" style="42" customWidth="1"/>
    <col min="15135" max="15135" width="9" style="42" customWidth="1"/>
    <col min="15136" max="15136" width="11" style="42" customWidth="1"/>
    <col min="15137" max="15140" width="0" style="42" hidden="1" customWidth="1"/>
    <col min="15141" max="15141" width="14.140625" style="42" customWidth="1"/>
    <col min="15142" max="15143" width="16.140625" style="42" customWidth="1"/>
    <col min="15144" max="15144" width="20.7109375" style="42" bestFit="1" customWidth="1"/>
    <col min="15145" max="15146" width="12.28515625" style="42" bestFit="1" customWidth="1"/>
    <col min="15147" max="15147" width="13.28515625" style="42" bestFit="1" customWidth="1"/>
    <col min="15148" max="15148" width="12.28515625" style="42" bestFit="1" customWidth="1"/>
    <col min="15149" max="15154" width="10.7109375" style="42" bestFit="1" customWidth="1"/>
    <col min="15155" max="15155" width="14.28515625" style="42" bestFit="1" customWidth="1"/>
    <col min="15156" max="15156" width="11.42578125" style="42" customWidth="1"/>
    <col min="15157" max="15360" width="9.140625" style="42"/>
    <col min="15361" max="15361" width="5.42578125" style="42" customWidth="1"/>
    <col min="15362" max="15362" width="3.5703125" style="42" customWidth="1"/>
    <col min="15363" max="15363" width="4.28515625" style="42" customWidth="1"/>
    <col min="15364" max="15364" width="4" style="42" customWidth="1"/>
    <col min="15365" max="15365" width="3.85546875" style="42" customWidth="1"/>
    <col min="15366" max="15366" width="4.7109375" style="42" customWidth="1"/>
    <col min="15367" max="15367" width="10.28515625" style="42" customWidth="1"/>
    <col min="15368" max="15368" width="37" style="42" customWidth="1"/>
    <col min="15369" max="15369" width="17" style="42" customWidth="1"/>
    <col min="15370" max="15370" width="3" style="42" customWidth="1"/>
    <col min="15371" max="15371" width="11.42578125" style="42" customWidth="1"/>
    <col min="15372" max="15373" width="3.5703125" style="42" customWidth="1"/>
    <col min="15374" max="15374" width="2.85546875" style="42" customWidth="1"/>
    <col min="15375" max="15375" width="25.28515625" style="42" customWidth="1"/>
    <col min="15376" max="15376" width="20.140625" style="42" customWidth="1"/>
    <col min="15377" max="15377" width="16.42578125" style="42" customWidth="1"/>
    <col min="15378" max="15378" width="7.28515625" style="42" customWidth="1"/>
    <col min="15379" max="15379" width="14.28515625" style="42" customWidth="1"/>
    <col min="15380" max="15380" width="7.42578125" style="42" customWidth="1"/>
    <col min="15381" max="15381" width="13.28515625" style="42" customWidth="1"/>
    <col min="15382" max="15382" width="10.28515625" style="42" customWidth="1"/>
    <col min="15383" max="15383" width="11.28515625" style="42" customWidth="1"/>
    <col min="15384" max="15384" width="10.5703125" style="42" customWidth="1"/>
    <col min="15385" max="15385" width="11" style="42" customWidth="1"/>
    <col min="15386" max="15387" width="10" style="42" customWidth="1"/>
    <col min="15388" max="15388" width="9" style="42" customWidth="1"/>
    <col min="15389" max="15389" width="11.5703125" style="42" customWidth="1"/>
    <col min="15390" max="15390" width="9.7109375" style="42" customWidth="1"/>
    <col min="15391" max="15391" width="9" style="42" customWidth="1"/>
    <col min="15392" max="15392" width="11" style="42" customWidth="1"/>
    <col min="15393" max="15396" width="0" style="42" hidden="1" customWidth="1"/>
    <col min="15397" max="15397" width="14.140625" style="42" customWidth="1"/>
    <col min="15398" max="15399" width="16.140625" style="42" customWidth="1"/>
    <col min="15400" max="15400" width="20.7109375" style="42" bestFit="1" customWidth="1"/>
    <col min="15401" max="15402" width="12.28515625" style="42" bestFit="1" customWidth="1"/>
    <col min="15403" max="15403" width="13.28515625" style="42" bestFit="1" customWidth="1"/>
    <col min="15404" max="15404" width="12.28515625" style="42" bestFit="1" customWidth="1"/>
    <col min="15405" max="15410" width="10.7109375" style="42" bestFit="1" customWidth="1"/>
    <col min="15411" max="15411" width="14.28515625" style="42" bestFit="1" customWidth="1"/>
    <col min="15412" max="15412" width="11.42578125" style="42" customWidth="1"/>
    <col min="15413" max="15616" width="9.140625" style="42"/>
    <col min="15617" max="15617" width="5.42578125" style="42" customWidth="1"/>
    <col min="15618" max="15618" width="3.5703125" style="42" customWidth="1"/>
    <col min="15619" max="15619" width="4.28515625" style="42" customWidth="1"/>
    <col min="15620" max="15620" width="4" style="42" customWidth="1"/>
    <col min="15621" max="15621" width="3.85546875" style="42" customWidth="1"/>
    <col min="15622" max="15622" width="4.7109375" style="42" customWidth="1"/>
    <col min="15623" max="15623" width="10.28515625" style="42" customWidth="1"/>
    <col min="15624" max="15624" width="37" style="42" customWidth="1"/>
    <col min="15625" max="15625" width="17" style="42" customWidth="1"/>
    <col min="15626" max="15626" width="3" style="42" customWidth="1"/>
    <col min="15627" max="15627" width="11.42578125" style="42" customWidth="1"/>
    <col min="15628" max="15629" width="3.5703125" style="42" customWidth="1"/>
    <col min="15630" max="15630" width="2.85546875" style="42" customWidth="1"/>
    <col min="15631" max="15631" width="25.28515625" style="42" customWidth="1"/>
    <col min="15632" max="15632" width="20.140625" style="42" customWidth="1"/>
    <col min="15633" max="15633" width="16.42578125" style="42" customWidth="1"/>
    <col min="15634" max="15634" width="7.28515625" style="42" customWidth="1"/>
    <col min="15635" max="15635" width="14.28515625" style="42" customWidth="1"/>
    <col min="15636" max="15636" width="7.42578125" style="42" customWidth="1"/>
    <col min="15637" max="15637" width="13.28515625" style="42" customWidth="1"/>
    <col min="15638" max="15638" width="10.28515625" style="42" customWidth="1"/>
    <col min="15639" max="15639" width="11.28515625" style="42" customWidth="1"/>
    <col min="15640" max="15640" width="10.5703125" style="42" customWidth="1"/>
    <col min="15641" max="15641" width="11" style="42" customWidth="1"/>
    <col min="15642" max="15643" width="10" style="42" customWidth="1"/>
    <col min="15644" max="15644" width="9" style="42" customWidth="1"/>
    <col min="15645" max="15645" width="11.5703125" style="42" customWidth="1"/>
    <col min="15646" max="15646" width="9.7109375" style="42" customWidth="1"/>
    <col min="15647" max="15647" width="9" style="42" customWidth="1"/>
    <col min="15648" max="15648" width="11" style="42" customWidth="1"/>
    <col min="15649" max="15652" width="0" style="42" hidden="1" customWidth="1"/>
    <col min="15653" max="15653" width="14.140625" style="42" customWidth="1"/>
    <col min="15654" max="15655" width="16.140625" style="42" customWidth="1"/>
    <col min="15656" max="15656" width="20.7109375" style="42" bestFit="1" customWidth="1"/>
    <col min="15657" max="15658" width="12.28515625" style="42" bestFit="1" customWidth="1"/>
    <col min="15659" max="15659" width="13.28515625" style="42" bestFit="1" customWidth="1"/>
    <col min="15660" max="15660" width="12.28515625" style="42" bestFit="1" customWidth="1"/>
    <col min="15661" max="15666" width="10.7109375" style="42" bestFit="1" customWidth="1"/>
    <col min="15667" max="15667" width="14.28515625" style="42" bestFit="1" customWidth="1"/>
    <col min="15668" max="15668" width="11.42578125" style="42" customWidth="1"/>
    <col min="15669" max="15872" width="9.140625" style="42"/>
    <col min="15873" max="15873" width="5.42578125" style="42" customWidth="1"/>
    <col min="15874" max="15874" width="3.5703125" style="42" customWidth="1"/>
    <col min="15875" max="15875" width="4.28515625" style="42" customWidth="1"/>
    <col min="15876" max="15876" width="4" style="42" customWidth="1"/>
    <col min="15877" max="15877" width="3.85546875" style="42" customWidth="1"/>
    <col min="15878" max="15878" width="4.7109375" style="42" customWidth="1"/>
    <col min="15879" max="15879" width="10.28515625" style="42" customWidth="1"/>
    <col min="15880" max="15880" width="37" style="42" customWidth="1"/>
    <col min="15881" max="15881" width="17" style="42" customWidth="1"/>
    <col min="15882" max="15882" width="3" style="42" customWidth="1"/>
    <col min="15883" max="15883" width="11.42578125" style="42" customWidth="1"/>
    <col min="15884" max="15885" width="3.5703125" style="42" customWidth="1"/>
    <col min="15886" max="15886" width="2.85546875" style="42" customWidth="1"/>
    <col min="15887" max="15887" width="25.28515625" style="42" customWidth="1"/>
    <col min="15888" max="15888" width="20.140625" style="42" customWidth="1"/>
    <col min="15889" max="15889" width="16.42578125" style="42" customWidth="1"/>
    <col min="15890" max="15890" width="7.28515625" style="42" customWidth="1"/>
    <col min="15891" max="15891" width="14.28515625" style="42" customWidth="1"/>
    <col min="15892" max="15892" width="7.42578125" style="42" customWidth="1"/>
    <col min="15893" max="15893" width="13.28515625" style="42" customWidth="1"/>
    <col min="15894" max="15894" width="10.28515625" style="42" customWidth="1"/>
    <col min="15895" max="15895" width="11.28515625" style="42" customWidth="1"/>
    <col min="15896" max="15896" width="10.5703125" style="42" customWidth="1"/>
    <col min="15897" max="15897" width="11" style="42" customWidth="1"/>
    <col min="15898" max="15899" width="10" style="42" customWidth="1"/>
    <col min="15900" max="15900" width="9" style="42" customWidth="1"/>
    <col min="15901" max="15901" width="11.5703125" style="42" customWidth="1"/>
    <col min="15902" max="15902" width="9.7109375" style="42" customWidth="1"/>
    <col min="15903" max="15903" width="9" style="42" customWidth="1"/>
    <col min="15904" max="15904" width="11" style="42" customWidth="1"/>
    <col min="15905" max="15908" width="0" style="42" hidden="1" customWidth="1"/>
    <col min="15909" max="15909" width="14.140625" style="42" customWidth="1"/>
    <col min="15910" max="15911" width="16.140625" style="42" customWidth="1"/>
    <col min="15912" max="15912" width="20.7109375" style="42" bestFit="1" customWidth="1"/>
    <col min="15913" max="15914" width="12.28515625" style="42" bestFit="1" customWidth="1"/>
    <col min="15915" max="15915" width="13.28515625" style="42" bestFit="1" customWidth="1"/>
    <col min="15916" max="15916" width="12.28515625" style="42" bestFit="1" customWidth="1"/>
    <col min="15917" max="15922" width="10.7109375" style="42" bestFit="1" customWidth="1"/>
    <col min="15923" max="15923" width="14.28515625" style="42" bestFit="1" customWidth="1"/>
    <col min="15924" max="15924" width="11.42578125" style="42" customWidth="1"/>
    <col min="15925" max="16128" width="9.140625" style="42"/>
    <col min="16129" max="16129" width="5.42578125" style="42" customWidth="1"/>
    <col min="16130" max="16130" width="3.5703125" style="42" customWidth="1"/>
    <col min="16131" max="16131" width="4.28515625" style="42" customWidth="1"/>
    <col min="16132" max="16132" width="4" style="42" customWidth="1"/>
    <col min="16133" max="16133" width="3.85546875" style="42" customWidth="1"/>
    <col min="16134" max="16134" width="4.7109375" style="42" customWidth="1"/>
    <col min="16135" max="16135" width="10.28515625" style="42" customWidth="1"/>
    <col min="16136" max="16136" width="37" style="42" customWidth="1"/>
    <col min="16137" max="16137" width="17" style="42" customWidth="1"/>
    <col min="16138" max="16138" width="3" style="42" customWidth="1"/>
    <col min="16139" max="16139" width="11.42578125" style="42" customWidth="1"/>
    <col min="16140" max="16141" width="3.5703125" style="42" customWidth="1"/>
    <col min="16142" max="16142" width="2.85546875" style="42" customWidth="1"/>
    <col min="16143" max="16143" width="25.28515625" style="42" customWidth="1"/>
    <col min="16144" max="16144" width="20.140625" style="42" customWidth="1"/>
    <col min="16145" max="16145" width="16.42578125" style="42" customWidth="1"/>
    <col min="16146" max="16146" width="7.28515625" style="42" customWidth="1"/>
    <col min="16147" max="16147" width="14.28515625" style="42" customWidth="1"/>
    <col min="16148" max="16148" width="7.42578125" style="42" customWidth="1"/>
    <col min="16149" max="16149" width="13.28515625" style="42" customWidth="1"/>
    <col min="16150" max="16150" width="10.28515625" style="42" customWidth="1"/>
    <col min="16151" max="16151" width="11.28515625" style="42" customWidth="1"/>
    <col min="16152" max="16152" width="10.5703125" style="42" customWidth="1"/>
    <col min="16153" max="16153" width="11" style="42" customWidth="1"/>
    <col min="16154" max="16155" width="10" style="42" customWidth="1"/>
    <col min="16156" max="16156" width="9" style="42" customWidth="1"/>
    <col min="16157" max="16157" width="11.5703125" style="42" customWidth="1"/>
    <col min="16158" max="16158" width="9.7109375" style="42" customWidth="1"/>
    <col min="16159" max="16159" width="9" style="42" customWidth="1"/>
    <col min="16160" max="16160" width="11" style="42" customWidth="1"/>
    <col min="16161" max="16164" width="0" style="42" hidden="1" customWidth="1"/>
    <col min="16165" max="16165" width="14.140625" style="42" customWidth="1"/>
    <col min="16166" max="16167" width="16.140625" style="42" customWidth="1"/>
    <col min="16168" max="16168" width="20.7109375" style="42" bestFit="1" customWidth="1"/>
    <col min="16169" max="16170" width="12.28515625" style="42" bestFit="1" customWidth="1"/>
    <col min="16171" max="16171" width="13.28515625" style="42" bestFit="1" customWidth="1"/>
    <col min="16172" max="16172" width="12.28515625" style="42" bestFit="1" customWidth="1"/>
    <col min="16173" max="16178" width="10.7109375" style="42" bestFit="1" customWidth="1"/>
    <col min="16179" max="16179" width="14.28515625" style="42" bestFit="1" customWidth="1"/>
    <col min="16180" max="16180" width="11.42578125" style="42" customWidth="1"/>
    <col min="16181" max="16384" width="9.140625" style="42"/>
  </cols>
  <sheetData>
    <row r="1" spans="1:51" ht="23.25">
      <c r="A1" s="182" t="s">
        <v>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N1" s="183"/>
      <c r="AO1" s="183"/>
      <c r="AP1" s="183"/>
      <c r="AQ1" s="183"/>
      <c r="AR1" s="183"/>
      <c r="AS1" s="183"/>
      <c r="AT1" s="183"/>
      <c r="AU1" s="183"/>
      <c r="AV1" s="183"/>
    </row>
    <row r="2" spans="1:51" ht="24" customHeight="1">
      <c r="A2" s="9" t="s">
        <v>79</v>
      </c>
      <c r="B2" s="9"/>
      <c r="F2" s="44"/>
      <c r="H2" s="46" t="s">
        <v>80</v>
      </c>
      <c r="I2" s="47"/>
      <c r="J2" s="47"/>
      <c r="K2" s="46"/>
      <c r="L2" s="46"/>
      <c r="M2" s="46"/>
      <c r="N2" s="46"/>
      <c r="AN2" s="49"/>
      <c r="AO2" s="50"/>
      <c r="AP2" s="49"/>
      <c r="AQ2" s="51"/>
      <c r="AR2" s="52"/>
      <c r="AS2" s="53"/>
      <c r="AT2" s="54"/>
      <c r="AU2" s="55"/>
      <c r="AV2" s="54"/>
    </row>
    <row r="3" spans="1:51" ht="24" customHeight="1">
      <c r="A3" s="56" t="s">
        <v>81</v>
      </c>
      <c r="B3" s="57"/>
      <c r="D3" s="58"/>
      <c r="E3" s="59"/>
      <c r="F3" s="59"/>
      <c r="G3" s="59" t="s">
        <v>82</v>
      </c>
      <c r="AN3" s="49"/>
      <c r="AO3" s="50"/>
      <c r="AP3" s="49"/>
      <c r="AQ3" s="51"/>
      <c r="AR3" s="52"/>
      <c r="AS3" s="53"/>
      <c r="AT3" s="54"/>
      <c r="AU3" s="55"/>
      <c r="AV3" s="54"/>
    </row>
    <row r="4" spans="1:51" ht="57" customHeight="1">
      <c r="H4" s="9" t="s">
        <v>80</v>
      </c>
      <c r="O4" s="20" t="s">
        <v>249</v>
      </c>
      <c r="S4" s="184" t="s">
        <v>83</v>
      </c>
      <c r="T4" s="185"/>
      <c r="U4" s="185"/>
      <c r="V4" s="186"/>
      <c r="W4" s="187" t="s">
        <v>84</v>
      </c>
      <c r="X4" s="188"/>
      <c r="Y4" s="189"/>
      <c r="Z4" s="184" t="s">
        <v>83</v>
      </c>
      <c r="AA4" s="185"/>
      <c r="AB4" s="185"/>
      <c r="AC4" s="185"/>
      <c r="AD4" s="185"/>
      <c r="AE4" s="186"/>
      <c r="AF4" s="60" t="s">
        <v>84</v>
      </c>
      <c r="AG4" s="190" t="s">
        <v>85</v>
      </c>
      <c r="AH4" s="191"/>
      <c r="AI4" s="190" t="s">
        <v>86</v>
      </c>
      <c r="AJ4" s="191"/>
      <c r="AN4" s="49"/>
      <c r="AO4" s="61"/>
    </row>
    <row r="5" spans="1:51" s="75" customFormat="1" ht="54" customHeight="1" thickBot="1">
      <c r="A5" s="62" t="s">
        <v>87</v>
      </c>
      <c r="B5" s="62" t="s">
        <v>88</v>
      </c>
      <c r="C5" s="62" t="s">
        <v>89</v>
      </c>
      <c r="D5" s="62" t="s">
        <v>90</v>
      </c>
      <c r="E5" s="62" t="s">
        <v>91</v>
      </c>
      <c r="F5" s="62" t="s">
        <v>92</v>
      </c>
      <c r="G5" s="63" t="s">
        <v>93</v>
      </c>
      <c r="H5" s="64" t="s">
        <v>94</v>
      </c>
      <c r="I5" s="64" t="s">
        <v>95</v>
      </c>
      <c r="J5" s="65" t="s">
        <v>96</v>
      </c>
      <c r="K5" s="66" t="s">
        <v>97</v>
      </c>
      <c r="L5" s="66" t="s">
        <v>98</v>
      </c>
      <c r="M5" s="66" t="s">
        <v>99</v>
      </c>
      <c r="N5" s="66" t="s">
        <v>100</v>
      </c>
      <c r="O5" s="67" t="s">
        <v>101</v>
      </c>
      <c r="P5" s="67" t="s">
        <v>102</v>
      </c>
      <c r="Q5" s="63" t="s">
        <v>103</v>
      </c>
      <c r="R5" s="62" t="s">
        <v>104</v>
      </c>
      <c r="S5" s="62" t="s">
        <v>105</v>
      </c>
      <c r="T5" s="68" t="s">
        <v>106</v>
      </c>
      <c r="U5" s="68" t="s">
        <v>107</v>
      </c>
      <c r="V5" s="68" t="s">
        <v>108</v>
      </c>
      <c r="W5" s="69" t="s">
        <v>109</v>
      </c>
      <c r="X5" s="69" t="s">
        <v>110</v>
      </c>
      <c r="Y5" s="69" t="s">
        <v>111</v>
      </c>
      <c r="Z5" s="68" t="s">
        <v>112</v>
      </c>
      <c r="AA5" s="68" t="s">
        <v>113</v>
      </c>
      <c r="AB5" s="68" t="s">
        <v>114</v>
      </c>
      <c r="AC5" s="68" t="s">
        <v>115</v>
      </c>
      <c r="AD5" s="68" t="s">
        <v>116</v>
      </c>
      <c r="AE5" s="68" t="s">
        <v>117</v>
      </c>
      <c r="AF5" s="69" t="s">
        <v>118</v>
      </c>
      <c r="AG5" s="69"/>
      <c r="AH5" s="69"/>
      <c r="AI5" s="69"/>
      <c r="AJ5" s="69"/>
      <c r="AK5" s="70" t="s">
        <v>119</v>
      </c>
      <c r="AL5" s="71"/>
      <c r="AM5" s="71"/>
      <c r="AN5" s="72"/>
      <c r="AO5" s="73"/>
      <c r="AP5" s="72"/>
      <c r="AQ5" s="72"/>
      <c r="AR5" s="72"/>
      <c r="AS5" s="72"/>
      <c r="AT5" s="72"/>
      <c r="AU5" s="72"/>
      <c r="AV5" s="72"/>
      <c r="AW5" s="72"/>
      <c r="AX5" s="72"/>
      <c r="AY5" s="74"/>
    </row>
    <row r="6" spans="1:51" s="97" customFormat="1" ht="24" customHeight="1">
      <c r="A6" s="76">
        <v>1</v>
      </c>
      <c r="B6" s="76">
        <v>11</v>
      </c>
      <c r="C6" s="76">
        <v>16</v>
      </c>
      <c r="D6" s="77"/>
      <c r="E6" s="77">
        <v>1</v>
      </c>
      <c r="F6" s="77">
        <v>454</v>
      </c>
      <c r="G6" s="77" t="s">
        <v>120</v>
      </c>
      <c r="H6" s="24" t="s">
        <v>242</v>
      </c>
      <c r="I6" s="78" t="s">
        <v>243</v>
      </c>
      <c r="J6" s="79" t="s">
        <v>121</v>
      </c>
      <c r="K6" s="80">
        <v>43285</v>
      </c>
      <c r="L6" s="81">
        <v>9</v>
      </c>
      <c r="M6" s="81">
        <v>40</v>
      </c>
      <c r="N6" s="82" t="s">
        <v>122</v>
      </c>
      <c r="O6" s="78" t="s">
        <v>123</v>
      </c>
      <c r="P6" s="83" t="s">
        <v>124</v>
      </c>
      <c r="Q6" s="76"/>
      <c r="R6" s="79" t="s">
        <v>125</v>
      </c>
      <c r="S6" s="84">
        <f>157350/12</f>
        <v>13112.5</v>
      </c>
      <c r="T6" s="85"/>
      <c r="U6" s="86">
        <f t="shared" ref="U6:U23" si="0">+S6+T6</f>
        <v>13112.5</v>
      </c>
      <c r="V6" s="85"/>
      <c r="W6" s="87">
        <v>2208</v>
      </c>
      <c r="X6" s="87">
        <v>22083</v>
      </c>
      <c r="Y6" s="88">
        <v>6625</v>
      </c>
      <c r="Z6" s="89">
        <v>2318.75</v>
      </c>
      <c r="AA6" s="89">
        <v>397.5</v>
      </c>
      <c r="AB6" s="89">
        <v>800</v>
      </c>
      <c r="AC6" s="90">
        <v>265</v>
      </c>
      <c r="AD6" s="89">
        <v>903.5</v>
      </c>
      <c r="AE6" s="89">
        <v>637.5</v>
      </c>
      <c r="AF6" s="91">
        <v>7435.12</v>
      </c>
      <c r="AG6" s="92"/>
      <c r="AH6" s="92"/>
      <c r="AI6" s="92"/>
      <c r="AJ6" s="92"/>
      <c r="AK6" s="93">
        <f>+(U6+Z6+AA6+AB6+AC6+AD6+AE6)*12+(W6+X6+Y6+AF6)</f>
        <v>259568.12</v>
      </c>
      <c r="AL6" s="94"/>
      <c r="AM6" s="94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6"/>
    </row>
    <row r="7" spans="1:51" s="97" customFormat="1" ht="24" customHeight="1">
      <c r="A7" s="98">
        <v>2</v>
      </c>
      <c r="B7" s="76">
        <v>11</v>
      </c>
      <c r="C7" s="76">
        <v>16</v>
      </c>
      <c r="D7" s="99"/>
      <c r="E7" s="99">
        <v>1</v>
      </c>
      <c r="F7" s="77">
        <v>454</v>
      </c>
      <c r="G7" s="77" t="s">
        <v>120</v>
      </c>
      <c r="H7" s="24" t="s">
        <v>126</v>
      </c>
      <c r="I7" s="78" t="s">
        <v>127</v>
      </c>
      <c r="J7" s="100" t="s">
        <v>121</v>
      </c>
      <c r="K7" s="80">
        <v>39772</v>
      </c>
      <c r="L7" s="81">
        <v>9</v>
      </c>
      <c r="M7" s="81">
        <v>40</v>
      </c>
      <c r="N7" s="82" t="s">
        <v>122</v>
      </c>
      <c r="O7" s="78" t="s">
        <v>128</v>
      </c>
      <c r="P7" s="83" t="s">
        <v>129</v>
      </c>
      <c r="Q7" s="98"/>
      <c r="R7" s="79" t="s">
        <v>125</v>
      </c>
      <c r="S7" s="84">
        <f>S6</f>
        <v>13112.5</v>
      </c>
      <c r="T7" s="101"/>
      <c r="U7" s="86">
        <f t="shared" si="0"/>
        <v>13112.5</v>
      </c>
      <c r="V7" s="101"/>
      <c r="W7" s="87">
        <f>W6</f>
        <v>2208</v>
      </c>
      <c r="X7" s="87">
        <f t="shared" ref="X7:AF7" si="1">+X6</f>
        <v>22083</v>
      </c>
      <c r="Y7" s="88">
        <f>Y6</f>
        <v>6625</v>
      </c>
      <c r="Z7" s="89">
        <f t="shared" si="1"/>
        <v>2318.75</v>
      </c>
      <c r="AA7" s="89">
        <f t="shared" si="1"/>
        <v>397.5</v>
      </c>
      <c r="AB7" s="89">
        <f t="shared" si="1"/>
        <v>800</v>
      </c>
      <c r="AC7" s="90">
        <f>AC6</f>
        <v>265</v>
      </c>
      <c r="AD7" s="89">
        <f>AD6</f>
        <v>903.5</v>
      </c>
      <c r="AE7" s="89">
        <f>+AE6</f>
        <v>637.5</v>
      </c>
      <c r="AF7" s="91">
        <f t="shared" si="1"/>
        <v>7435.12</v>
      </c>
      <c r="AG7" s="93"/>
      <c r="AH7" s="93"/>
      <c r="AI7" s="93"/>
      <c r="AJ7" s="93"/>
      <c r="AK7" s="93">
        <f t="shared" ref="AK7:AK22" si="2">+(U7+Z7+AA7+AB7+AC7+AD7+AE7)*12+(W7+X7+Y7+AF7)</f>
        <v>259568.12</v>
      </c>
      <c r="AL7" s="94"/>
      <c r="AM7" s="94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6"/>
    </row>
    <row r="8" spans="1:51" s="109" customFormat="1" ht="24" customHeight="1">
      <c r="A8" s="102">
        <v>3</v>
      </c>
      <c r="B8" s="76">
        <v>11</v>
      </c>
      <c r="C8" s="76">
        <v>16</v>
      </c>
      <c r="D8" s="102"/>
      <c r="E8" s="102">
        <v>1</v>
      </c>
      <c r="F8" s="77">
        <v>454</v>
      </c>
      <c r="G8" s="77" t="s">
        <v>120</v>
      </c>
      <c r="H8" s="103" t="s">
        <v>130</v>
      </c>
      <c r="I8" s="78" t="s">
        <v>131</v>
      </c>
      <c r="J8" s="104" t="s">
        <v>121</v>
      </c>
      <c r="K8" s="80">
        <v>38047</v>
      </c>
      <c r="L8" s="81">
        <v>9</v>
      </c>
      <c r="M8" s="81">
        <v>40</v>
      </c>
      <c r="N8" s="82" t="s">
        <v>122</v>
      </c>
      <c r="O8" s="78" t="s">
        <v>132</v>
      </c>
      <c r="P8" s="83" t="s">
        <v>124</v>
      </c>
      <c r="Q8" s="104"/>
      <c r="R8" s="79" t="s">
        <v>125</v>
      </c>
      <c r="S8" s="84">
        <f>S7</f>
        <v>13112.5</v>
      </c>
      <c r="T8" s="105"/>
      <c r="U8" s="86">
        <f t="shared" si="0"/>
        <v>13112.5</v>
      </c>
      <c r="V8" s="105"/>
      <c r="W8" s="87">
        <f t="shared" ref="W8:AB8" si="3">W7</f>
        <v>2208</v>
      </c>
      <c r="X8" s="87">
        <f t="shared" si="3"/>
        <v>22083</v>
      </c>
      <c r="Y8" s="88">
        <f t="shared" si="3"/>
        <v>6625</v>
      </c>
      <c r="Z8" s="89">
        <f t="shared" si="3"/>
        <v>2318.75</v>
      </c>
      <c r="AA8" s="89">
        <f t="shared" si="3"/>
        <v>397.5</v>
      </c>
      <c r="AB8" s="89">
        <f t="shared" si="3"/>
        <v>800</v>
      </c>
      <c r="AC8" s="106">
        <f>AC7</f>
        <v>265</v>
      </c>
      <c r="AD8" s="89">
        <f>+AD7</f>
        <v>903.5</v>
      </c>
      <c r="AE8" s="89">
        <f>AE7</f>
        <v>637.5</v>
      </c>
      <c r="AF8" s="91">
        <f>AF7</f>
        <v>7435.12</v>
      </c>
      <c r="AG8" s="107"/>
      <c r="AH8" s="107"/>
      <c r="AI8" s="107"/>
      <c r="AJ8" s="107"/>
      <c r="AK8" s="93">
        <f t="shared" si="2"/>
        <v>259568.12</v>
      </c>
      <c r="AL8" s="108"/>
      <c r="AM8" s="108"/>
    </row>
    <row r="9" spans="1:51" ht="24" customHeight="1">
      <c r="A9" s="102">
        <v>4</v>
      </c>
      <c r="B9" s="76">
        <v>11</v>
      </c>
      <c r="C9" s="76">
        <v>16</v>
      </c>
      <c r="D9" s="102"/>
      <c r="E9" s="102">
        <v>1</v>
      </c>
      <c r="F9" s="77">
        <v>454</v>
      </c>
      <c r="G9" s="77" t="s">
        <v>120</v>
      </c>
      <c r="H9" s="24" t="s">
        <v>133</v>
      </c>
      <c r="I9" s="78" t="s">
        <v>134</v>
      </c>
      <c r="J9" s="104" t="s">
        <v>135</v>
      </c>
      <c r="K9" s="80">
        <v>41791</v>
      </c>
      <c r="L9" s="81">
        <v>28</v>
      </c>
      <c r="M9" s="81">
        <v>40</v>
      </c>
      <c r="N9" s="110" t="s">
        <v>136</v>
      </c>
      <c r="O9" s="78" t="s">
        <v>137</v>
      </c>
      <c r="P9" s="83" t="s">
        <v>129</v>
      </c>
      <c r="Q9" s="104"/>
      <c r="R9" s="79" t="s">
        <v>125</v>
      </c>
      <c r="S9" s="84">
        <f>769784.4/12</f>
        <v>64148.700000000004</v>
      </c>
      <c r="T9" s="105"/>
      <c r="U9" s="86">
        <f t="shared" si="0"/>
        <v>64148.700000000004</v>
      </c>
      <c r="V9" s="105"/>
      <c r="W9" s="87">
        <f>[1]Hoja1!D153</f>
        <v>10699.783333333333</v>
      </c>
      <c r="X9" s="87">
        <f>[1]Hoja1!C153</f>
        <v>106997.83333333333</v>
      </c>
      <c r="Y9" s="88">
        <v>0</v>
      </c>
      <c r="Z9" s="89">
        <f>134817.27/12</f>
        <v>11234.772499999999</v>
      </c>
      <c r="AA9" s="89">
        <f>23111.53/12</f>
        <v>1925.9608333333333</v>
      </c>
      <c r="AB9" s="89">
        <v>1800</v>
      </c>
      <c r="AC9" s="106">
        <v>1116.6666666666667</v>
      </c>
      <c r="AD9" s="89">
        <v>2544</v>
      </c>
      <c r="AE9" s="89">
        <v>1794</v>
      </c>
      <c r="AF9" s="91">
        <v>36672</v>
      </c>
      <c r="AG9" s="104"/>
      <c r="AH9" s="104"/>
      <c r="AI9" s="104"/>
      <c r="AJ9" s="104"/>
      <c r="AK9" s="93">
        <f t="shared" si="2"/>
        <v>1169138.8166666667</v>
      </c>
      <c r="AL9" s="10"/>
      <c r="AM9" s="10"/>
    </row>
    <row r="10" spans="1:51" ht="24" customHeight="1">
      <c r="A10" s="102">
        <v>5</v>
      </c>
      <c r="B10" s="76">
        <v>11</v>
      </c>
      <c r="C10" s="76">
        <v>16</v>
      </c>
      <c r="D10" s="102"/>
      <c r="E10" s="102">
        <v>1</v>
      </c>
      <c r="F10" s="77">
        <v>454</v>
      </c>
      <c r="G10" s="77" t="s">
        <v>120</v>
      </c>
      <c r="H10" s="24" t="s">
        <v>138</v>
      </c>
      <c r="I10" s="78" t="s">
        <v>139</v>
      </c>
      <c r="J10" s="104" t="s">
        <v>135</v>
      </c>
      <c r="K10" s="80">
        <v>40330</v>
      </c>
      <c r="L10" s="81">
        <v>28</v>
      </c>
      <c r="M10" s="81">
        <v>40</v>
      </c>
      <c r="N10" s="110" t="s">
        <v>136</v>
      </c>
      <c r="O10" s="78" t="s">
        <v>140</v>
      </c>
      <c r="P10" s="83" t="s">
        <v>124</v>
      </c>
      <c r="Q10" s="104"/>
      <c r="R10" s="79" t="s">
        <v>125</v>
      </c>
      <c r="S10" s="84">
        <f>S9</f>
        <v>64148.700000000004</v>
      </c>
      <c r="T10" s="105"/>
      <c r="U10" s="86">
        <f t="shared" si="0"/>
        <v>64148.700000000004</v>
      </c>
      <c r="V10" s="105"/>
      <c r="W10" s="87">
        <f t="shared" ref="W10:AF10" si="4">W9</f>
        <v>10699.783333333333</v>
      </c>
      <c r="X10" s="87">
        <f t="shared" si="4"/>
        <v>106997.83333333333</v>
      </c>
      <c r="Y10" s="88">
        <f t="shared" si="4"/>
        <v>0</v>
      </c>
      <c r="Z10" s="89">
        <f t="shared" si="4"/>
        <v>11234.772499999999</v>
      </c>
      <c r="AA10" s="89">
        <f t="shared" si="4"/>
        <v>1925.9608333333333</v>
      </c>
      <c r="AB10" s="89">
        <f t="shared" si="4"/>
        <v>1800</v>
      </c>
      <c r="AC10" s="111">
        <f>AC9</f>
        <v>1116.6666666666667</v>
      </c>
      <c r="AD10" s="89">
        <f>+AD9</f>
        <v>2544</v>
      </c>
      <c r="AE10" s="89">
        <f t="shared" si="4"/>
        <v>1794</v>
      </c>
      <c r="AF10" s="91">
        <f t="shared" si="4"/>
        <v>36672</v>
      </c>
      <c r="AG10" s="104"/>
      <c r="AH10" s="104"/>
      <c r="AI10" s="104"/>
      <c r="AJ10" s="104"/>
      <c r="AK10" s="93">
        <f t="shared" si="2"/>
        <v>1169138.8166666667</v>
      </c>
      <c r="AL10" s="10"/>
      <c r="AM10" s="10"/>
    </row>
    <row r="11" spans="1:51" ht="24" customHeight="1">
      <c r="A11" s="102">
        <v>6</v>
      </c>
      <c r="B11" s="76">
        <v>11</v>
      </c>
      <c r="C11" s="76">
        <v>16</v>
      </c>
      <c r="D11" s="102"/>
      <c r="E11" s="102">
        <v>1</v>
      </c>
      <c r="F11" s="77">
        <v>454</v>
      </c>
      <c r="G11" s="77" t="s">
        <v>120</v>
      </c>
      <c r="H11" s="112" t="s">
        <v>141</v>
      </c>
      <c r="I11" s="112" t="s">
        <v>142</v>
      </c>
      <c r="J11" s="104" t="s">
        <v>121</v>
      </c>
      <c r="K11" s="80">
        <v>42384</v>
      </c>
      <c r="L11" s="81">
        <v>22</v>
      </c>
      <c r="M11" s="81">
        <v>40</v>
      </c>
      <c r="N11" s="110" t="s">
        <v>136</v>
      </c>
      <c r="O11" s="78" t="s">
        <v>143</v>
      </c>
      <c r="P11" s="83" t="s">
        <v>129</v>
      </c>
      <c r="Q11" s="104"/>
      <c r="R11" s="79" t="s">
        <v>125</v>
      </c>
      <c r="S11" s="84">
        <f>405151.2/12</f>
        <v>33762.6</v>
      </c>
      <c r="T11" s="105"/>
      <c r="U11" s="86">
        <f t="shared" si="0"/>
        <v>33762.6</v>
      </c>
      <c r="V11" s="105"/>
      <c r="W11" s="87">
        <f>[1]Hoja1!D159</f>
        <v>5635.4333333333325</v>
      </c>
      <c r="X11" s="87">
        <f>[1]Hoja1!C159</f>
        <v>56354.333333333336</v>
      </c>
      <c r="Y11" s="88">
        <f>+[1]Hoja1!I159</f>
        <v>16906.3</v>
      </c>
      <c r="Z11" s="89">
        <f>71006.46/12</f>
        <v>5917.2050000000008</v>
      </c>
      <c r="AA11" s="89">
        <f>12172.54/12</f>
        <v>1014.3783333333334</v>
      </c>
      <c r="AB11" s="89">
        <v>1400</v>
      </c>
      <c r="AC11" s="106">
        <f>8115.02/12</f>
        <v>676.25166666666667</v>
      </c>
      <c r="AD11" s="89">
        <v>1680</v>
      </c>
      <c r="AE11" s="89">
        <v>1190</v>
      </c>
      <c r="AF11" s="91">
        <v>18784</v>
      </c>
      <c r="AG11" s="104"/>
      <c r="AH11" s="104"/>
      <c r="AI11" s="104"/>
      <c r="AJ11" s="104"/>
      <c r="AK11" s="93">
        <f t="shared" si="2"/>
        <v>645365.28666666662</v>
      </c>
      <c r="AL11" s="10"/>
      <c r="AM11" s="10"/>
    </row>
    <row r="12" spans="1:51" ht="24" customHeight="1">
      <c r="A12" s="102">
        <v>7</v>
      </c>
      <c r="B12" s="76">
        <v>11</v>
      </c>
      <c r="C12" s="76">
        <v>16</v>
      </c>
      <c r="D12" s="102"/>
      <c r="E12" s="102">
        <v>1</v>
      </c>
      <c r="F12" s="77">
        <v>454</v>
      </c>
      <c r="G12" s="77" t="s">
        <v>120</v>
      </c>
      <c r="H12" s="113" t="s">
        <v>144</v>
      </c>
      <c r="I12" s="78" t="s">
        <v>145</v>
      </c>
      <c r="J12" s="104" t="s">
        <v>135</v>
      </c>
      <c r="K12" s="80">
        <v>41821</v>
      </c>
      <c r="L12" s="81">
        <v>22</v>
      </c>
      <c r="M12" s="81">
        <v>40</v>
      </c>
      <c r="N12" s="110" t="s">
        <v>136</v>
      </c>
      <c r="O12" s="78" t="s">
        <v>146</v>
      </c>
      <c r="P12" s="83" t="s">
        <v>124</v>
      </c>
      <c r="Q12" s="104"/>
      <c r="R12" s="79" t="s">
        <v>125</v>
      </c>
      <c r="S12" s="84">
        <f>S11</f>
        <v>33762.6</v>
      </c>
      <c r="T12" s="105"/>
      <c r="U12" s="86">
        <f t="shared" si="0"/>
        <v>33762.6</v>
      </c>
      <c r="V12" s="105"/>
      <c r="W12" s="87">
        <f t="shared" ref="W12:AF12" si="5">W11</f>
        <v>5635.4333333333325</v>
      </c>
      <c r="X12" s="87">
        <f t="shared" si="5"/>
        <v>56354.333333333336</v>
      </c>
      <c r="Y12" s="88">
        <f t="shared" si="5"/>
        <v>16906.3</v>
      </c>
      <c r="Z12" s="89">
        <f t="shared" si="5"/>
        <v>5917.2050000000008</v>
      </c>
      <c r="AA12" s="89">
        <f t="shared" si="5"/>
        <v>1014.3783333333334</v>
      </c>
      <c r="AB12" s="89">
        <f t="shared" si="5"/>
        <v>1400</v>
      </c>
      <c r="AC12" s="111">
        <f>AC11</f>
        <v>676.25166666666667</v>
      </c>
      <c r="AD12" s="89">
        <f>+AD11</f>
        <v>1680</v>
      </c>
      <c r="AE12" s="89">
        <f t="shared" si="5"/>
        <v>1190</v>
      </c>
      <c r="AF12" s="91">
        <f t="shared" si="5"/>
        <v>18784</v>
      </c>
      <c r="AG12" s="104"/>
      <c r="AH12" s="104"/>
      <c r="AI12" s="104"/>
      <c r="AJ12" s="104"/>
      <c r="AK12" s="93">
        <f t="shared" si="2"/>
        <v>645365.28666666662</v>
      </c>
      <c r="AL12" s="10"/>
      <c r="AM12" s="10"/>
    </row>
    <row r="13" spans="1:51" ht="24" customHeight="1">
      <c r="A13" s="102">
        <v>8</v>
      </c>
      <c r="B13" s="76">
        <v>11</v>
      </c>
      <c r="C13" s="76">
        <v>16</v>
      </c>
      <c r="D13" s="102"/>
      <c r="E13" s="102">
        <v>1</v>
      </c>
      <c r="F13" s="77">
        <v>454</v>
      </c>
      <c r="G13" s="77" t="s">
        <v>120</v>
      </c>
      <c r="H13" s="114" t="s">
        <v>244</v>
      </c>
      <c r="I13" s="78" t="s">
        <v>245</v>
      </c>
      <c r="J13" s="104" t="s">
        <v>121</v>
      </c>
      <c r="K13" s="80">
        <v>43206</v>
      </c>
      <c r="L13" s="81">
        <v>20</v>
      </c>
      <c r="M13" s="81">
        <v>40</v>
      </c>
      <c r="N13" s="110" t="s">
        <v>136</v>
      </c>
      <c r="O13" s="78" t="s">
        <v>241</v>
      </c>
      <c r="P13" s="83" t="s">
        <v>129</v>
      </c>
      <c r="Q13" s="104"/>
      <c r="R13" s="79" t="s">
        <v>125</v>
      </c>
      <c r="S13" s="84">
        <f>332976/12</f>
        <v>27748</v>
      </c>
      <c r="T13" s="105"/>
      <c r="U13" s="86">
        <f t="shared" si="0"/>
        <v>27748</v>
      </c>
      <c r="V13" s="105"/>
      <c r="W13" s="87">
        <f>+[1]Hoja1!D158</f>
        <v>4633</v>
      </c>
      <c r="X13" s="87">
        <f>+[1]Hoja1!C158</f>
        <v>46330</v>
      </c>
      <c r="Y13" s="88">
        <f>+[1]Hoja1!I158</f>
        <v>13899</v>
      </c>
      <c r="Z13" s="89">
        <f>58375.8/12</f>
        <v>4864.6500000000005</v>
      </c>
      <c r="AA13" s="89">
        <f>10007.28/12</f>
        <v>833.94</v>
      </c>
      <c r="AB13" s="89">
        <v>1200</v>
      </c>
      <c r="AC13" s="111">
        <f>6671.52/12</f>
        <v>555.96</v>
      </c>
      <c r="AD13" s="89">
        <v>1670.5</v>
      </c>
      <c r="AE13" s="89">
        <v>1102</v>
      </c>
      <c r="AF13" s="91">
        <v>18784</v>
      </c>
      <c r="AG13" s="104"/>
      <c r="AH13" s="104"/>
      <c r="AI13" s="104"/>
      <c r="AJ13" s="104"/>
      <c r="AK13" s="93">
        <f t="shared" si="2"/>
        <v>539346.60000000009</v>
      </c>
      <c r="AL13" s="10"/>
      <c r="AM13" s="10"/>
    </row>
    <row r="14" spans="1:51" ht="24" customHeight="1">
      <c r="A14" s="102">
        <v>9</v>
      </c>
      <c r="B14" s="76">
        <v>11</v>
      </c>
      <c r="C14" s="76">
        <v>16</v>
      </c>
      <c r="D14" s="102"/>
      <c r="E14" s="102">
        <v>1</v>
      </c>
      <c r="F14" s="77">
        <v>454</v>
      </c>
      <c r="G14" s="77" t="s">
        <v>120</v>
      </c>
      <c r="H14" s="112" t="s">
        <v>147</v>
      </c>
      <c r="I14" s="115" t="s">
        <v>148</v>
      </c>
      <c r="J14" s="104" t="s">
        <v>135</v>
      </c>
      <c r="K14" s="80">
        <v>42402</v>
      </c>
      <c r="L14" s="81">
        <v>22</v>
      </c>
      <c r="M14" s="81">
        <v>40</v>
      </c>
      <c r="N14" s="110" t="s">
        <v>136</v>
      </c>
      <c r="O14" s="78" t="s">
        <v>143</v>
      </c>
      <c r="P14" s="83" t="s">
        <v>129</v>
      </c>
      <c r="Q14" s="104"/>
      <c r="R14" s="79" t="s">
        <v>125</v>
      </c>
      <c r="S14" s="84">
        <f>S12</f>
        <v>33762.6</v>
      </c>
      <c r="T14" s="105"/>
      <c r="U14" s="86">
        <f t="shared" si="0"/>
        <v>33762.6</v>
      </c>
      <c r="V14" s="105"/>
      <c r="W14" s="87">
        <f>W12</f>
        <v>5635.4333333333325</v>
      </c>
      <c r="X14" s="87">
        <f>X12</f>
        <v>56354.333333333336</v>
      </c>
      <c r="Y14" s="88">
        <f>Y11</f>
        <v>16906.3</v>
      </c>
      <c r="Z14" s="89">
        <f>Z12</f>
        <v>5917.2050000000008</v>
      </c>
      <c r="AA14" s="89">
        <f>+AA12</f>
        <v>1014.3783333333334</v>
      </c>
      <c r="AB14" s="89">
        <f>AB12</f>
        <v>1400</v>
      </c>
      <c r="AC14" s="111">
        <f>AC12</f>
        <v>676.25166666666667</v>
      </c>
      <c r="AD14" s="89">
        <f>+AD12</f>
        <v>1680</v>
      </c>
      <c r="AE14" s="89">
        <f>AE12</f>
        <v>1190</v>
      </c>
      <c r="AF14" s="91">
        <f>AF12</f>
        <v>18784</v>
      </c>
      <c r="AG14" s="104"/>
      <c r="AH14" s="104"/>
      <c r="AI14" s="104"/>
      <c r="AJ14" s="104"/>
      <c r="AK14" s="93">
        <f t="shared" si="2"/>
        <v>645365.28666666662</v>
      </c>
      <c r="AL14" s="10"/>
      <c r="AM14" s="10"/>
    </row>
    <row r="15" spans="1:51" ht="24" customHeight="1">
      <c r="A15" s="102">
        <v>10</v>
      </c>
      <c r="B15" s="76">
        <v>11</v>
      </c>
      <c r="C15" s="76">
        <v>16</v>
      </c>
      <c r="D15" s="102"/>
      <c r="E15" s="102">
        <v>1</v>
      </c>
      <c r="F15" s="77">
        <v>454</v>
      </c>
      <c r="G15" s="77" t="s">
        <v>120</v>
      </c>
      <c r="H15" s="114" t="s">
        <v>149</v>
      </c>
      <c r="I15" s="78" t="s">
        <v>150</v>
      </c>
      <c r="J15" s="104" t="s">
        <v>135</v>
      </c>
      <c r="K15" s="80">
        <v>40330</v>
      </c>
      <c r="L15" s="81">
        <v>22</v>
      </c>
      <c r="M15" s="81">
        <v>40</v>
      </c>
      <c r="N15" s="110" t="s">
        <v>136</v>
      </c>
      <c r="O15" s="78" t="s">
        <v>146</v>
      </c>
      <c r="P15" s="83" t="s">
        <v>124</v>
      </c>
      <c r="Q15" s="104"/>
      <c r="R15" s="79" t="s">
        <v>125</v>
      </c>
      <c r="S15" s="84">
        <f>S14</f>
        <v>33762.6</v>
      </c>
      <c r="T15" s="105"/>
      <c r="U15" s="86">
        <f t="shared" si="0"/>
        <v>33762.6</v>
      </c>
      <c r="V15" s="105"/>
      <c r="W15" s="87">
        <f t="shared" ref="W15:AF15" si="6">W14</f>
        <v>5635.4333333333325</v>
      </c>
      <c r="X15" s="87">
        <f t="shared" si="6"/>
        <v>56354.333333333336</v>
      </c>
      <c r="Y15" s="88">
        <f t="shared" si="6"/>
        <v>16906.3</v>
      </c>
      <c r="Z15" s="89">
        <f t="shared" si="6"/>
        <v>5917.2050000000008</v>
      </c>
      <c r="AA15" s="89">
        <f t="shared" si="6"/>
        <v>1014.3783333333334</v>
      </c>
      <c r="AB15" s="89">
        <f t="shared" si="6"/>
        <v>1400</v>
      </c>
      <c r="AC15" s="106">
        <f>AC14</f>
        <v>676.25166666666667</v>
      </c>
      <c r="AD15" s="89">
        <v>1710</v>
      </c>
      <c r="AE15" s="89">
        <f t="shared" si="6"/>
        <v>1190</v>
      </c>
      <c r="AF15" s="91">
        <f t="shared" si="6"/>
        <v>18784</v>
      </c>
      <c r="AG15" s="104"/>
      <c r="AH15" s="104"/>
      <c r="AI15" s="104"/>
      <c r="AJ15" s="104"/>
      <c r="AK15" s="93">
        <f t="shared" si="2"/>
        <v>645725.28666666662</v>
      </c>
      <c r="AL15" s="10"/>
      <c r="AM15" s="10"/>
    </row>
    <row r="16" spans="1:51" ht="24" customHeight="1">
      <c r="A16" s="102">
        <v>11</v>
      </c>
      <c r="B16" s="76">
        <v>11</v>
      </c>
      <c r="C16" s="76">
        <v>16</v>
      </c>
      <c r="D16" s="102"/>
      <c r="E16" s="102">
        <v>1</v>
      </c>
      <c r="F16" s="77">
        <v>454</v>
      </c>
      <c r="G16" s="77" t="s">
        <v>120</v>
      </c>
      <c r="H16" s="114" t="s">
        <v>151</v>
      </c>
      <c r="I16" s="78" t="s">
        <v>152</v>
      </c>
      <c r="J16" s="104" t="s">
        <v>135</v>
      </c>
      <c r="K16" s="80">
        <v>37073</v>
      </c>
      <c r="L16" s="81">
        <v>14</v>
      </c>
      <c r="M16" s="81">
        <v>40</v>
      </c>
      <c r="N16" s="81" t="s">
        <v>122</v>
      </c>
      <c r="O16" s="78" t="s">
        <v>153</v>
      </c>
      <c r="P16" s="83" t="s">
        <v>124</v>
      </c>
      <c r="Q16" s="104"/>
      <c r="R16" s="79" t="s">
        <v>125</v>
      </c>
      <c r="S16" s="84">
        <f>170928/12</f>
        <v>14244</v>
      </c>
      <c r="T16" s="105"/>
      <c r="U16" s="86">
        <f t="shared" si="0"/>
        <v>14244</v>
      </c>
      <c r="V16" s="105"/>
      <c r="W16" s="87">
        <v>2391</v>
      </c>
      <c r="X16" s="87">
        <v>23907</v>
      </c>
      <c r="Y16" s="88">
        <v>7172</v>
      </c>
      <c r="Z16" s="89">
        <f>30122.4/12</f>
        <v>2510.2000000000003</v>
      </c>
      <c r="AA16" s="89">
        <f>5163.84/12</f>
        <v>430.32</v>
      </c>
      <c r="AB16" s="89">
        <v>850</v>
      </c>
      <c r="AC16" s="106">
        <f>3442.56/12</f>
        <v>286.88</v>
      </c>
      <c r="AD16" s="89">
        <v>1122</v>
      </c>
      <c r="AE16" s="89">
        <v>682</v>
      </c>
      <c r="AF16" s="91">
        <v>7591</v>
      </c>
      <c r="AG16" s="104"/>
      <c r="AH16" s="104"/>
      <c r="AI16" s="104"/>
      <c r="AJ16" s="104"/>
      <c r="AK16" s="93">
        <f t="shared" si="2"/>
        <v>282565.80000000005</v>
      </c>
      <c r="AL16" s="10"/>
      <c r="AM16" s="10"/>
    </row>
    <row r="17" spans="1:39" ht="24" customHeight="1">
      <c r="A17" s="102">
        <v>12</v>
      </c>
      <c r="B17" s="76">
        <v>11</v>
      </c>
      <c r="C17" s="76">
        <v>16</v>
      </c>
      <c r="D17" s="102"/>
      <c r="E17" s="102">
        <v>1</v>
      </c>
      <c r="F17" s="77">
        <v>454</v>
      </c>
      <c r="G17" s="77" t="s">
        <v>120</v>
      </c>
      <c r="H17" s="116" t="s">
        <v>154</v>
      </c>
      <c r="I17" s="78" t="s">
        <v>155</v>
      </c>
      <c r="J17" s="104" t="s">
        <v>121</v>
      </c>
      <c r="K17" s="80">
        <v>37058</v>
      </c>
      <c r="L17" s="81">
        <v>13</v>
      </c>
      <c r="M17" s="81">
        <v>40</v>
      </c>
      <c r="N17" s="81" t="s">
        <v>122</v>
      </c>
      <c r="O17" s="78" t="s">
        <v>156</v>
      </c>
      <c r="P17" s="83" t="s">
        <v>157</v>
      </c>
      <c r="Q17" s="104"/>
      <c r="R17" s="79" t="s">
        <v>125</v>
      </c>
      <c r="S17" s="84">
        <f>165000/12</f>
        <v>13750</v>
      </c>
      <c r="T17" s="105"/>
      <c r="U17" s="86">
        <f t="shared" si="0"/>
        <v>13750</v>
      </c>
      <c r="V17" s="105"/>
      <c r="W17" s="87">
        <v>2308</v>
      </c>
      <c r="X17" s="87">
        <v>23083</v>
      </c>
      <c r="Y17" s="88">
        <v>6925</v>
      </c>
      <c r="Z17" s="89">
        <v>2423.75</v>
      </c>
      <c r="AA17" s="89">
        <v>415.5</v>
      </c>
      <c r="AB17" s="89">
        <v>800</v>
      </c>
      <c r="AC17" s="173">
        <v>277</v>
      </c>
      <c r="AD17" s="89">
        <v>1088</v>
      </c>
      <c r="AE17" s="89">
        <v>662</v>
      </c>
      <c r="AF17" s="91">
        <v>7320</v>
      </c>
      <c r="AG17" s="104"/>
      <c r="AH17" s="104"/>
      <c r="AI17" s="104"/>
      <c r="AJ17" s="104"/>
      <c r="AK17" s="93">
        <f t="shared" si="2"/>
        <v>272631</v>
      </c>
      <c r="AL17" s="10"/>
      <c r="AM17" s="10"/>
    </row>
    <row r="18" spans="1:39" ht="24" customHeight="1">
      <c r="A18" s="102">
        <v>13</v>
      </c>
      <c r="B18" s="76">
        <v>11</v>
      </c>
      <c r="C18" s="76">
        <v>16</v>
      </c>
      <c r="D18" s="102"/>
      <c r="E18" s="102">
        <v>2</v>
      </c>
      <c r="F18" s="77">
        <v>454</v>
      </c>
      <c r="G18" s="77" t="s">
        <v>120</v>
      </c>
      <c r="H18" s="24" t="s">
        <v>158</v>
      </c>
      <c r="I18" s="117" t="s">
        <v>159</v>
      </c>
      <c r="J18" s="104" t="s">
        <v>121</v>
      </c>
      <c r="K18" s="118">
        <v>39072</v>
      </c>
      <c r="L18" s="119">
        <v>11</v>
      </c>
      <c r="M18" s="119">
        <v>40</v>
      </c>
      <c r="N18" s="119" t="s">
        <v>122</v>
      </c>
      <c r="O18" s="117" t="s">
        <v>160</v>
      </c>
      <c r="P18" s="120" t="s">
        <v>157</v>
      </c>
      <c r="Q18" s="104"/>
      <c r="R18" s="79" t="s">
        <v>125</v>
      </c>
      <c r="S18" s="84">
        <f>167700/12</f>
        <v>13975</v>
      </c>
      <c r="T18" s="105"/>
      <c r="U18" s="84">
        <f t="shared" si="0"/>
        <v>13975</v>
      </c>
      <c r="V18" s="105"/>
      <c r="W18" s="87">
        <v>2350</v>
      </c>
      <c r="X18" s="87">
        <v>23500</v>
      </c>
      <c r="Y18" s="88">
        <v>7050</v>
      </c>
      <c r="Z18" s="89">
        <v>2467.5</v>
      </c>
      <c r="AA18" s="89">
        <v>423</v>
      </c>
      <c r="AB18" s="89">
        <v>800</v>
      </c>
      <c r="AC18" s="89">
        <v>282</v>
      </c>
      <c r="AD18" s="91">
        <v>1074</v>
      </c>
      <c r="AE18" s="89">
        <v>678</v>
      </c>
      <c r="AF18" s="91">
        <v>7756</v>
      </c>
      <c r="AG18" s="104"/>
      <c r="AH18" s="104"/>
      <c r="AI18" s="104"/>
      <c r="AJ18" s="104"/>
      <c r="AK18" s="93">
        <f t="shared" si="2"/>
        <v>277050</v>
      </c>
      <c r="AL18" s="10"/>
      <c r="AM18" s="10"/>
    </row>
    <row r="19" spans="1:39" ht="24" customHeight="1">
      <c r="A19" s="102">
        <v>14</v>
      </c>
      <c r="B19" s="76">
        <v>11</v>
      </c>
      <c r="C19" s="76">
        <v>16</v>
      </c>
      <c r="D19" s="102"/>
      <c r="E19" s="102">
        <v>2</v>
      </c>
      <c r="F19" s="77">
        <v>454</v>
      </c>
      <c r="G19" s="77" t="s">
        <v>120</v>
      </c>
      <c r="H19" s="103" t="s">
        <v>161</v>
      </c>
      <c r="I19" s="121" t="s">
        <v>162</v>
      </c>
      <c r="J19" s="104" t="s">
        <v>135</v>
      </c>
      <c r="K19" s="122">
        <v>41130</v>
      </c>
      <c r="L19" s="82">
        <v>10</v>
      </c>
      <c r="M19" s="82">
        <v>40</v>
      </c>
      <c r="N19" s="82" t="s">
        <v>122</v>
      </c>
      <c r="O19" s="121" t="s">
        <v>163</v>
      </c>
      <c r="P19" s="123" t="s">
        <v>164</v>
      </c>
      <c r="Q19" s="104"/>
      <c r="R19" s="79" t="s">
        <v>125</v>
      </c>
      <c r="S19" s="84">
        <f>165348/12</f>
        <v>13779</v>
      </c>
      <c r="T19" s="105"/>
      <c r="U19" s="86">
        <f t="shared" si="0"/>
        <v>13779</v>
      </c>
      <c r="V19" s="105"/>
      <c r="W19" s="87">
        <v>2317</v>
      </c>
      <c r="X19" s="87">
        <v>23173</v>
      </c>
      <c r="Y19" s="88">
        <v>6952</v>
      </c>
      <c r="Z19" s="89">
        <f>29198.4/12</f>
        <v>2433.2000000000003</v>
      </c>
      <c r="AA19" s="89">
        <f>5005.44/12</f>
        <v>417.11999999999995</v>
      </c>
      <c r="AB19" s="89">
        <v>800</v>
      </c>
      <c r="AC19" s="124">
        <v>278.08</v>
      </c>
      <c r="AD19" s="91">
        <v>1026</v>
      </c>
      <c r="AE19" s="89">
        <v>666</v>
      </c>
      <c r="AF19" s="91">
        <v>7647</v>
      </c>
      <c r="AG19" s="104"/>
      <c r="AH19" s="104"/>
      <c r="AI19" s="104"/>
      <c r="AJ19" s="104"/>
      <c r="AK19" s="93">
        <f t="shared" si="2"/>
        <v>272881.80000000005</v>
      </c>
      <c r="AL19" s="10"/>
      <c r="AM19" s="10"/>
    </row>
    <row r="20" spans="1:39" ht="24" customHeight="1">
      <c r="A20" s="102">
        <v>15</v>
      </c>
      <c r="B20" s="76">
        <v>11</v>
      </c>
      <c r="C20" s="76">
        <v>16</v>
      </c>
      <c r="D20" s="102"/>
      <c r="E20" s="102">
        <v>2</v>
      </c>
      <c r="F20" s="77">
        <v>454</v>
      </c>
      <c r="G20" s="77" t="s">
        <v>120</v>
      </c>
      <c r="H20" s="103" t="s">
        <v>165</v>
      </c>
      <c r="I20" s="78" t="s">
        <v>166</v>
      </c>
      <c r="J20" s="104" t="s">
        <v>121</v>
      </c>
      <c r="K20" s="80">
        <v>38002</v>
      </c>
      <c r="L20" s="81">
        <v>14</v>
      </c>
      <c r="M20" s="81">
        <v>40</v>
      </c>
      <c r="N20" s="82" t="s">
        <v>122</v>
      </c>
      <c r="O20" s="78" t="s">
        <v>167</v>
      </c>
      <c r="P20" s="83" t="s">
        <v>164</v>
      </c>
      <c r="Q20" s="104"/>
      <c r="R20" s="79" t="s">
        <v>125</v>
      </c>
      <c r="S20" s="84">
        <f>S16</f>
        <v>14244</v>
      </c>
      <c r="T20" s="105"/>
      <c r="U20" s="86">
        <f t="shared" si="0"/>
        <v>14244</v>
      </c>
      <c r="V20" s="105"/>
      <c r="W20" s="87">
        <f t="shared" ref="W20:AC20" si="7">W16</f>
        <v>2391</v>
      </c>
      <c r="X20" s="87">
        <f t="shared" si="7"/>
        <v>23907</v>
      </c>
      <c r="Y20" s="88">
        <f t="shared" si="7"/>
        <v>7172</v>
      </c>
      <c r="Z20" s="89">
        <f t="shared" si="7"/>
        <v>2510.2000000000003</v>
      </c>
      <c r="AA20" s="89">
        <f t="shared" si="7"/>
        <v>430.32</v>
      </c>
      <c r="AB20" s="89">
        <f t="shared" si="7"/>
        <v>850</v>
      </c>
      <c r="AC20" s="106">
        <f t="shared" si="7"/>
        <v>286.88</v>
      </c>
      <c r="AD20" s="89">
        <f>+AD16</f>
        <v>1122</v>
      </c>
      <c r="AE20" s="89">
        <f>AE16</f>
        <v>682</v>
      </c>
      <c r="AF20" s="91">
        <f>AF16</f>
        <v>7591</v>
      </c>
      <c r="AG20" s="104"/>
      <c r="AH20" s="104"/>
      <c r="AI20" s="104"/>
      <c r="AJ20" s="104"/>
      <c r="AK20" s="93">
        <f t="shared" si="2"/>
        <v>282565.80000000005</v>
      </c>
      <c r="AL20" s="10"/>
      <c r="AM20" s="10"/>
    </row>
    <row r="21" spans="1:39" ht="24" customHeight="1">
      <c r="A21" s="102">
        <v>16</v>
      </c>
      <c r="B21" s="76">
        <v>11</v>
      </c>
      <c r="C21" s="76">
        <v>16</v>
      </c>
      <c r="D21" s="102"/>
      <c r="E21" s="102">
        <v>2</v>
      </c>
      <c r="F21" s="77">
        <v>454</v>
      </c>
      <c r="G21" s="77" t="s">
        <v>120</v>
      </c>
      <c r="H21" s="24" t="s">
        <v>168</v>
      </c>
      <c r="I21" s="78" t="s">
        <v>169</v>
      </c>
      <c r="J21" s="104" t="s">
        <v>135</v>
      </c>
      <c r="K21" s="80">
        <v>41760</v>
      </c>
      <c r="L21" s="81">
        <v>30</v>
      </c>
      <c r="M21" s="81">
        <v>40</v>
      </c>
      <c r="N21" s="110" t="s">
        <v>136</v>
      </c>
      <c r="O21" s="78" t="s">
        <v>170</v>
      </c>
      <c r="P21" s="83" t="s">
        <v>157</v>
      </c>
      <c r="Q21" s="104"/>
      <c r="R21" s="79" t="s">
        <v>125</v>
      </c>
      <c r="S21" s="84">
        <f>815712/12</f>
        <v>67976</v>
      </c>
      <c r="T21" s="105"/>
      <c r="U21" s="86">
        <f t="shared" si="0"/>
        <v>67976</v>
      </c>
      <c r="V21" s="105"/>
      <c r="W21" s="87">
        <f>[1]Hoja1!D152</f>
        <v>11337.666666666666</v>
      </c>
      <c r="X21" s="87">
        <f>+[1]Hoja1!C152</f>
        <v>113376.66666666667</v>
      </c>
      <c r="Y21" s="88">
        <v>0</v>
      </c>
      <c r="Z21" s="89">
        <f>142854.6/12</f>
        <v>11904.550000000001</v>
      </c>
      <c r="AA21" s="89">
        <f>24489.36/12</f>
        <v>2040.78</v>
      </c>
      <c r="AB21" s="89">
        <v>1800</v>
      </c>
      <c r="AC21" s="106">
        <v>1116.6666666666667</v>
      </c>
      <c r="AD21" s="89">
        <f>35016/12</f>
        <v>2918</v>
      </c>
      <c r="AE21" s="89">
        <v>2038</v>
      </c>
      <c r="AF21" s="91">
        <v>38979</v>
      </c>
      <c r="AG21" s="104"/>
      <c r="AH21" s="104"/>
      <c r="AI21" s="104"/>
      <c r="AJ21" s="104"/>
      <c r="AK21" s="93">
        <f t="shared" si="2"/>
        <v>1241221.2933333332</v>
      </c>
      <c r="AL21" s="10"/>
      <c r="AM21" s="10"/>
    </row>
    <row r="22" spans="1:39" ht="24" customHeight="1">
      <c r="A22" s="102">
        <v>17</v>
      </c>
      <c r="B22" s="76">
        <v>11</v>
      </c>
      <c r="C22" s="76">
        <v>16</v>
      </c>
      <c r="D22" s="102"/>
      <c r="E22" s="102">
        <v>2</v>
      </c>
      <c r="F22" s="77">
        <v>454</v>
      </c>
      <c r="G22" s="77" t="s">
        <v>120</v>
      </c>
      <c r="H22" s="103" t="s">
        <v>171</v>
      </c>
      <c r="I22" s="78" t="s">
        <v>172</v>
      </c>
      <c r="J22" s="104" t="s">
        <v>135</v>
      </c>
      <c r="K22" s="80">
        <v>41670</v>
      </c>
      <c r="L22" s="81">
        <v>22</v>
      </c>
      <c r="M22" s="81">
        <v>40</v>
      </c>
      <c r="N22" s="110" t="s">
        <v>136</v>
      </c>
      <c r="O22" s="78" t="s">
        <v>173</v>
      </c>
      <c r="P22" s="83" t="s">
        <v>174</v>
      </c>
      <c r="Q22" s="104"/>
      <c r="R22" s="79" t="s">
        <v>125</v>
      </c>
      <c r="S22" s="84">
        <f>S12</f>
        <v>33762.6</v>
      </c>
      <c r="T22" s="105"/>
      <c r="U22" s="86">
        <f t="shared" si="0"/>
        <v>33762.6</v>
      </c>
      <c r="V22" s="105"/>
      <c r="W22" s="87">
        <f>W11</f>
        <v>5635.4333333333325</v>
      </c>
      <c r="X22" s="87">
        <f>X11</f>
        <v>56354.333333333336</v>
      </c>
      <c r="Y22" s="88">
        <f>Y15</f>
        <v>16906.3</v>
      </c>
      <c r="Z22" s="89">
        <f>Z15</f>
        <v>5917.2050000000008</v>
      </c>
      <c r="AA22" s="89">
        <f>AA14</f>
        <v>1014.3783333333334</v>
      </c>
      <c r="AB22" s="89">
        <f>AB11</f>
        <v>1400</v>
      </c>
      <c r="AC22" s="106">
        <f>AC15</f>
        <v>676.25166666666667</v>
      </c>
      <c r="AD22" s="89">
        <f>AD14</f>
        <v>1680</v>
      </c>
      <c r="AE22" s="89">
        <f>AE14</f>
        <v>1190</v>
      </c>
      <c r="AF22" s="91">
        <f>AF15</f>
        <v>18784</v>
      </c>
      <c r="AG22" s="104"/>
      <c r="AH22" s="104"/>
      <c r="AI22" s="104"/>
      <c r="AJ22" s="104"/>
      <c r="AK22" s="93">
        <f t="shared" si="2"/>
        <v>645365.28666666662</v>
      </c>
      <c r="AL22" s="10"/>
      <c r="AM22" s="10"/>
    </row>
    <row r="23" spans="1:39" ht="24" customHeight="1">
      <c r="A23" s="125"/>
      <c r="B23" s="126"/>
      <c r="C23" s="126"/>
      <c r="D23" s="125"/>
      <c r="E23" s="125"/>
      <c r="F23" s="127"/>
      <c r="G23" s="127"/>
      <c r="H23" s="113" t="s">
        <v>250</v>
      </c>
      <c r="I23" s="128"/>
      <c r="J23" s="129"/>
      <c r="K23" s="130"/>
      <c r="L23" s="131"/>
      <c r="M23" s="131"/>
      <c r="N23" s="132"/>
      <c r="O23" s="128"/>
      <c r="P23" s="133"/>
      <c r="Q23" s="129"/>
      <c r="R23" s="134"/>
      <c r="S23" s="135">
        <v>-1111483.72</v>
      </c>
      <c r="T23" s="136"/>
      <c r="U23" s="86">
        <f t="shared" si="0"/>
        <v>-1111483.72</v>
      </c>
      <c r="V23" s="136"/>
      <c r="W23" s="137"/>
      <c r="X23" s="138"/>
      <c r="Y23" s="139"/>
      <c r="Z23" s="140"/>
      <c r="AA23" s="140"/>
      <c r="AB23" s="140"/>
      <c r="AC23" s="141"/>
      <c r="AD23" s="140"/>
      <c r="AE23" s="140"/>
      <c r="AF23" s="142"/>
      <c r="AG23" s="129"/>
      <c r="AH23" s="129"/>
      <c r="AI23" s="129"/>
      <c r="AJ23" s="129"/>
      <c r="AK23" s="93">
        <f>U23</f>
        <v>-1111483.72</v>
      </c>
      <c r="AL23" s="10"/>
      <c r="AM23" s="10"/>
    </row>
    <row r="24" spans="1:39" s="104" customFormat="1" ht="24" customHeight="1">
      <c r="A24" s="102"/>
      <c r="B24" s="98"/>
      <c r="C24" s="98"/>
      <c r="D24" s="102"/>
      <c r="E24" s="102"/>
      <c r="F24" s="99"/>
      <c r="G24" s="99"/>
      <c r="H24" s="103"/>
      <c r="I24" s="78"/>
      <c r="K24" s="80"/>
      <c r="L24" s="81"/>
      <c r="M24" s="81"/>
      <c r="N24" s="110"/>
      <c r="O24" s="78"/>
      <c r="P24" s="83"/>
      <c r="R24" s="100"/>
      <c r="S24" s="86"/>
      <c r="T24" s="105"/>
      <c r="U24" s="86"/>
      <c r="V24" s="105"/>
      <c r="W24" s="143"/>
      <c r="X24" s="143"/>
      <c r="Y24" s="144"/>
      <c r="Z24" s="124"/>
      <c r="AA24" s="124"/>
      <c r="AB24" s="124"/>
      <c r="AC24" s="106"/>
      <c r="AD24" s="124"/>
      <c r="AE24" s="124"/>
      <c r="AF24" s="145"/>
      <c r="AK24" s="93">
        <f>SUM(AK6:AK23)</f>
        <v>8400947</v>
      </c>
    </row>
    <row r="25" spans="1:39" ht="12" customHeight="1">
      <c r="A25" s="146"/>
      <c r="B25" s="146"/>
      <c r="C25" s="146"/>
      <c r="D25" s="146"/>
      <c r="E25" s="146"/>
      <c r="F25" s="147"/>
      <c r="G25" s="147"/>
      <c r="H25" s="10"/>
      <c r="I25" s="10"/>
      <c r="J25" s="10"/>
      <c r="K25" s="146"/>
      <c r="L25" s="146"/>
      <c r="M25" s="146"/>
      <c r="N25" s="146"/>
      <c r="O25" s="10"/>
      <c r="P25" s="10"/>
      <c r="Q25" s="10"/>
      <c r="R25" s="146"/>
      <c r="S25" s="146"/>
      <c r="T25" s="148"/>
      <c r="U25" s="148"/>
      <c r="V25" s="148"/>
      <c r="W25" s="148"/>
      <c r="X25" s="148"/>
      <c r="Y25" s="148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24" customHeight="1">
      <c r="A26" s="179" t="s">
        <v>175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48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15.6" customHeight="1">
      <c r="A27" s="149">
        <v>17</v>
      </c>
      <c r="B27" s="150"/>
      <c r="C27" s="151" t="s">
        <v>176</v>
      </c>
      <c r="D27" s="150"/>
      <c r="E27" s="150"/>
    </row>
    <row r="28" spans="1:39" ht="24" customHeight="1">
      <c r="A28" s="42"/>
      <c r="B28" s="42"/>
      <c r="C28" s="152" t="s">
        <v>177</v>
      </c>
      <c r="D28" s="47"/>
      <c r="E28" s="46"/>
      <c r="F28" s="44"/>
      <c r="G28" s="44"/>
      <c r="H28" s="47"/>
      <c r="I28" s="47"/>
      <c r="J28" s="47"/>
      <c r="K28" s="46"/>
      <c r="L28" s="46"/>
      <c r="M28" s="46"/>
      <c r="N28" s="46"/>
      <c r="P28" s="7"/>
      <c r="Q28" s="7"/>
      <c r="R28" s="150"/>
    </row>
    <row r="29" spans="1:39" ht="24" customHeight="1">
      <c r="A29" s="42"/>
      <c r="B29" s="42"/>
      <c r="C29" s="153" t="s">
        <v>178</v>
      </c>
      <c r="D29" s="154"/>
      <c r="E29" s="146"/>
      <c r="F29" s="147"/>
      <c r="G29" s="147"/>
      <c r="H29" s="10"/>
      <c r="I29" s="10"/>
      <c r="J29" s="10"/>
      <c r="K29" s="146"/>
      <c r="L29" s="146"/>
      <c r="M29" s="146"/>
      <c r="N29" s="146"/>
      <c r="P29" s="7"/>
      <c r="Q29" s="7"/>
      <c r="R29" s="155" t="s">
        <v>179</v>
      </c>
    </row>
    <row r="30" spans="1:39" ht="19.5" customHeight="1">
      <c r="A30" s="42"/>
      <c r="B30" s="42"/>
      <c r="C30" s="156" t="s">
        <v>88</v>
      </c>
      <c r="D30" s="156"/>
      <c r="E30" s="156"/>
      <c r="F30" s="157"/>
      <c r="G30" s="157"/>
      <c r="H30" s="156" t="s">
        <v>180</v>
      </c>
      <c r="P30" s="150"/>
      <c r="Q30" s="150"/>
      <c r="R30" s="158" t="s">
        <v>181</v>
      </c>
    </row>
    <row r="31" spans="1:39" ht="17.25" customHeight="1">
      <c r="A31" s="42"/>
      <c r="B31" s="42"/>
      <c r="C31" s="156" t="s">
        <v>182</v>
      </c>
      <c r="D31" s="156"/>
      <c r="E31" s="156"/>
      <c r="F31" s="157"/>
      <c r="G31" s="157"/>
      <c r="H31" s="156" t="s">
        <v>183</v>
      </c>
      <c r="P31" s="150"/>
      <c r="Q31" s="150"/>
      <c r="R31" s="159" t="s">
        <v>184</v>
      </c>
    </row>
    <row r="32" spans="1:39" ht="17.25" customHeight="1">
      <c r="A32" s="42"/>
      <c r="B32" s="42"/>
      <c r="C32" s="156" t="s">
        <v>90</v>
      </c>
      <c r="D32" s="156"/>
      <c r="E32" s="156"/>
      <c r="F32" s="157"/>
      <c r="G32" s="157"/>
      <c r="H32" s="156" t="s">
        <v>185</v>
      </c>
      <c r="P32" s="150"/>
      <c r="Q32" s="150"/>
      <c r="R32" s="159" t="s">
        <v>186</v>
      </c>
    </row>
    <row r="33" spans="1:22" ht="18.75" customHeight="1">
      <c r="A33" s="42"/>
      <c r="B33" s="42"/>
      <c r="C33" s="156" t="s">
        <v>91</v>
      </c>
      <c r="D33" s="156"/>
      <c r="E33" s="156"/>
      <c r="F33" s="157"/>
      <c r="G33" s="157"/>
      <c r="H33" s="156" t="s">
        <v>187</v>
      </c>
      <c r="P33" s="150"/>
      <c r="Q33" s="150"/>
    </row>
    <row r="34" spans="1:22" ht="16.5" customHeight="1">
      <c r="C34" s="156" t="s">
        <v>92</v>
      </c>
      <c r="D34" s="156"/>
      <c r="E34" s="156"/>
      <c r="F34" s="157"/>
      <c r="G34" s="157"/>
      <c r="H34" s="156" t="s">
        <v>188</v>
      </c>
      <c r="R34" s="159" t="s">
        <v>189</v>
      </c>
    </row>
    <row r="35" spans="1:22" ht="16.5" customHeight="1">
      <c r="C35" s="160" t="s">
        <v>190</v>
      </c>
      <c r="D35" s="156"/>
      <c r="E35" s="156"/>
      <c r="F35" s="157"/>
      <c r="G35" s="157"/>
      <c r="H35" s="156" t="s">
        <v>191</v>
      </c>
      <c r="R35" s="159"/>
    </row>
    <row r="36" spans="1:22" ht="16.5" customHeight="1">
      <c r="C36" s="156" t="s">
        <v>94</v>
      </c>
      <c r="D36" s="156"/>
      <c r="E36" s="156"/>
      <c r="F36" s="157"/>
      <c r="G36" s="157"/>
      <c r="H36" s="156" t="s">
        <v>192</v>
      </c>
      <c r="R36" s="151" t="s">
        <v>193</v>
      </c>
      <c r="S36" s="150"/>
      <c r="T36" s="161"/>
      <c r="U36" s="161"/>
    </row>
    <row r="37" spans="1:22" ht="17.25" customHeight="1">
      <c r="A37" s="156"/>
      <c r="B37" s="156"/>
      <c r="C37" s="156" t="s">
        <v>95</v>
      </c>
      <c r="D37" s="156"/>
      <c r="E37" s="156"/>
      <c r="F37" s="157"/>
      <c r="G37" s="157"/>
      <c r="H37" s="156" t="s">
        <v>194</v>
      </c>
      <c r="I37" s="156"/>
      <c r="J37" s="156"/>
      <c r="K37" s="156"/>
      <c r="R37" s="162" t="s">
        <v>195</v>
      </c>
      <c r="T37" s="163" t="s">
        <v>196</v>
      </c>
      <c r="V37" s="164" t="s">
        <v>197</v>
      </c>
    </row>
    <row r="38" spans="1:22" ht="17.25" customHeight="1">
      <c r="A38" s="156"/>
      <c r="B38" s="156"/>
      <c r="C38" s="153" t="s">
        <v>96</v>
      </c>
      <c r="D38" s="153"/>
      <c r="E38" s="156"/>
      <c r="F38" s="157"/>
      <c r="G38" s="157"/>
      <c r="H38" s="156" t="s">
        <v>198</v>
      </c>
      <c r="I38" s="156"/>
      <c r="J38" s="156"/>
      <c r="K38" s="156"/>
      <c r="R38" s="162"/>
      <c r="T38" s="163"/>
      <c r="V38" s="164"/>
    </row>
    <row r="39" spans="1:22" ht="12.75" customHeight="1">
      <c r="A39" s="156"/>
      <c r="B39" s="156"/>
      <c r="C39" s="156" t="s">
        <v>97</v>
      </c>
      <c r="D39" s="156"/>
      <c r="E39" s="156"/>
      <c r="F39" s="157"/>
      <c r="G39" s="157"/>
      <c r="H39" s="156" t="s">
        <v>199</v>
      </c>
      <c r="I39" s="156"/>
      <c r="J39" s="156"/>
      <c r="K39" s="156"/>
      <c r="R39" s="162" t="s">
        <v>200</v>
      </c>
      <c r="T39" s="163" t="s">
        <v>201</v>
      </c>
      <c r="U39" s="161"/>
      <c r="V39" s="164" t="s">
        <v>202</v>
      </c>
    </row>
    <row r="40" spans="1:22" ht="18.75" customHeight="1">
      <c r="A40" s="156"/>
      <c r="B40" s="156"/>
      <c r="C40" s="156" t="s">
        <v>98</v>
      </c>
      <c r="D40" s="156"/>
      <c r="E40" s="156"/>
      <c r="F40" s="157"/>
      <c r="G40" s="157"/>
      <c r="H40" s="156" t="s">
        <v>203</v>
      </c>
      <c r="I40" s="156"/>
      <c r="J40" s="156"/>
      <c r="K40" s="156"/>
      <c r="R40" s="150"/>
      <c r="S40" s="150"/>
      <c r="T40" s="161"/>
      <c r="U40" s="161"/>
    </row>
    <row r="41" spans="1:22" ht="15.75" customHeight="1">
      <c r="A41" s="156"/>
      <c r="B41" s="156"/>
      <c r="C41" s="156" t="s">
        <v>204</v>
      </c>
      <c r="D41" s="156"/>
      <c r="E41" s="156"/>
      <c r="F41" s="157"/>
      <c r="G41" s="157"/>
      <c r="H41" s="156" t="s">
        <v>205</v>
      </c>
      <c r="I41" s="156"/>
      <c r="J41" s="156"/>
      <c r="K41" s="156"/>
      <c r="R41" s="150"/>
      <c r="S41" s="150"/>
      <c r="T41" s="161"/>
      <c r="U41" s="161"/>
    </row>
    <row r="42" spans="1:22" ht="16.5" customHeight="1">
      <c r="A42" s="156"/>
      <c r="B42" s="156"/>
      <c r="C42" s="156" t="s">
        <v>206</v>
      </c>
      <c r="D42" s="156"/>
      <c r="E42" s="156"/>
      <c r="F42" s="157"/>
      <c r="G42" s="157"/>
      <c r="H42" s="156" t="s">
        <v>207</v>
      </c>
      <c r="I42" s="156"/>
      <c r="J42" s="156"/>
      <c r="K42" s="156"/>
      <c r="R42" s="150"/>
      <c r="S42" s="150"/>
      <c r="T42" s="161"/>
      <c r="U42" s="161"/>
    </row>
    <row r="43" spans="1:22" ht="24" customHeight="1">
      <c r="A43" s="156"/>
      <c r="B43" s="156"/>
      <c r="C43" s="156" t="s">
        <v>101</v>
      </c>
      <c r="D43" s="156"/>
      <c r="E43" s="156"/>
      <c r="F43" s="157"/>
      <c r="G43" s="157"/>
      <c r="H43" s="156" t="s">
        <v>208</v>
      </c>
      <c r="I43" s="156"/>
      <c r="J43" s="156"/>
      <c r="K43" s="156"/>
    </row>
    <row r="44" spans="1:22" ht="26.45" customHeight="1">
      <c r="A44" s="156"/>
      <c r="B44" s="156"/>
      <c r="C44" s="180" t="s">
        <v>209</v>
      </c>
      <c r="D44" s="180"/>
      <c r="E44" s="180"/>
      <c r="F44" s="180"/>
      <c r="G44" s="180"/>
      <c r="H44" s="156" t="s">
        <v>210</v>
      </c>
      <c r="I44" s="156"/>
      <c r="J44" s="156"/>
      <c r="K44" s="156"/>
    </row>
    <row r="45" spans="1:22" ht="27.6" customHeight="1">
      <c r="A45" s="156"/>
      <c r="B45" s="156"/>
      <c r="C45" s="181" t="s">
        <v>211</v>
      </c>
      <c r="D45" s="181"/>
      <c r="E45" s="181"/>
      <c r="F45" s="181"/>
      <c r="G45" s="181"/>
      <c r="H45" s="156" t="s">
        <v>212</v>
      </c>
      <c r="I45" s="156"/>
      <c r="J45" s="156"/>
      <c r="K45" s="156"/>
    </row>
    <row r="46" spans="1:22" ht="17.25" customHeight="1">
      <c r="A46" s="156"/>
      <c r="B46" s="156"/>
      <c r="C46" s="156" t="s">
        <v>213</v>
      </c>
      <c r="D46" s="156"/>
      <c r="E46" s="156"/>
      <c r="F46" s="157"/>
      <c r="G46" s="157"/>
      <c r="H46" s="156" t="s">
        <v>214</v>
      </c>
      <c r="I46" s="156"/>
      <c r="J46" s="156"/>
      <c r="K46" s="156"/>
    </row>
    <row r="47" spans="1:22" ht="21" customHeight="1">
      <c r="A47" s="156"/>
      <c r="B47" s="156"/>
      <c r="C47" s="156" t="s">
        <v>215</v>
      </c>
      <c r="D47" s="156"/>
      <c r="E47" s="156"/>
      <c r="F47" s="157"/>
      <c r="G47" s="157"/>
      <c r="H47" s="156" t="s">
        <v>216</v>
      </c>
      <c r="I47" s="156"/>
      <c r="J47" s="156"/>
      <c r="K47" s="156"/>
    </row>
    <row r="48" spans="1:22" ht="18.75" customHeight="1">
      <c r="A48" s="156"/>
      <c r="B48" s="156"/>
      <c r="C48" s="156" t="s">
        <v>217</v>
      </c>
      <c r="D48" s="156"/>
      <c r="E48" s="156"/>
      <c r="F48" s="157"/>
      <c r="G48" s="157"/>
      <c r="H48" s="156" t="s">
        <v>218</v>
      </c>
      <c r="I48" s="156"/>
      <c r="J48" s="156"/>
      <c r="K48" s="156"/>
    </row>
    <row r="49" spans="1:11" ht="18.75" customHeight="1">
      <c r="A49" s="156"/>
      <c r="B49" s="156"/>
      <c r="C49" s="156" t="s">
        <v>219</v>
      </c>
      <c r="D49" s="156"/>
      <c r="E49" s="156"/>
      <c r="F49" s="157"/>
      <c r="G49" s="157"/>
      <c r="H49" s="156" t="s">
        <v>220</v>
      </c>
      <c r="I49" s="156"/>
      <c r="J49" s="156"/>
      <c r="K49" s="156"/>
    </row>
    <row r="50" spans="1:11" ht="16.5" customHeight="1">
      <c r="A50" s="156"/>
      <c r="B50" s="156"/>
      <c r="C50" s="156" t="s">
        <v>221</v>
      </c>
      <c r="D50" s="156"/>
      <c r="E50" s="156"/>
      <c r="F50" s="157"/>
      <c r="G50" s="157"/>
      <c r="H50" s="156" t="s">
        <v>222</v>
      </c>
      <c r="I50" s="156"/>
      <c r="J50" s="156"/>
      <c r="K50" s="156"/>
    </row>
    <row r="51" spans="1:11" ht="17.25" customHeight="1">
      <c r="A51" s="156"/>
      <c r="B51" s="156"/>
      <c r="C51" s="156" t="s">
        <v>24</v>
      </c>
      <c r="D51" s="156"/>
      <c r="E51" s="156"/>
      <c r="F51" s="157"/>
      <c r="G51" s="157"/>
      <c r="H51" s="156" t="s">
        <v>223</v>
      </c>
      <c r="I51" s="156"/>
      <c r="J51" s="156"/>
      <c r="K51" s="156"/>
    </row>
    <row r="52" spans="1:11" ht="18.75" customHeight="1">
      <c r="A52" s="156"/>
      <c r="B52" s="156"/>
      <c r="C52" s="156" t="s">
        <v>25</v>
      </c>
      <c r="D52" s="156"/>
      <c r="E52" s="156"/>
      <c r="F52" s="157"/>
      <c r="G52" s="157"/>
      <c r="H52" s="156" t="s">
        <v>224</v>
      </c>
      <c r="I52" s="156"/>
      <c r="J52" s="156"/>
      <c r="K52" s="156"/>
    </row>
    <row r="53" spans="1:11" ht="17.25" customHeight="1">
      <c r="A53" s="156"/>
      <c r="B53" s="156"/>
      <c r="C53" s="156" t="s">
        <v>28</v>
      </c>
      <c r="D53" s="156"/>
      <c r="E53" s="156"/>
      <c r="F53" s="157"/>
      <c r="G53" s="157"/>
      <c r="H53" s="156" t="s">
        <v>225</v>
      </c>
      <c r="I53" s="156"/>
      <c r="J53" s="156"/>
      <c r="K53" s="156"/>
    </row>
    <row r="54" spans="1:11" ht="17.25" customHeight="1">
      <c r="A54" s="156"/>
      <c r="B54" s="156"/>
      <c r="C54" s="156" t="s">
        <v>226</v>
      </c>
      <c r="D54" s="156"/>
      <c r="E54" s="156"/>
      <c r="F54" s="157"/>
      <c r="G54" s="157"/>
      <c r="H54" s="156" t="s">
        <v>227</v>
      </c>
      <c r="I54" s="156"/>
      <c r="J54" s="156"/>
      <c r="K54" s="156"/>
    </row>
    <row r="55" spans="1:11" ht="17.25" customHeight="1">
      <c r="A55" s="156"/>
      <c r="B55" s="156"/>
      <c r="C55" s="156" t="s">
        <v>228</v>
      </c>
      <c r="D55" s="156"/>
      <c r="E55" s="156"/>
      <c r="F55" s="157"/>
      <c r="G55" s="157"/>
      <c r="H55" s="156" t="s">
        <v>229</v>
      </c>
      <c r="I55" s="156"/>
      <c r="J55" s="156"/>
      <c r="K55" s="156"/>
    </row>
    <row r="56" spans="1:11" ht="17.25" customHeight="1">
      <c r="A56" s="156"/>
      <c r="B56" s="156"/>
      <c r="C56" s="156" t="s">
        <v>230</v>
      </c>
      <c r="D56" s="156"/>
      <c r="E56" s="156"/>
      <c r="F56" s="157"/>
      <c r="G56" s="157"/>
      <c r="H56" s="156" t="s">
        <v>231</v>
      </c>
      <c r="I56" s="156"/>
      <c r="J56" s="156"/>
      <c r="K56" s="156"/>
    </row>
    <row r="57" spans="1:11" ht="18.75" customHeight="1">
      <c r="A57" s="156"/>
      <c r="B57" s="156"/>
      <c r="C57" s="156" t="s">
        <v>232</v>
      </c>
      <c r="D57" s="156"/>
      <c r="E57" s="156"/>
      <c r="F57" s="157"/>
      <c r="G57" s="157"/>
      <c r="H57" s="156" t="s">
        <v>233</v>
      </c>
      <c r="I57" s="156"/>
      <c r="J57" s="156"/>
      <c r="K57" s="156"/>
    </row>
    <row r="58" spans="1:11" ht="14.25" customHeight="1">
      <c r="A58" s="156"/>
      <c r="B58" s="156"/>
      <c r="C58" s="156" t="s">
        <v>234</v>
      </c>
      <c r="D58" s="156"/>
      <c r="E58" s="156"/>
      <c r="F58" s="157"/>
      <c r="G58" s="157"/>
      <c r="H58" s="156" t="s">
        <v>233</v>
      </c>
      <c r="I58" s="156"/>
      <c r="J58" s="156"/>
      <c r="K58" s="156"/>
    </row>
    <row r="59" spans="1:11" ht="24" customHeight="1">
      <c r="A59" s="156"/>
      <c r="B59" s="156"/>
      <c r="C59" s="156" t="s">
        <v>30</v>
      </c>
      <c r="D59" s="156"/>
      <c r="E59" s="156"/>
      <c r="F59" s="157"/>
      <c r="G59" s="157"/>
      <c r="H59" s="156" t="s">
        <v>235</v>
      </c>
      <c r="I59" s="156"/>
      <c r="J59" s="156"/>
      <c r="K59" s="156"/>
    </row>
    <row r="60" spans="1:11" ht="24" customHeight="1">
      <c r="A60" s="156"/>
      <c r="B60" s="156"/>
      <c r="C60" s="162" t="s">
        <v>236</v>
      </c>
      <c r="D60" s="42" t="s">
        <v>237</v>
      </c>
      <c r="E60" s="42"/>
      <c r="F60" s="42"/>
      <c r="G60" s="42"/>
      <c r="I60" s="156"/>
      <c r="J60" s="156"/>
      <c r="K60" s="156"/>
    </row>
    <row r="61" spans="1:11" ht="24" customHeight="1">
      <c r="A61" s="156"/>
      <c r="B61" s="156"/>
      <c r="C61" s="42"/>
      <c r="D61" s="42"/>
      <c r="E61" s="42"/>
      <c r="F61" s="42"/>
      <c r="G61" s="42"/>
      <c r="I61" s="156"/>
      <c r="J61" s="156"/>
      <c r="K61" s="156"/>
    </row>
    <row r="62" spans="1:11" ht="24" customHeight="1">
      <c r="A62" s="156"/>
      <c r="B62" s="156"/>
      <c r="C62" s="42"/>
      <c r="D62" s="42"/>
      <c r="E62" s="42"/>
      <c r="F62" s="42"/>
      <c r="G62" s="42"/>
      <c r="I62" s="156"/>
      <c r="J62" s="156"/>
      <c r="K62" s="156"/>
    </row>
    <row r="63" spans="1:11" ht="24" customHeight="1">
      <c r="A63" s="156"/>
      <c r="B63" s="156"/>
      <c r="C63" s="42"/>
      <c r="D63" s="42"/>
      <c r="E63" s="42"/>
      <c r="F63" s="42"/>
      <c r="G63" s="42"/>
      <c r="I63" s="156"/>
      <c r="J63" s="156"/>
      <c r="K63" s="156"/>
    </row>
    <row r="64" spans="1:11" ht="24" customHeight="1">
      <c r="A64" s="156"/>
      <c r="B64" s="156"/>
      <c r="C64" s="42"/>
      <c r="D64" s="42"/>
      <c r="E64" s="42"/>
      <c r="F64" s="42"/>
      <c r="G64" s="42"/>
      <c r="I64" s="156"/>
      <c r="J64" s="156"/>
      <c r="K64" s="156"/>
    </row>
    <row r="65" spans="1:11" ht="24" customHeight="1">
      <c r="A65" s="156"/>
      <c r="B65" s="156"/>
      <c r="C65" s="42"/>
      <c r="D65" s="42"/>
      <c r="E65" s="42"/>
      <c r="F65" s="42"/>
      <c r="G65" s="42"/>
      <c r="I65" s="156"/>
      <c r="J65" s="156"/>
      <c r="K65" s="156"/>
    </row>
    <row r="66" spans="1:11">
      <c r="A66" s="156"/>
      <c r="B66" s="156"/>
      <c r="C66" s="156"/>
      <c r="D66" s="156"/>
      <c r="E66" s="156"/>
      <c r="F66" s="157"/>
      <c r="G66" s="157"/>
      <c r="H66" s="156"/>
      <c r="I66" s="156"/>
      <c r="J66" s="156"/>
      <c r="K66" s="156"/>
    </row>
    <row r="67" spans="1:11">
      <c r="A67" s="156"/>
      <c r="B67" s="156"/>
      <c r="C67" s="156"/>
      <c r="D67" s="156"/>
      <c r="E67" s="156"/>
      <c r="F67" s="157"/>
      <c r="G67" s="157"/>
      <c r="H67" s="156"/>
      <c r="I67" s="156"/>
      <c r="J67" s="156"/>
      <c r="K67" s="156"/>
    </row>
    <row r="68" spans="1:11">
      <c r="A68" s="156"/>
      <c r="B68" s="156"/>
      <c r="C68" s="156"/>
      <c r="D68" s="156"/>
      <c r="E68" s="156"/>
      <c r="F68" s="157"/>
      <c r="G68" s="157"/>
      <c r="H68" s="156"/>
      <c r="I68" s="156"/>
      <c r="J68" s="156"/>
      <c r="K68" s="156"/>
    </row>
    <row r="69" spans="1:11">
      <c r="A69" s="156"/>
      <c r="B69" s="156"/>
      <c r="C69" s="156"/>
      <c r="D69" s="156"/>
      <c r="E69" s="156"/>
      <c r="F69" s="157"/>
      <c r="G69" s="157"/>
      <c r="H69" s="156"/>
      <c r="I69" s="156"/>
      <c r="J69" s="156"/>
      <c r="K69" s="156"/>
    </row>
    <row r="70" spans="1:11">
      <c r="A70" s="156"/>
      <c r="B70" s="156"/>
      <c r="C70" s="156"/>
      <c r="D70" s="156"/>
      <c r="E70" s="156"/>
      <c r="F70" s="157"/>
      <c r="G70" s="157"/>
      <c r="H70" s="156"/>
      <c r="I70" s="156"/>
      <c r="J70" s="156"/>
      <c r="K70" s="156"/>
    </row>
    <row r="71" spans="1:11">
      <c r="A71" s="156"/>
      <c r="B71" s="156"/>
      <c r="C71" s="156"/>
      <c r="D71" s="156"/>
      <c r="E71" s="156"/>
      <c r="F71" s="157"/>
      <c r="G71" s="157"/>
      <c r="H71" s="156"/>
      <c r="I71" s="156"/>
      <c r="J71" s="156"/>
      <c r="K71" s="156"/>
    </row>
    <row r="72" spans="1:11">
      <c r="A72" s="156"/>
      <c r="B72" s="156"/>
      <c r="C72" s="156"/>
      <c r="D72" s="156"/>
      <c r="E72" s="156"/>
      <c r="F72" s="157"/>
      <c r="G72" s="157"/>
      <c r="H72" s="156"/>
      <c r="I72" s="156"/>
      <c r="J72" s="156"/>
      <c r="K72" s="156"/>
    </row>
    <row r="73" spans="1:11">
      <c r="A73" s="156"/>
      <c r="B73" s="156"/>
      <c r="C73" s="156"/>
      <c r="D73" s="156"/>
      <c r="E73" s="156"/>
      <c r="F73" s="157"/>
      <c r="G73" s="157"/>
      <c r="H73" s="156"/>
      <c r="I73" s="156"/>
      <c r="J73" s="156"/>
      <c r="K73" s="156"/>
    </row>
    <row r="74" spans="1:11">
      <c r="A74" s="156"/>
      <c r="B74" s="156"/>
      <c r="C74" s="156"/>
      <c r="D74" s="156"/>
      <c r="E74" s="156"/>
      <c r="F74" s="157"/>
      <c r="G74" s="157"/>
      <c r="H74" s="156"/>
      <c r="I74" s="156"/>
      <c r="J74" s="156"/>
      <c r="K74" s="156"/>
    </row>
    <row r="75" spans="1:11">
      <c r="A75" s="156"/>
      <c r="B75" s="156"/>
      <c r="C75" s="156"/>
      <c r="D75" s="156"/>
      <c r="E75" s="156"/>
      <c r="F75" s="157"/>
      <c r="G75" s="157"/>
      <c r="H75" s="156"/>
      <c r="I75" s="156"/>
      <c r="J75" s="156"/>
      <c r="K75" s="156"/>
    </row>
    <row r="76" spans="1:11">
      <c r="A76" s="156"/>
      <c r="B76" s="156"/>
      <c r="C76" s="156"/>
      <c r="D76" s="156"/>
      <c r="E76" s="156"/>
      <c r="F76" s="157"/>
      <c r="G76" s="157"/>
      <c r="H76" s="156"/>
      <c r="I76" s="156"/>
      <c r="J76" s="156"/>
      <c r="K76" s="156"/>
    </row>
    <row r="77" spans="1:11">
      <c r="A77" s="156"/>
      <c r="B77" s="156"/>
      <c r="C77" s="156"/>
      <c r="D77" s="156"/>
      <c r="E77" s="156"/>
      <c r="F77" s="157"/>
      <c r="G77" s="157"/>
      <c r="H77" s="156"/>
      <c r="I77" s="156"/>
      <c r="J77" s="156"/>
      <c r="K77" s="156"/>
    </row>
    <row r="78" spans="1:11">
      <c r="A78" s="156"/>
      <c r="B78" s="156"/>
      <c r="C78" s="156"/>
      <c r="D78" s="156"/>
      <c r="E78" s="156"/>
      <c r="F78" s="157"/>
      <c r="G78" s="157"/>
      <c r="H78" s="156"/>
      <c r="I78" s="156"/>
      <c r="J78" s="156"/>
      <c r="K78" s="156"/>
    </row>
    <row r="79" spans="1:11">
      <c r="A79" s="156"/>
      <c r="B79" s="156"/>
      <c r="C79" s="156"/>
      <c r="D79" s="156"/>
      <c r="E79" s="156"/>
      <c r="F79" s="157"/>
      <c r="G79" s="157"/>
      <c r="H79" s="156"/>
      <c r="I79" s="156"/>
      <c r="J79" s="156"/>
      <c r="K79" s="156"/>
    </row>
    <row r="80" spans="1:11">
      <c r="A80" s="156"/>
      <c r="B80" s="156"/>
      <c r="C80" s="156"/>
      <c r="D80" s="156"/>
      <c r="E80" s="156"/>
      <c r="F80" s="157"/>
      <c r="G80" s="157"/>
      <c r="H80" s="156"/>
      <c r="I80" s="156"/>
      <c r="J80" s="156"/>
      <c r="K80" s="156"/>
    </row>
    <row r="81" spans="1:11">
      <c r="A81" s="156"/>
      <c r="B81" s="156"/>
      <c r="C81" s="156"/>
      <c r="D81" s="156"/>
      <c r="E81" s="156"/>
      <c r="F81" s="157"/>
      <c r="G81" s="157"/>
      <c r="H81" s="156"/>
      <c r="I81" s="156"/>
      <c r="J81" s="156"/>
      <c r="K81" s="156"/>
    </row>
    <row r="82" spans="1:11">
      <c r="A82" s="156"/>
      <c r="B82" s="156"/>
      <c r="C82" s="156"/>
      <c r="D82" s="156"/>
      <c r="E82" s="156"/>
      <c r="F82" s="157"/>
      <c r="G82" s="157"/>
      <c r="H82" s="156"/>
      <c r="I82" s="156"/>
      <c r="J82" s="156"/>
      <c r="K82" s="156"/>
    </row>
    <row r="83" spans="1:11">
      <c r="A83" s="156"/>
      <c r="B83" s="156"/>
      <c r="C83" s="156"/>
      <c r="D83" s="156"/>
      <c r="E83" s="156"/>
      <c r="F83" s="157"/>
      <c r="G83" s="157"/>
      <c r="H83" s="156"/>
      <c r="I83" s="156"/>
      <c r="J83" s="156"/>
      <c r="K83" s="156"/>
    </row>
    <row r="84" spans="1:11">
      <c r="A84" s="156"/>
      <c r="B84" s="156"/>
      <c r="C84" s="156"/>
      <c r="D84" s="156"/>
      <c r="E84" s="156"/>
      <c r="F84" s="157"/>
      <c r="G84" s="157"/>
      <c r="H84" s="156"/>
      <c r="I84" s="156"/>
      <c r="J84" s="156"/>
      <c r="K84" s="156"/>
    </row>
    <row r="85" spans="1:11">
      <c r="A85" s="156"/>
      <c r="B85" s="156"/>
      <c r="C85" s="156"/>
      <c r="D85" s="156"/>
      <c r="E85" s="156"/>
      <c r="F85" s="157"/>
      <c r="G85" s="157"/>
      <c r="H85" s="156"/>
      <c r="I85" s="156"/>
      <c r="J85" s="156"/>
      <c r="K85" s="156"/>
    </row>
    <row r="86" spans="1:11">
      <c r="A86" s="156"/>
      <c r="B86" s="156"/>
      <c r="C86" s="156"/>
      <c r="D86" s="156"/>
      <c r="E86" s="156"/>
      <c r="F86" s="157"/>
      <c r="G86" s="157"/>
      <c r="H86" s="156"/>
      <c r="I86" s="156"/>
      <c r="J86" s="156"/>
      <c r="K86" s="156"/>
    </row>
    <row r="87" spans="1:11">
      <c r="A87" s="156"/>
      <c r="B87" s="156"/>
      <c r="C87" s="156"/>
      <c r="D87" s="156"/>
      <c r="E87" s="156"/>
      <c r="F87" s="157"/>
      <c r="G87" s="157"/>
      <c r="H87" s="156"/>
      <c r="I87" s="156"/>
      <c r="J87" s="156"/>
      <c r="K87" s="156"/>
    </row>
    <row r="88" spans="1:11">
      <c r="A88" s="156"/>
      <c r="B88" s="156"/>
      <c r="C88" s="156"/>
      <c r="D88" s="156"/>
      <c r="E88" s="156"/>
      <c r="F88" s="157"/>
      <c r="G88" s="157"/>
      <c r="H88" s="156"/>
      <c r="I88" s="156"/>
      <c r="J88" s="156"/>
      <c r="K88" s="156"/>
    </row>
    <row r="89" spans="1:11">
      <c r="A89" s="156"/>
      <c r="B89" s="156"/>
      <c r="C89" s="156"/>
      <c r="D89" s="156"/>
      <c r="E89" s="156"/>
      <c r="F89" s="157"/>
      <c r="G89" s="157"/>
      <c r="H89" s="156"/>
      <c r="I89" s="156"/>
      <c r="J89" s="156"/>
      <c r="K89" s="156"/>
    </row>
    <row r="90" spans="1:11">
      <c r="A90" s="156"/>
      <c r="B90" s="156"/>
      <c r="C90" s="156"/>
      <c r="D90" s="156"/>
      <c r="E90" s="156"/>
      <c r="F90" s="157"/>
      <c r="G90" s="157"/>
      <c r="H90" s="156"/>
      <c r="I90" s="156"/>
      <c r="J90" s="156"/>
      <c r="K90" s="156"/>
    </row>
    <row r="91" spans="1:11">
      <c r="A91" s="156"/>
      <c r="B91" s="156"/>
      <c r="C91" s="156"/>
      <c r="D91" s="156"/>
      <c r="E91" s="156"/>
      <c r="F91" s="157"/>
      <c r="G91" s="157"/>
      <c r="H91" s="156"/>
      <c r="I91" s="156"/>
      <c r="J91" s="156"/>
      <c r="K91" s="156"/>
    </row>
    <row r="92" spans="1:11">
      <c r="A92" s="156"/>
      <c r="B92" s="156"/>
      <c r="C92" s="156"/>
      <c r="D92" s="156"/>
      <c r="E92" s="156"/>
      <c r="F92" s="157"/>
      <c r="G92" s="157"/>
      <c r="H92" s="156"/>
      <c r="I92" s="156"/>
      <c r="J92" s="156"/>
      <c r="K92" s="156"/>
    </row>
    <row r="93" spans="1:11">
      <c r="A93" s="156"/>
      <c r="B93" s="156"/>
      <c r="C93" s="156"/>
      <c r="D93" s="156"/>
      <c r="E93" s="156"/>
      <c r="F93" s="157"/>
      <c r="G93" s="157"/>
      <c r="H93" s="156"/>
      <c r="I93" s="156"/>
      <c r="J93" s="156"/>
      <c r="K93" s="156"/>
    </row>
    <row r="94" spans="1:11">
      <c r="A94" s="156"/>
      <c r="B94" s="156"/>
      <c r="C94" s="156"/>
      <c r="D94" s="156"/>
      <c r="E94" s="156"/>
      <c r="F94" s="157"/>
      <c r="G94" s="157"/>
      <c r="H94" s="156"/>
      <c r="I94" s="156"/>
      <c r="J94" s="156"/>
      <c r="K94" s="156"/>
    </row>
    <row r="95" spans="1:11">
      <c r="A95" s="156"/>
      <c r="B95" s="156"/>
      <c r="C95" s="156"/>
      <c r="D95" s="156"/>
      <c r="E95" s="156"/>
      <c r="F95" s="157"/>
      <c r="G95" s="157"/>
      <c r="H95" s="156"/>
      <c r="I95" s="156"/>
      <c r="J95" s="156"/>
      <c r="K95" s="156"/>
    </row>
    <row r="96" spans="1:11">
      <c r="A96" s="156"/>
      <c r="B96" s="156"/>
      <c r="C96" s="156"/>
      <c r="D96" s="156"/>
      <c r="E96" s="156"/>
      <c r="F96" s="157"/>
      <c r="G96" s="157"/>
      <c r="H96" s="156"/>
      <c r="I96" s="156"/>
      <c r="J96" s="156"/>
      <c r="K96" s="156"/>
    </row>
    <row r="97" spans="1:11">
      <c r="A97" s="156"/>
      <c r="B97" s="156"/>
      <c r="C97" s="156"/>
      <c r="D97" s="156"/>
      <c r="E97" s="156"/>
      <c r="F97" s="157"/>
      <c r="G97" s="157"/>
      <c r="H97" s="156"/>
      <c r="I97" s="156"/>
      <c r="J97" s="156"/>
      <c r="K97" s="156"/>
    </row>
    <row r="98" spans="1:11">
      <c r="A98" s="156"/>
      <c r="B98" s="156"/>
      <c r="C98" s="156"/>
      <c r="D98" s="156"/>
      <c r="E98" s="156"/>
      <c r="F98" s="157"/>
      <c r="G98" s="157"/>
      <c r="H98" s="156"/>
      <c r="I98" s="156"/>
      <c r="J98" s="156"/>
      <c r="K98" s="156"/>
    </row>
    <row r="99" spans="1:11">
      <c r="A99" s="156"/>
      <c r="B99" s="156"/>
      <c r="C99" s="156"/>
      <c r="D99" s="156"/>
      <c r="E99" s="156"/>
      <c r="F99" s="157"/>
      <c r="G99" s="157"/>
      <c r="H99" s="156"/>
      <c r="I99" s="156"/>
      <c r="J99" s="156"/>
      <c r="K99" s="156"/>
    </row>
    <row r="100" spans="1:11">
      <c r="A100" s="156"/>
      <c r="B100" s="156"/>
      <c r="C100" s="156"/>
      <c r="D100" s="156"/>
      <c r="E100" s="156"/>
      <c r="F100" s="157"/>
      <c r="G100" s="157"/>
      <c r="H100" s="156"/>
      <c r="I100" s="156"/>
      <c r="J100" s="156"/>
      <c r="K100" s="156"/>
    </row>
    <row r="101" spans="1:11">
      <c r="A101" s="156"/>
      <c r="B101" s="156"/>
      <c r="C101" s="156"/>
      <c r="D101" s="156"/>
      <c r="E101" s="156"/>
      <c r="F101" s="157"/>
      <c r="G101" s="157"/>
      <c r="H101" s="156"/>
      <c r="I101" s="156"/>
      <c r="J101" s="156"/>
      <c r="K101" s="156"/>
    </row>
    <row r="102" spans="1:11">
      <c r="A102" s="156"/>
      <c r="B102" s="156"/>
      <c r="C102" s="156"/>
      <c r="D102" s="156"/>
      <c r="E102" s="156"/>
      <c r="F102" s="157"/>
      <c r="G102" s="157"/>
      <c r="H102" s="156"/>
      <c r="I102" s="156"/>
      <c r="J102" s="156"/>
      <c r="K102" s="156"/>
    </row>
    <row r="103" spans="1:11">
      <c r="A103" s="156"/>
      <c r="B103" s="156"/>
      <c r="C103" s="156"/>
      <c r="D103" s="156"/>
      <c r="E103" s="156"/>
      <c r="F103" s="157"/>
      <c r="G103" s="157"/>
      <c r="H103" s="156"/>
      <c r="I103" s="156"/>
      <c r="J103" s="156"/>
      <c r="K103" s="156"/>
    </row>
    <row r="104" spans="1:11">
      <c r="A104" s="156"/>
      <c r="B104" s="156"/>
      <c r="C104" s="156"/>
      <c r="D104" s="156"/>
      <c r="E104" s="156"/>
      <c r="F104" s="157"/>
      <c r="G104" s="157"/>
      <c r="H104" s="156"/>
      <c r="I104" s="156"/>
      <c r="J104" s="156"/>
      <c r="K104" s="156"/>
    </row>
    <row r="105" spans="1:11">
      <c r="A105" s="156"/>
      <c r="B105" s="156"/>
      <c r="C105" s="156"/>
      <c r="D105" s="156"/>
      <c r="E105" s="156"/>
      <c r="F105" s="157"/>
      <c r="G105" s="157"/>
      <c r="H105" s="156"/>
      <c r="I105" s="156"/>
      <c r="J105" s="156"/>
      <c r="K105" s="156"/>
    </row>
    <row r="106" spans="1:11">
      <c r="A106" s="156"/>
      <c r="B106" s="156"/>
      <c r="C106" s="156"/>
      <c r="D106" s="156"/>
      <c r="E106" s="156"/>
      <c r="F106" s="157"/>
      <c r="G106" s="157"/>
      <c r="H106" s="156"/>
      <c r="I106" s="156"/>
      <c r="J106" s="156"/>
      <c r="K106" s="156"/>
    </row>
    <row r="107" spans="1:11">
      <c r="A107" s="156"/>
      <c r="B107" s="156"/>
      <c r="C107" s="156"/>
      <c r="D107" s="156"/>
      <c r="E107" s="156"/>
      <c r="F107" s="157"/>
      <c r="G107" s="157"/>
      <c r="H107" s="156"/>
      <c r="I107" s="156"/>
      <c r="J107" s="156"/>
      <c r="K107" s="156"/>
    </row>
    <row r="108" spans="1:11">
      <c r="A108" s="156"/>
      <c r="B108" s="156"/>
      <c r="C108" s="156"/>
      <c r="D108" s="156"/>
      <c r="E108" s="156"/>
      <c r="F108" s="157"/>
      <c r="G108" s="157"/>
      <c r="H108" s="156"/>
      <c r="I108" s="156"/>
      <c r="J108" s="156"/>
      <c r="K108" s="156"/>
    </row>
    <row r="109" spans="1:11">
      <c r="A109" s="156"/>
      <c r="B109" s="156"/>
      <c r="C109" s="156"/>
      <c r="D109" s="156"/>
      <c r="E109" s="156"/>
      <c r="F109" s="157"/>
      <c r="G109" s="157"/>
      <c r="H109" s="156"/>
      <c r="I109" s="156"/>
      <c r="J109" s="156"/>
      <c r="K109" s="156"/>
    </row>
    <row r="110" spans="1:11">
      <c r="A110" s="156"/>
      <c r="B110" s="156"/>
      <c r="C110" s="156"/>
      <c r="D110" s="156"/>
      <c r="E110" s="156"/>
      <c r="F110" s="157"/>
      <c r="G110" s="157"/>
      <c r="H110" s="156"/>
      <c r="I110" s="156"/>
      <c r="J110" s="156"/>
      <c r="K110" s="156"/>
    </row>
    <row r="111" spans="1:11">
      <c r="A111" s="156"/>
      <c r="B111" s="156"/>
      <c r="C111" s="156"/>
      <c r="D111" s="156"/>
      <c r="E111" s="156"/>
      <c r="F111" s="157"/>
      <c r="G111" s="157"/>
      <c r="H111" s="156"/>
      <c r="I111" s="156"/>
      <c r="J111" s="156"/>
      <c r="K111" s="156"/>
    </row>
  </sheetData>
  <mergeCells count="10">
    <mergeCell ref="A26:X26"/>
    <mergeCell ref="C44:G44"/>
    <mergeCell ref="C45:G45"/>
    <mergeCell ref="A1:AJ1"/>
    <mergeCell ref="AN1:AV1"/>
    <mergeCell ref="S4:V4"/>
    <mergeCell ref="W4:Y4"/>
    <mergeCell ref="Z4:AE4"/>
    <mergeCell ref="AG4:AH4"/>
    <mergeCell ref="AI4:AJ4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5"/>
  <sheetViews>
    <sheetView workbookViewId="0">
      <selection activeCell="O4" sqref="O4"/>
    </sheetView>
  </sheetViews>
  <sheetFormatPr baseColWidth="10" defaultRowHeight="15"/>
  <cols>
    <col min="1" max="1" width="9.7109375" style="1" customWidth="1"/>
    <col min="2" max="2" width="38" customWidth="1"/>
    <col min="3" max="3" width="15.5703125" customWidth="1"/>
    <col min="4" max="4" width="12.85546875" bestFit="1" customWidth="1"/>
    <col min="5" max="11" width="11.5703125" bestFit="1" customWidth="1"/>
    <col min="12" max="12" width="11.7109375" bestFit="1" customWidth="1"/>
    <col min="13" max="14" width="11.5703125" bestFit="1" customWidth="1"/>
    <col min="15" max="15" width="14" customWidth="1"/>
    <col min="257" max="257" width="9.7109375" customWidth="1"/>
    <col min="258" max="258" width="38" customWidth="1"/>
    <col min="259" max="259" width="15.5703125" customWidth="1"/>
    <col min="260" max="260" width="12.85546875" bestFit="1" customWidth="1"/>
    <col min="261" max="267" width="11.5703125" bestFit="1" customWidth="1"/>
    <col min="268" max="268" width="11.7109375" bestFit="1" customWidth="1"/>
    <col min="269" max="270" width="11.5703125" bestFit="1" customWidth="1"/>
    <col min="271" max="271" width="14" customWidth="1"/>
    <col min="513" max="513" width="9.7109375" customWidth="1"/>
    <col min="514" max="514" width="38" customWidth="1"/>
    <col min="515" max="515" width="15.5703125" customWidth="1"/>
    <col min="516" max="516" width="12.85546875" bestFit="1" customWidth="1"/>
    <col min="517" max="523" width="11.5703125" bestFit="1" customWidth="1"/>
    <col min="524" max="524" width="11.7109375" bestFit="1" customWidth="1"/>
    <col min="525" max="526" width="11.5703125" bestFit="1" customWidth="1"/>
    <col min="527" max="527" width="14" customWidth="1"/>
    <col min="769" max="769" width="9.7109375" customWidth="1"/>
    <col min="770" max="770" width="38" customWidth="1"/>
    <col min="771" max="771" width="15.5703125" customWidth="1"/>
    <col min="772" max="772" width="12.85546875" bestFit="1" customWidth="1"/>
    <col min="773" max="779" width="11.5703125" bestFit="1" customWidth="1"/>
    <col min="780" max="780" width="11.7109375" bestFit="1" customWidth="1"/>
    <col min="781" max="782" width="11.5703125" bestFit="1" customWidth="1"/>
    <col min="783" max="783" width="14" customWidth="1"/>
    <col min="1025" max="1025" width="9.7109375" customWidth="1"/>
    <col min="1026" max="1026" width="38" customWidth="1"/>
    <col min="1027" max="1027" width="15.5703125" customWidth="1"/>
    <col min="1028" max="1028" width="12.85546875" bestFit="1" customWidth="1"/>
    <col min="1029" max="1035" width="11.5703125" bestFit="1" customWidth="1"/>
    <col min="1036" max="1036" width="11.7109375" bestFit="1" customWidth="1"/>
    <col min="1037" max="1038" width="11.5703125" bestFit="1" customWidth="1"/>
    <col min="1039" max="1039" width="14" customWidth="1"/>
    <col min="1281" max="1281" width="9.7109375" customWidth="1"/>
    <col min="1282" max="1282" width="38" customWidth="1"/>
    <col min="1283" max="1283" width="15.5703125" customWidth="1"/>
    <col min="1284" max="1284" width="12.85546875" bestFit="1" customWidth="1"/>
    <col min="1285" max="1291" width="11.5703125" bestFit="1" customWidth="1"/>
    <col min="1292" max="1292" width="11.7109375" bestFit="1" customWidth="1"/>
    <col min="1293" max="1294" width="11.5703125" bestFit="1" customWidth="1"/>
    <col min="1295" max="1295" width="14" customWidth="1"/>
    <col min="1537" max="1537" width="9.7109375" customWidth="1"/>
    <col min="1538" max="1538" width="38" customWidth="1"/>
    <col min="1539" max="1539" width="15.5703125" customWidth="1"/>
    <col min="1540" max="1540" width="12.85546875" bestFit="1" customWidth="1"/>
    <col min="1541" max="1547" width="11.5703125" bestFit="1" customWidth="1"/>
    <col min="1548" max="1548" width="11.7109375" bestFit="1" customWidth="1"/>
    <col min="1549" max="1550" width="11.5703125" bestFit="1" customWidth="1"/>
    <col min="1551" max="1551" width="14" customWidth="1"/>
    <col min="1793" max="1793" width="9.7109375" customWidth="1"/>
    <col min="1794" max="1794" width="38" customWidth="1"/>
    <col min="1795" max="1795" width="15.5703125" customWidth="1"/>
    <col min="1796" max="1796" width="12.85546875" bestFit="1" customWidth="1"/>
    <col min="1797" max="1803" width="11.5703125" bestFit="1" customWidth="1"/>
    <col min="1804" max="1804" width="11.7109375" bestFit="1" customWidth="1"/>
    <col min="1805" max="1806" width="11.5703125" bestFit="1" customWidth="1"/>
    <col min="1807" max="1807" width="14" customWidth="1"/>
    <col min="2049" max="2049" width="9.7109375" customWidth="1"/>
    <col min="2050" max="2050" width="38" customWidth="1"/>
    <col min="2051" max="2051" width="15.5703125" customWidth="1"/>
    <col min="2052" max="2052" width="12.85546875" bestFit="1" customWidth="1"/>
    <col min="2053" max="2059" width="11.5703125" bestFit="1" customWidth="1"/>
    <col min="2060" max="2060" width="11.7109375" bestFit="1" customWidth="1"/>
    <col min="2061" max="2062" width="11.5703125" bestFit="1" customWidth="1"/>
    <col min="2063" max="2063" width="14" customWidth="1"/>
    <col min="2305" max="2305" width="9.7109375" customWidth="1"/>
    <col min="2306" max="2306" width="38" customWidth="1"/>
    <col min="2307" max="2307" width="15.5703125" customWidth="1"/>
    <col min="2308" max="2308" width="12.85546875" bestFit="1" customWidth="1"/>
    <col min="2309" max="2315" width="11.5703125" bestFit="1" customWidth="1"/>
    <col min="2316" max="2316" width="11.7109375" bestFit="1" customWidth="1"/>
    <col min="2317" max="2318" width="11.5703125" bestFit="1" customWidth="1"/>
    <col min="2319" max="2319" width="14" customWidth="1"/>
    <col min="2561" max="2561" width="9.7109375" customWidth="1"/>
    <col min="2562" max="2562" width="38" customWidth="1"/>
    <col min="2563" max="2563" width="15.5703125" customWidth="1"/>
    <col min="2564" max="2564" width="12.85546875" bestFit="1" customWidth="1"/>
    <col min="2565" max="2571" width="11.5703125" bestFit="1" customWidth="1"/>
    <col min="2572" max="2572" width="11.7109375" bestFit="1" customWidth="1"/>
    <col min="2573" max="2574" width="11.5703125" bestFit="1" customWidth="1"/>
    <col min="2575" max="2575" width="14" customWidth="1"/>
    <col min="2817" max="2817" width="9.7109375" customWidth="1"/>
    <col min="2818" max="2818" width="38" customWidth="1"/>
    <col min="2819" max="2819" width="15.5703125" customWidth="1"/>
    <col min="2820" max="2820" width="12.85546875" bestFit="1" customWidth="1"/>
    <col min="2821" max="2827" width="11.5703125" bestFit="1" customWidth="1"/>
    <col min="2828" max="2828" width="11.7109375" bestFit="1" customWidth="1"/>
    <col min="2829" max="2830" width="11.5703125" bestFit="1" customWidth="1"/>
    <col min="2831" max="2831" width="14" customWidth="1"/>
    <col min="3073" max="3073" width="9.7109375" customWidth="1"/>
    <col min="3074" max="3074" width="38" customWidth="1"/>
    <col min="3075" max="3075" width="15.5703125" customWidth="1"/>
    <col min="3076" max="3076" width="12.85546875" bestFit="1" customWidth="1"/>
    <col min="3077" max="3083" width="11.5703125" bestFit="1" customWidth="1"/>
    <col min="3084" max="3084" width="11.7109375" bestFit="1" customWidth="1"/>
    <col min="3085" max="3086" width="11.5703125" bestFit="1" customWidth="1"/>
    <col min="3087" max="3087" width="14" customWidth="1"/>
    <col min="3329" max="3329" width="9.7109375" customWidth="1"/>
    <col min="3330" max="3330" width="38" customWidth="1"/>
    <col min="3331" max="3331" width="15.5703125" customWidth="1"/>
    <col min="3332" max="3332" width="12.85546875" bestFit="1" customWidth="1"/>
    <col min="3333" max="3339" width="11.5703125" bestFit="1" customWidth="1"/>
    <col min="3340" max="3340" width="11.7109375" bestFit="1" customWidth="1"/>
    <col min="3341" max="3342" width="11.5703125" bestFit="1" customWidth="1"/>
    <col min="3343" max="3343" width="14" customWidth="1"/>
    <col min="3585" max="3585" width="9.7109375" customWidth="1"/>
    <col min="3586" max="3586" width="38" customWidth="1"/>
    <col min="3587" max="3587" width="15.5703125" customWidth="1"/>
    <col min="3588" max="3588" width="12.85546875" bestFit="1" customWidth="1"/>
    <col min="3589" max="3595" width="11.5703125" bestFit="1" customWidth="1"/>
    <col min="3596" max="3596" width="11.7109375" bestFit="1" customWidth="1"/>
    <col min="3597" max="3598" width="11.5703125" bestFit="1" customWidth="1"/>
    <col min="3599" max="3599" width="14" customWidth="1"/>
    <col min="3841" max="3841" width="9.7109375" customWidth="1"/>
    <col min="3842" max="3842" width="38" customWidth="1"/>
    <col min="3843" max="3843" width="15.5703125" customWidth="1"/>
    <col min="3844" max="3844" width="12.85546875" bestFit="1" customWidth="1"/>
    <col min="3845" max="3851" width="11.5703125" bestFit="1" customWidth="1"/>
    <col min="3852" max="3852" width="11.7109375" bestFit="1" customWidth="1"/>
    <col min="3853" max="3854" width="11.5703125" bestFit="1" customWidth="1"/>
    <col min="3855" max="3855" width="14" customWidth="1"/>
    <col min="4097" max="4097" width="9.7109375" customWidth="1"/>
    <col min="4098" max="4098" width="38" customWidth="1"/>
    <col min="4099" max="4099" width="15.5703125" customWidth="1"/>
    <col min="4100" max="4100" width="12.85546875" bestFit="1" customWidth="1"/>
    <col min="4101" max="4107" width="11.5703125" bestFit="1" customWidth="1"/>
    <col min="4108" max="4108" width="11.7109375" bestFit="1" customWidth="1"/>
    <col min="4109" max="4110" width="11.5703125" bestFit="1" customWidth="1"/>
    <col min="4111" max="4111" width="14" customWidth="1"/>
    <col min="4353" max="4353" width="9.7109375" customWidth="1"/>
    <col min="4354" max="4354" width="38" customWidth="1"/>
    <col min="4355" max="4355" width="15.5703125" customWidth="1"/>
    <col min="4356" max="4356" width="12.85546875" bestFit="1" customWidth="1"/>
    <col min="4357" max="4363" width="11.5703125" bestFit="1" customWidth="1"/>
    <col min="4364" max="4364" width="11.7109375" bestFit="1" customWidth="1"/>
    <col min="4365" max="4366" width="11.5703125" bestFit="1" customWidth="1"/>
    <col min="4367" max="4367" width="14" customWidth="1"/>
    <col min="4609" max="4609" width="9.7109375" customWidth="1"/>
    <col min="4610" max="4610" width="38" customWidth="1"/>
    <col min="4611" max="4611" width="15.5703125" customWidth="1"/>
    <col min="4612" max="4612" width="12.85546875" bestFit="1" customWidth="1"/>
    <col min="4613" max="4619" width="11.5703125" bestFit="1" customWidth="1"/>
    <col min="4620" max="4620" width="11.7109375" bestFit="1" customWidth="1"/>
    <col min="4621" max="4622" width="11.5703125" bestFit="1" customWidth="1"/>
    <col min="4623" max="4623" width="14" customWidth="1"/>
    <col min="4865" max="4865" width="9.7109375" customWidth="1"/>
    <col min="4866" max="4866" width="38" customWidth="1"/>
    <col min="4867" max="4867" width="15.5703125" customWidth="1"/>
    <col min="4868" max="4868" width="12.85546875" bestFit="1" customWidth="1"/>
    <col min="4869" max="4875" width="11.5703125" bestFit="1" customWidth="1"/>
    <col min="4876" max="4876" width="11.7109375" bestFit="1" customWidth="1"/>
    <col min="4877" max="4878" width="11.5703125" bestFit="1" customWidth="1"/>
    <col min="4879" max="4879" width="14" customWidth="1"/>
    <col min="5121" max="5121" width="9.7109375" customWidth="1"/>
    <col min="5122" max="5122" width="38" customWidth="1"/>
    <col min="5123" max="5123" width="15.5703125" customWidth="1"/>
    <col min="5124" max="5124" width="12.85546875" bestFit="1" customWidth="1"/>
    <col min="5125" max="5131" width="11.5703125" bestFit="1" customWidth="1"/>
    <col min="5132" max="5132" width="11.7109375" bestFit="1" customWidth="1"/>
    <col min="5133" max="5134" width="11.5703125" bestFit="1" customWidth="1"/>
    <col min="5135" max="5135" width="14" customWidth="1"/>
    <col min="5377" max="5377" width="9.7109375" customWidth="1"/>
    <col min="5378" max="5378" width="38" customWidth="1"/>
    <col min="5379" max="5379" width="15.5703125" customWidth="1"/>
    <col min="5380" max="5380" width="12.85546875" bestFit="1" customWidth="1"/>
    <col min="5381" max="5387" width="11.5703125" bestFit="1" customWidth="1"/>
    <col min="5388" max="5388" width="11.7109375" bestFit="1" customWidth="1"/>
    <col min="5389" max="5390" width="11.5703125" bestFit="1" customWidth="1"/>
    <col min="5391" max="5391" width="14" customWidth="1"/>
    <col min="5633" max="5633" width="9.7109375" customWidth="1"/>
    <col min="5634" max="5634" width="38" customWidth="1"/>
    <col min="5635" max="5635" width="15.5703125" customWidth="1"/>
    <col min="5636" max="5636" width="12.85546875" bestFit="1" customWidth="1"/>
    <col min="5637" max="5643" width="11.5703125" bestFit="1" customWidth="1"/>
    <col min="5644" max="5644" width="11.7109375" bestFit="1" customWidth="1"/>
    <col min="5645" max="5646" width="11.5703125" bestFit="1" customWidth="1"/>
    <col min="5647" max="5647" width="14" customWidth="1"/>
    <col min="5889" max="5889" width="9.7109375" customWidth="1"/>
    <col min="5890" max="5890" width="38" customWidth="1"/>
    <col min="5891" max="5891" width="15.5703125" customWidth="1"/>
    <col min="5892" max="5892" width="12.85546875" bestFit="1" customWidth="1"/>
    <col min="5893" max="5899" width="11.5703125" bestFit="1" customWidth="1"/>
    <col min="5900" max="5900" width="11.7109375" bestFit="1" customWidth="1"/>
    <col min="5901" max="5902" width="11.5703125" bestFit="1" customWidth="1"/>
    <col min="5903" max="5903" width="14" customWidth="1"/>
    <col min="6145" max="6145" width="9.7109375" customWidth="1"/>
    <col min="6146" max="6146" width="38" customWidth="1"/>
    <col min="6147" max="6147" width="15.5703125" customWidth="1"/>
    <col min="6148" max="6148" width="12.85546875" bestFit="1" customWidth="1"/>
    <col min="6149" max="6155" width="11.5703125" bestFit="1" customWidth="1"/>
    <col min="6156" max="6156" width="11.7109375" bestFit="1" customWidth="1"/>
    <col min="6157" max="6158" width="11.5703125" bestFit="1" customWidth="1"/>
    <col min="6159" max="6159" width="14" customWidth="1"/>
    <col min="6401" max="6401" width="9.7109375" customWidth="1"/>
    <col min="6402" max="6402" width="38" customWidth="1"/>
    <col min="6403" max="6403" width="15.5703125" customWidth="1"/>
    <col min="6404" max="6404" width="12.85546875" bestFit="1" customWidth="1"/>
    <col min="6405" max="6411" width="11.5703125" bestFit="1" customWidth="1"/>
    <col min="6412" max="6412" width="11.7109375" bestFit="1" customWidth="1"/>
    <col min="6413" max="6414" width="11.5703125" bestFit="1" customWidth="1"/>
    <col min="6415" max="6415" width="14" customWidth="1"/>
    <col min="6657" max="6657" width="9.7109375" customWidth="1"/>
    <col min="6658" max="6658" width="38" customWidth="1"/>
    <col min="6659" max="6659" width="15.5703125" customWidth="1"/>
    <col min="6660" max="6660" width="12.85546875" bestFit="1" customWidth="1"/>
    <col min="6661" max="6667" width="11.5703125" bestFit="1" customWidth="1"/>
    <col min="6668" max="6668" width="11.7109375" bestFit="1" customWidth="1"/>
    <col min="6669" max="6670" width="11.5703125" bestFit="1" customWidth="1"/>
    <col min="6671" max="6671" width="14" customWidth="1"/>
    <col min="6913" max="6913" width="9.7109375" customWidth="1"/>
    <col min="6914" max="6914" width="38" customWidth="1"/>
    <col min="6915" max="6915" width="15.5703125" customWidth="1"/>
    <col min="6916" max="6916" width="12.85546875" bestFit="1" customWidth="1"/>
    <col min="6917" max="6923" width="11.5703125" bestFit="1" customWidth="1"/>
    <col min="6924" max="6924" width="11.7109375" bestFit="1" customWidth="1"/>
    <col min="6925" max="6926" width="11.5703125" bestFit="1" customWidth="1"/>
    <col min="6927" max="6927" width="14" customWidth="1"/>
    <col min="7169" max="7169" width="9.7109375" customWidth="1"/>
    <col min="7170" max="7170" width="38" customWidth="1"/>
    <col min="7171" max="7171" width="15.5703125" customWidth="1"/>
    <col min="7172" max="7172" width="12.85546875" bestFit="1" customWidth="1"/>
    <col min="7173" max="7179" width="11.5703125" bestFit="1" customWidth="1"/>
    <col min="7180" max="7180" width="11.7109375" bestFit="1" customWidth="1"/>
    <col min="7181" max="7182" width="11.5703125" bestFit="1" customWidth="1"/>
    <col min="7183" max="7183" width="14" customWidth="1"/>
    <col min="7425" max="7425" width="9.7109375" customWidth="1"/>
    <col min="7426" max="7426" width="38" customWidth="1"/>
    <col min="7427" max="7427" width="15.5703125" customWidth="1"/>
    <col min="7428" max="7428" width="12.85546875" bestFit="1" customWidth="1"/>
    <col min="7429" max="7435" width="11.5703125" bestFit="1" customWidth="1"/>
    <col min="7436" max="7436" width="11.7109375" bestFit="1" customWidth="1"/>
    <col min="7437" max="7438" width="11.5703125" bestFit="1" customWidth="1"/>
    <col min="7439" max="7439" width="14" customWidth="1"/>
    <col min="7681" max="7681" width="9.7109375" customWidth="1"/>
    <col min="7682" max="7682" width="38" customWidth="1"/>
    <col min="7683" max="7683" width="15.5703125" customWidth="1"/>
    <col min="7684" max="7684" width="12.85546875" bestFit="1" customWidth="1"/>
    <col min="7685" max="7691" width="11.5703125" bestFit="1" customWidth="1"/>
    <col min="7692" max="7692" width="11.7109375" bestFit="1" customWidth="1"/>
    <col min="7693" max="7694" width="11.5703125" bestFit="1" customWidth="1"/>
    <col min="7695" max="7695" width="14" customWidth="1"/>
    <col min="7937" max="7937" width="9.7109375" customWidth="1"/>
    <col min="7938" max="7938" width="38" customWidth="1"/>
    <col min="7939" max="7939" width="15.5703125" customWidth="1"/>
    <col min="7940" max="7940" width="12.85546875" bestFit="1" customWidth="1"/>
    <col min="7941" max="7947" width="11.5703125" bestFit="1" customWidth="1"/>
    <col min="7948" max="7948" width="11.7109375" bestFit="1" customWidth="1"/>
    <col min="7949" max="7950" width="11.5703125" bestFit="1" customWidth="1"/>
    <col min="7951" max="7951" width="14" customWidth="1"/>
    <col min="8193" max="8193" width="9.7109375" customWidth="1"/>
    <col min="8194" max="8194" width="38" customWidth="1"/>
    <col min="8195" max="8195" width="15.5703125" customWidth="1"/>
    <col min="8196" max="8196" width="12.85546875" bestFit="1" customWidth="1"/>
    <col min="8197" max="8203" width="11.5703125" bestFit="1" customWidth="1"/>
    <col min="8204" max="8204" width="11.7109375" bestFit="1" customWidth="1"/>
    <col min="8205" max="8206" width="11.5703125" bestFit="1" customWidth="1"/>
    <col min="8207" max="8207" width="14" customWidth="1"/>
    <col min="8449" max="8449" width="9.7109375" customWidth="1"/>
    <col min="8450" max="8450" width="38" customWidth="1"/>
    <col min="8451" max="8451" width="15.5703125" customWidth="1"/>
    <col min="8452" max="8452" width="12.85546875" bestFit="1" customWidth="1"/>
    <col min="8453" max="8459" width="11.5703125" bestFit="1" customWidth="1"/>
    <col min="8460" max="8460" width="11.7109375" bestFit="1" customWidth="1"/>
    <col min="8461" max="8462" width="11.5703125" bestFit="1" customWidth="1"/>
    <col min="8463" max="8463" width="14" customWidth="1"/>
    <col min="8705" max="8705" width="9.7109375" customWidth="1"/>
    <col min="8706" max="8706" width="38" customWidth="1"/>
    <col min="8707" max="8707" width="15.5703125" customWidth="1"/>
    <col min="8708" max="8708" width="12.85546875" bestFit="1" customWidth="1"/>
    <col min="8709" max="8715" width="11.5703125" bestFit="1" customWidth="1"/>
    <col min="8716" max="8716" width="11.7109375" bestFit="1" customWidth="1"/>
    <col min="8717" max="8718" width="11.5703125" bestFit="1" customWidth="1"/>
    <col min="8719" max="8719" width="14" customWidth="1"/>
    <col min="8961" max="8961" width="9.7109375" customWidth="1"/>
    <col min="8962" max="8962" width="38" customWidth="1"/>
    <col min="8963" max="8963" width="15.5703125" customWidth="1"/>
    <col min="8964" max="8964" width="12.85546875" bestFit="1" customWidth="1"/>
    <col min="8965" max="8971" width="11.5703125" bestFit="1" customWidth="1"/>
    <col min="8972" max="8972" width="11.7109375" bestFit="1" customWidth="1"/>
    <col min="8973" max="8974" width="11.5703125" bestFit="1" customWidth="1"/>
    <col min="8975" max="8975" width="14" customWidth="1"/>
    <col min="9217" max="9217" width="9.7109375" customWidth="1"/>
    <col min="9218" max="9218" width="38" customWidth="1"/>
    <col min="9219" max="9219" width="15.5703125" customWidth="1"/>
    <col min="9220" max="9220" width="12.85546875" bestFit="1" customWidth="1"/>
    <col min="9221" max="9227" width="11.5703125" bestFit="1" customWidth="1"/>
    <col min="9228" max="9228" width="11.7109375" bestFit="1" customWidth="1"/>
    <col min="9229" max="9230" width="11.5703125" bestFit="1" customWidth="1"/>
    <col min="9231" max="9231" width="14" customWidth="1"/>
    <col min="9473" max="9473" width="9.7109375" customWidth="1"/>
    <col min="9474" max="9474" width="38" customWidth="1"/>
    <col min="9475" max="9475" width="15.5703125" customWidth="1"/>
    <col min="9476" max="9476" width="12.85546875" bestFit="1" customWidth="1"/>
    <col min="9477" max="9483" width="11.5703125" bestFit="1" customWidth="1"/>
    <col min="9484" max="9484" width="11.7109375" bestFit="1" customWidth="1"/>
    <col min="9485" max="9486" width="11.5703125" bestFit="1" customWidth="1"/>
    <col min="9487" max="9487" width="14" customWidth="1"/>
    <col min="9729" max="9729" width="9.7109375" customWidth="1"/>
    <col min="9730" max="9730" width="38" customWidth="1"/>
    <col min="9731" max="9731" width="15.5703125" customWidth="1"/>
    <col min="9732" max="9732" width="12.85546875" bestFit="1" customWidth="1"/>
    <col min="9733" max="9739" width="11.5703125" bestFit="1" customWidth="1"/>
    <col min="9740" max="9740" width="11.7109375" bestFit="1" customWidth="1"/>
    <col min="9741" max="9742" width="11.5703125" bestFit="1" customWidth="1"/>
    <col min="9743" max="9743" width="14" customWidth="1"/>
    <col min="9985" max="9985" width="9.7109375" customWidth="1"/>
    <col min="9986" max="9986" width="38" customWidth="1"/>
    <col min="9987" max="9987" width="15.5703125" customWidth="1"/>
    <col min="9988" max="9988" width="12.85546875" bestFit="1" customWidth="1"/>
    <col min="9989" max="9995" width="11.5703125" bestFit="1" customWidth="1"/>
    <col min="9996" max="9996" width="11.7109375" bestFit="1" customWidth="1"/>
    <col min="9997" max="9998" width="11.5703125" bestFit="1" customWidth="1"/>
    <col min="9999" max="9999" width="14" customWidth="1"/>
    <col min="10241" max="10241" width="9.7109375" customWidth="1"/>
    <col min="10242" max="10242" width="38" customWidth="1"/>
    <col min="10243" max="10243" width="15.5703125" customWidth="1"/>
    <col min="10244" max="10244" width="12.85546875" bestFit="1" customWidth="1"/>
    <col min="10245" max="10251" width="11.5703125" bestFit="1" customWidth="1"/>
    <col min="10252" max="10252" width="11.7109375" bestFit="1" customWidth="1"/>
    <col min="10253" max="10254" width="11.5703125" bestFit="1" customWidth="1"/>
    <col min="10255" max="10255" width="14" customWidth="1"/>
    <col min="10497" max="10497" width="9.7109375" customWidth="1"/>
    <col min="10498" max="10498" width="38" customWidth="1"/>
    <col min="10499" max="10499" width="15.5703125" customWidth="1"/>
    <col min="10500" max="10500" width="12.85546875" bestFit="1" customWidth="1"/>
    <col min="10501" max="10507" width="11.5703125" bestFit="1" customWidth="1"/>
    <col min="10508" max="10508" width="11.7109375" bestFit="1" customWidth="1"/>
    <col min="10509" max="10510" width="11.5703125" bestFit="1" customWidth="1"/>
    <col min="10511" max="10511" width="14" customWidth="1"/>
    <col min="10753" max="10753" width="9.7109375" customWidth="1"/>
    <col min="10754" max="10754" width="38" customWidth="1"/>
    <col min="10755" max="10755" width="15.5703125" customWidth="1"/>
    <col min="10756" max="10756" width="12.85546875" bestFit="1" customWidth="1"/>
    <col min="10757" max="10763" width="11.5703125" bestFit="1" customWidth="1"/>
    <col min="10764" max="10764" width="11.7109375" bestFit="1" customWidth="1"/>
    <col min="10765" max="10766" width="11.5703125" bestFit="1" customWidth="1"/>
    <col min="10767" max="10767" width="14" customWidth="1"/>
    <col min="11009" max="11009" width="9.7109375" customWidth="1"/>
    <col min="11010" max="11010" width="38" customWidth="1"/>
    <col min="11011" max="11011" width="15.5703125" customWidth="1"/>
    <col min="11012" max="11012" width="12.85546875" bestFit="1" customWidth="1"/>
    <col min="11013" max="11019" width="11.5703125" bestFit="1" customWidth="1"/>
    <col min="11020" max="11020" width="11.7109375" bestFit="1" customWidth="1"/>
    <col min="11021" max="11022" width="11.5703125" bestFit="1" customWidth="1"/>
    <col min="11023" max="11023" width="14" customWidth="1"/>
    <col min="11265" max="11265" width="9.7109375" customWidth="1"/>
    <col min="11266" max="11266" width="38" customWidth="1"/>
    <col min="11267" max="11267" width="15.5703125" customWidth="1"/>
    <col min="11268" max="11268" width="12.85546875" bestFit="1" customWidth="1"/>
    <col min="11269" max="11275" width="11.5703125" bestFit="1" customWidth="1"/>
    <col min="11276" max="11276" width="11.7109375" bestFit="1" customWidth="1"/>
    <col min="11277" max="11278" width="11.5703125" bestFit="1" customWidth="1"/>
    <col min="11279" max="11279" width="14" customWidth="1"/>
    <col min="11521" max="11521" width="9.7109375" customWidth="1"/>
    <col min="11522" max="11522" width="38" customWidth="1"/>
    <col min="11523" max="11523" width="15.5703125" customWidth="1"/>
    <col min="11524" max="11524" width="12.85546875" bestFit="1" customWidth="1"/>
    <col min="11525" max="11531" width="11.5703125" bestFit="1" customWidth="1"/>
    <col min="11532" max="11532" width="11.7109375" bestFit="1" customWidth="1"/>
    <col min="11533" max="11534" width="11.5703125" bestFit="1" customWidth="1"/>
    <col min="11535" max="11535" width="14" customWidth="1"/>
    <col min="11777" max="11777" width="9.7109375" customWidth="1"/>
    <col min="11778" max="11778" width="38" customWidth="1"/>
    <col min="11779" max="11779" width="15.5703125" customWidth="1"/>
    <col min="11780" max="11780" width="12.85546875" bestFit="1" customWidth="1"/>
    <col min="11781" max="11787" width="11.5703125" bestFit="1" customWidth="1"/>
    <col min="11788" max="11788" width="11.7109375" bestFit="1" customWidth="1"/>
    <col min="11789" max="11790" width="11.5703125" bestFit="1" customWidth="1"/>
    <col min="11791" max="11791" width="14" customWidth="1"/>
    <col min="12033" max="12033" width="9.7109375" customWidth="1"/>
    <col min="12034" max="12034" width="38" customWidth="1"/>
    <col min="12035" max="12035" width="15.5703125" customWidth="1"/>
    <col min="12036" max="12036" width="12.85546875" bestFit="1" customWidth="1"/>
    <col min="12037" max="12043" width="11.5703125" bestFit="1" customWidth="1"/>
    <col min="12044" max="12044" width="11.7109375" bestFit="1" customWidth="1"/>
    <col min="12045" max="12046" width="11.5703125" bestFit="1" customWidth="1"/>
    <col min="12047" max="12047" width="14" customWidth="1"/>
    <col min="12289" max="12289" width="9.7109375" customWidth="1"/>
    <col min="12290" max="12290" width="38" customWidth="1"/>
    <col min="12291" max="12291" width="15.5703125" customWidth="1"/>
    <col min="12292" max="12292" width="12.85546875" bestFit="1" customWidth="1"/>
    <col min="12293" max="12299" width="11.5703125" bestFit="1" customWidth="1"/>
    <col min="12300" max="12300" width="11.7109375" bestFit="1" customWidth="1"/>
    <col min="12301" max="12302" width="11.5703125" bestFit="1" customWidth="1"/>
    <col min="12303" max="12303" width="14" customWidth="1"/>
    <col min="12545" max="12545" width="9.7109375" customWidth="1"/>
    <col min="12546" max="12546" width="38" customWidth="1"/>
    <col min="12547" max="12547" width="15.5703125" customWidth="1"/>
    <col min="12548" max="12548" width="12.85546875" bestFit="1" customWidth="1"/>
    <col min="12549" max="12555" width="11.5703125" bestFit="1" customWidth="1"/>
    <col min="12556" max="12556" width="11.7109375" bestFit="1" customWidth="1"/>
    <col min="12557" max="12558" width="11.5703125" bestFit="1" customWidth="1"/>
    <col min="12559" max="12559" width="14" customWidth="1"/>
    <col min="12801" max="12801" width="9.7109375" customWidth="1"/>
    <col min="12802" max="12802" width="38" customWidth="1"/>
    <col min="12803" max="12803" width="15.5703125" customWidth="1"/>
    <col min="12804" max="12804" width="12.85546875" bestFit="1" customWidth="1"/>
    <col min="12805" max="12811" width="11.5703125" bestFit="1" customWidth="1"/>
    <col min="12812" max="12812" width="11.7109375" bestFit="1" customWidth="1"/>
    <col min="12813" max="12814" width="11.5703125" bestFit="1" customWidth="1"/>
    <col min="12815" max="12815" width="14" customWidth="1"/>
    <col min="13057" max="13057" width="9.7109375" customWidth="1"/>
    <col min="13058" max="13058" width="38" customWidth="1"/>
    <col min="13059" max="13059" width="15.5703125" customWidth="1"/>
    <col min="13060" max="13060" width="12.85546875" bestFit="1" customWidth="1"/>
    <col min="13061" max="13067" width="11.5703125" bestFit="1" customWidth="1"/>
    <col min="13068" max="13068" width="11.7109375" bestFit="1" customWidth="1"/>
    <col min="13069" max="13070" width="11.5703125" bestFit="1" customWidth="1"/>
    <col min="13071" max="13071" width="14" customWidth="1"/>
    <col min="13313" max="13313" width="9.7109375" customWidth="1"/>
    <col min="13314" max="13314" width="38" customWidth="1"/>
    <col min="13315" max="13315" width="15.5703125" customWidth="1"/>
    <col min="13316" max="13316" width="12.85546875" bestFit="1" customWidth="1"/>
    <col min="13317" max="13323" width="11.5703125" bestFit="1" customWidth="1"/>
    <col min="13324" max="13324" width="11.7109375" bestFit="1" customWidth="1"/>
    <col min="13325" max="13326" width="11.5703125" bestFit="1" customWidth="1"/>
    <col min="13327" max="13327" width="14" customWidth="1"/>
    <col min="13569" max="13569" width="9.7109375" customWidth="1"/>
    <col min="13570" max="13570" width="38" customWidth="1"/>
    <col min="13571" max="13571" width="15.5703125" customWidth="1"/>
    <col min="13572" max="13572" width="12.85546875" bestFit="1" customWidth="1"/>
    <col min="13573" max="13579" width="11.5703125" bestFit="1" customWidth="1"/>
    <col min="13580" max="13580" width="11.7109375" bestFit="1" customWidth="1"/>
    <col min="13581" max="13582" width="11.5703125" bestFit="1" customWidth="1"/>
    <col min="13583" max="13583" width="14" customWidth="1"/>
    <col min="13825" max="13825" width="9.7109375" customWidth="1"/>
    <col min="13826" max="13826" width="38" customWidth="1"/>
    <col min="13827" max="13827" width="15.5703125" customWidth="1"/>
    <col min="13828" max="13828" width="12.85546875" bestFit="1" customWidth="1"/>
    <col min="13829" max="13835" width="11.5703125" bestFit="1" customWidth="1"/>
    <col min="13836" max="13836" width="11.7109375" bestFit="1" customWidth="1"/>
    <col min="13837" max="13838" width="11.5703125" bestFit="1" customWidth="1"/>
    <col min="13839" max="13839" width="14" customWidth="1"/>
    <col min="14081" max="14081" width="9.7109375" customWidth="1"/>
    <col min="14082" max="14082" width="38" customWidth="1"/>
    <col min="14083" max="14083" width="15.5703125" customWidth="1"/>
    <col min="14084" max="14084" width="12.85546875" bestFit="1" customWidth="1"/>
    <col min="14085" max="14091" width="11.5703125" bestFit="1" customWidth="1"/>
    <col min="14092" max="14092" width="11.7109375" bestFit="1" customWidth="1"/>
    <col min="14093" max="14094" width="11.5703125" bestFit="1" customWidth="1"/>
    <col min="14095" max="14095" width="14" customWidth="1"/>
    <col min="14337" max="14337" width="9.7109375" customWidth="1"/>
    <col min="14338" max="14338" width="38" customWidth="1"/>
    <col min="14339" max="14339" width="15.5703125" customWidth="1"/>
    <col min="14340" max="14340" width="12.85546875" bestFit="1" customWidth="1"/>
    <col min="14341" max="14347" width="11.5703125" bestFit="1" customWidth="1"/>
    <col min="14348" max="14348" width="11.7109375" bestFit="1" customWidth="1"/>
    <col min="14349" max="14350" width="11.5703125" bestFit="1" customWidth="1"/>
    <col min="14351" max="14351" width="14" customWidth="1"/>
    <col min="14593" max="14593" width="9.7109375" customWidth="1"/>
    <col min="14594" max="14594" width="38" customWidth="1"/>
    <col min="14595" max="14595" width="15.5703125" customWidth="1"/>
    <col min="14596" max="14596" width="12.85546875" bestFit="1" customWidth="1"/>
    <col min="14597" max="14603" width="11.5703125" bestFit="1" customWidth="1"/>
    <col min="14604" max="14604" width="11.7109375" bestFit="1" customWidth="1"/>
    <col min="14605" max="14606" width="11.5703125" bestFit="1" customWidth="1"/>
    <col min="14607" max="14607" width="14" customWidth="1"/>
    <col min="14849" max="14849" width="9.7109375" customWidth="1"/>
    <col min="14850" max="14850" width="38" customWidth="1"/>
    <col min="14851" max="14851" width="15.5703125" customWidth="1"/>
    <col min="14852" max="14852" width="12.85546875" bestFit="1" customWidth="1"/>
    <col min="14853" max="14859" width="11.5703125" bestFit="1" customWidth="1"/>
    <col min="14860" max="14860" width="11.7109375" bestFit="1" customWidth="1"/>
    <col min="14861" max="14862" width="11.5703125" bestFit="1" customWidth="1"/>
    <col min="14863" max="14863" width="14" customWidth="1"/>
    <col min="15105" max="15105" width="9.7109375" customWidth="1"/>
    <col min="15106" max="15106" width="38" customWidth="1"/>
    <col min="15107" max="15107" width="15.5703125" customWidth="1"/>
    <col min="15108" max="15108" width="12.85546875" bestFit="1" customWidth="1"/>
    <col min="15109" max="15115" width="11.5703125" bestFit="1" customWidth="1"/>
    <col min="15116" max="15116" width="11.7109375" bestFit="1" customWidth="1"/>
    <col min="15117" max="15118" width="11.5703125" bestFit="1" customWidth="1"/>
    <col min="15119" max="15119" width="14" customWidth="1"/>
    <col min="15361" max="15361" width="9.7109375" customWidth="1"/>
    <col min="15362" max="15362" width="38" customWidth="1"/>
    <col min="15363" max="15363" width="15.5703125" customWidth="1"/>
    <col min="15364" max="15364" width="12.85546875" bestFit="1" customWidth="1"/>
    <col min="15365" max="15371" width="11.5703125" bestFit="1" customWidth="1"/>
    <col min="15372" max="15372" width="11.7109375" bestFit="1" customWidth="1"/>
    <col min="15373" max="15374" width="11.5703125" bestFit="1" customWidth="1"/>
    <col min="15375" max="15375" width="14" customWidth="1"/>
    <col min="15617" max="15617" width="9.7109375" customWidth="1"/>
    <col min="15618" max="15618" width="38" customWidth="1"/>
    <col min="15619" max="15619" width="15.5703125" customWidth="1"/>
    <col min="15620" max="15620" width="12.85546875" bestFit="1" customWidth="1"/>
    <col min="15621" max="15627" width="11.5703125" bestFit="1" customWidth="1"/>
    <col min="15628" max="15628" width="11.7109375" bestFit="1" customWidth="1"/>
    <col min="15629" max="15630" width="11.5703125" bestFit="1" customWidth="1"/>
    <col min="15631" max="15631" width="14" customWidth="1"/>
    <col min="15873" max="15873" width="9.7109375" customWidth="1"/>
    <col min="15874" max="15874" width="38" customWidth="1"/>
    <col min="15875" max="15875" width="15.5703125" customWidth="1"/>
    <col min="15876" max="15876" width="12.85546875" bestFit="1" customWidth="1"/>
    <col min="15877" max="15883" width="11.5703125" bestFit="1" customWidth="1"/>
    <col min="15884" max="15884" width="11.7109375" bestFit="1" customWidth="1"/>
    <col min="15885" max="15886" width="11.5703125" bestFit="1" customWidth="1"/>
    <col min="15887" max="15887" width="14" customWidth="1"/>
    <col min="16129" max="16129" width="9.7109375" customWidth="1"/>
    <col min="16130" max="16130" width="38" customWidth="1"/>
    <col min="16131" max="16131" width="15.5703125" customWidth="1"/>
    <col min="16132" max="16132" width="12.85546875" bestFit="1" customWidth="1"/>
    <col min="16133" max="16139" width="11.5703125" bestFit="1" customWidth="1"/>
    <col min="16140" max="16140" width="11.7109375" bestFit="1" customWidth="1"/>
    <col min="16141" max="16142" width="11.5703125" bestFit="1" customWidth="1"/>
    <col min="16143" max="16143" width="14" customWidth="1"/>
  </cols>
  <sheetData>
    <row r="1" spans="1:22" ht="12.75" customHeight="1"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5"/>
      <c r="P2" s="2"/>
      <c r="Q2" s="2"/>
      <c r="R2" s="2"/>
      <c r="S2" s="2"/>
      <c r="T2" s="2"/>
      <c r="U2" s="2"/>
      <c r="V2" s="2"/>
    </row>
    <row r="3" spans="1:22" ht="15.75" customHeight="1">
      <c r="A3" s="3"/>
      <c r="C3" s="3"/>
      <c r="D3" s="3"/>
      <c r="E3" s="3"/>
      <c r="F3" s="3"/>
      <c r="G3" s="3"/>
      <c r="H3" s="3"/>
      <c r="I3" s="3"/>
      <c r="J3" s="3"/>
      <c r="K3" s="6"/>
      <c r="L3" s="2"/>
      <c r="M3" s="2"/>
      <c r="N3" s="2"/>
      <c r="O3" s="7" t="s">
        <v>251</v>
      </c>
      <c r="P3" s="2"/>
      <c r="Q3" s="2"/>
      <c r="R3" s="2"/>
      <c r="S3" s="2"/>
      <c r="T3" s="2"/>
      <c r="U3" s="2"/>
      <c r="V3" s="2"/>
    </row>
    <row r="4" spans="1:22" ht="12.75" customHeight="1">
      <c r="A4"/>
      <c r="K4" s="6"/>
      <c r="L4" s="2"/>
      <c r="M4" s="2"/>
      <c r="N4" s="2"/>
      <c r="O4" s="8" t="s">
        <v>0</v>
      </c>
      <c r="P4" s="2"/>
      <c r="Q4" s="2"/>
      <c r="R4" s="2"/>
      <c r="S4" s="2"/>
      <c r="T4" s="2"/>
      <c r="U4" s="2"/>
      <c r="V4" s="2"/>
    </row>
    <row r="5" spans="1:22" ht="7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6"/>
      <c r="O5" s="6"/>
      <c r="P5" s="2"/>
      <c r="Q5" s="2"/>
      <c r="R5" s="2"/>
      <c r="S5" s="2"/>
      <c r="T5" s="2"/>
      <c r="U5" s="2"/>
      <c r="V5" s="2"/>
    </row>
    <row r="6" spans="1:22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74" t="s">
        <v>1</v>
      </c>
      <c r="L6" s="174"/>
      <c r="M6" s="174"/>
      <c r="N6" s="174"/>
      <c r="O6" s="174"/>
      <c r="P6" s="2"/>
      <c r="Q6" s="2"/>
      <c r="R6" s="2"/>
      <c r="S6" s="2"/>
      <c r="T6" s="2"/>
      <c r="U6" s="2"/>
      <c r="V6" s="2"/>
    </row>
    <row r="7" spans="1:22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1"/>
      <c r="N7" s="6"/>
      <c r="O7" s="12" t="s">
        <v>2</v>
      </c>
      <c r="P7" s="2"/>
      <c r="Q7" s="2"/>
      <c r="R7" s="2"/>
      <c r="S7" s="2"/>
      <c r="T7" s="2"/>
      <c r="U7" s="2"/>
      <c r="V7" s="2"/>
    </row>
    <row r="8" spans="1:22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M8" s="13"/>
      <c r="N8" s="13"/>
      <c r="O8" s="170" t="s">
        <v>3</v>
      </c>
      <c r="P8" s="2"/>
      <c r="Q8" s="2"/>
      <c r="R8" s="2"/>
      <c r="S8" s="2"/>
      <c r="T8" s="2"/>
      <c r="U8" s="2"/>
      <c r="V8" s="2"/>
    </row>
    <row r="9" spans="1:22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1"/>
      <c r="N9" s="6"/>
      <c r="O9" s="12" t="s">
        <v>4</v>
      </c>
      <c r="P9" s="2"/>
      <c r="Q9" s="2"/>
      <c r="R9" s="2"/>
      <c r="S9" s="2"/>
      <c r="T9" s="2"/>
      <c r="U9" s="2"/>
      <c r="V9" s="2"/>
    </row>
    <row r="10" spans="1:22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8" customFormat="1">
      <c r="A11" s="175" t="s">
        <v>7</v>
      </c>
      <c r="B11" s="176" t="s">
        <v>8</v>
      </c>
      <c r="C11" s="177" t="s">
        <v>9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22" s="20" customFormat="1" ht="12.75">
      <c r="A12" s="175"/>
      <c r="B12" s="176"/>
      <c r="C12" s="177"/>
      <c r="D12" s="171" t="s">
        <v>11</v>
      </c>
      <c r="E12" s="171" t="s">
        <v>12</v>
      </c>
      <c r="F12" s="171" t="s">
        <v>13</v>
      </c>
      <c r="G12" s="171" t="s">
        <v>14</v>
      </c>
      <c r="H12" s="171" t="s">
        <v>15</v>
      </c>
      <c r="I12" s="171" t="s">
        <v>16</v>
      </c>
      <c r="J12" s="171" t="s">
        <v>17</v>
      </c>
      <c r="K12" s="171" t="s">
        <v>18</v>
      </c>
      <c r="L12" s="171" t="s">
        <v>19</v>
      </c>
      <c r="M12" s="171" t="s">
        <v>20</v>
      </c>
      <c r="N12" s="171" t="s">
        <v>21</v>
      </c>
      <c r="O12" s="171" t="s">
        <v>22</v>
      </c>
    </row>
    <row r="13" spans="1:22" hidden="1">
      <c r="A13" s="21">
        <v>1131</v>
      </c>
      <c r="B13" s="22" t="s">
        <v>23</v>
      </c>
      <c r="C13" s="23">
        <f t="shared" ref="C13:C23" si="0">SUM(D13:O13)</f>
        <v>5157480.72</v>
      </c>
      <c r="D13" s="23">
        <f>5157480.72/12</f>
        <v>429790.06</v>
      </c>
      <c r="E13" s="23">
        <f t="shared" ref="E13:K13" si="1">5157480.72/12</f>
        <v>429790.06</v>
      </c>
      <c r="F13" s="23">
        <f t="shared" si="1"/>
        <v>429790.06</v>
      </c>
      <c r="G13" s="23">
        <f t="shared" si="1"/>
        <v>429790.06</v>
      </c>
      <c r="H13" s="23">
        <f t="shared" si="1"/>
        <v>429790.06</v>
      </c>
      <c r="I13" s="23">
        <f t="shared" si="1"/>
        <v>429790.06</v>
      </c>
      <c r="J13" s="23">
        <f t="shared" si="1"/>
        <v>429790.06</v>
      </c>
      <c r="K13" s="23">
        <f t="shared" si="1"/>
        <v>429790.06</v>
      </c>
      <c r="L13" s="23">
        <f>5157480.72/12-2821.32</f>
        <v>426968.74</v>
      </c>
      <c r="M13" s="23">
        <f>5157480.72/12+2821.32</f>
        <v>432611.38</v>
      </c>
      <c r="N13" s="23">
        <f>5157480.72/12+69010.48</f>
        <v>498800.54</v>
      </c>
      <c r="O13" s="23">
        <f>5157480.72/12-69010.48</f>
        <v>360779.58</v>
      </c>
    </row>
    <row r="14" spans="1:22" hidden="1">
      <c r="A14" s="21">
        <v>1321</v>
      </c>
      <c r="B14" s="22" t="s">
        <v>24</v>
      </c>
      <c r="C14" s="23">
        <f t="shared" si="0"/>
        <v>82377.899999999994</v>
      </c>
      <c r="D14" s="23">
        <v>39993.339999999997</v>
      </c>
      <c r="E14" s="23">
        <v>42384.56</v>
      </c>
      <c r="F14" s="23"/>
      <c r="G14" s="23">
        <v>0</v>
      </c>
      <c r="H14" s="23">
        <v>0</v>
      </c>
      <c r="I14" s="23">
        <v>0</v>
      </c>
      <c r="J14" s="23">
        <v>0</v>
      </c>
      <c r="K14" s="23"/>
      <c r="L14" s="23">
        <v>0</v>
      </c>
      <c r="M14" s="23">
        <v>0</v>
      </c>
      <c r="N14" s="23">
        <v>0</v>
      </c>
      <c r="O14" s="23">
        <v>0</v>
      </c>
    </row>
    <row r="15" spans="1:22" hidden="1">
      <c r="A15" s="21">
        <v>1322</v>
      </c>
      <c r="B15" s="22" t="s">
        <v>25</v>
      </c>
      <c r="C15" s="23">
        <f t="shared" si="0"/>
        <v>823790.03000000014</v>
      </c>
      <c r="D15" s="23">
        <v>0</v>
      </c>
      <c r="E15" s="23">
        <v>11890.39</v>
      </c>
      <c r="F15" s="23">
        <v>57716.46</v>
      </c>
      <c r="G15" s="23">
        <v>78637.7</v>
      </c>
      <c r="H15" s="23">
        <v>93759.42</v>
      </c>
      <c r="I15" s="23">
        <v>107200.91</v>
      </c>
      <c r="J15" s="23">
        <v>107200.91</v>
      </c>
      <c r="K15" s="23">
        <v>117282.07</v>
      </c>
      <c r="L15" s="23">
        <v>0</v>
      </c>
      <c r="M15" s="23">
        <v>148904.62</v>
      </c>
      <c r="N15" s="23">
        <v>101197.55</v>
      </c>
      <c r="O15" s="23"/>
    </row>
    <row r="16" spans="1:22" hidden="1">
      <c r="A16" s="21">
        <v>1411</v>
      </c>
      <c r="B16" s="22" t="s">
        <v>26</v>
      </c>
      <c r="C16" s="23">
        <f t="shared" si="0"/>
        <v>216990.73833333334</v>
      </c>
      <c r="D16" s="23">
        <f>216990.74/12</f>
        <v>18082.561666666665</v>
      </c>
      <c r="E16" s="23">
        <f t="shared" ref="E16:N16" si="2">216990.74/12</f>
        <v>18082.561666666665</v>
      </c>
      <c r="F16" s="23">
        <f t="shared" si="2"/>
        <v>18082.561666666665</v>
      </c>
      <c r="G16" s="23">
        <f t="shared" si="2"/>
        <v>18082.561666666665</v>
      </c>
      <c r="H16" s="23">
        <f t="shared" si="2"/>
        <v>18082.561666666665</v>
      </c>
      <c r="I16" s="23">
        <f t="shared" si="2"/>
        <v>18082.561666666665</v>
      </c>
      <c r="J16" s="23">
        <f t="shared" si="2"/>
        <v>18082.561666666665</v>
      </c>
      <c r="K16" s="23">
        <f t="shared" si="2"/>
        <v>18082.561666666665</v>
      </c>
      <c r="L16" s="23">
        <f t="shared" si="2"/>
        <v>18082.561666666665</v>
      </c>
      <c r="M16" s="23">
        <f t="shared" si="2"/>
        <v>18082.561666666665</v>
      </c>
      <c r="N16" s="23">
        <f t="shared" si="2"/>
        <v>18082.561666666665</v>
      </c>
      <c r="O16" s="23">
        <v>18082.560000000001</v>
      </c>
    </row>
    <row r="17" spans="1:15" hidden="1">
      <c r="A17" s="21">
        <v>1421</v>
      </c>
      <c r="B17" s="22" t="s">
        <v>27</v>
      </c>
      <c r="C17" s="23">
        <f t="shared" si="0"/>
        <v>172395.5</v>
      </c>
      <c r="D17" s="23">
        <f>172395.5/12</f>
        <v>14366.291666666666</v>
      </c>
      <c r="E17" s="23">
        <f t="shared" ref="E17:O17" si="3">172395.5/12</f>
        <v>14366.291666666666</v>
      </c>
      <c r="F17" s="23">
        <f t="shared" si="3"/>
        <v>14366.291666666666</v>
      </c>
      <c r="G17" s="23">
        <f t="shared" si="3"/>
        <v>14366.291666666666</v>
      </c>
      <c r="H17" s="23">
        <f t="shared" si="3"/>
        <v>14366.291666666666</v>
      </c>
      <c r="I17" s="23">
        <f t="shared" si="3"/>
        <v>14366.291666666666</v>
      </c>
      <c r="J17" s="23">
        <f t="shared" si="3"/>
        <v>14366.291666666666</v>
      </c>
      <c r="K17" s="23">
        <f t="shared" si="3"/>
        <v>14366.291666666666</v>
      </c>
      <c r="L17" s="23">
        <f t="shared" si="3"/>
        <v>14366.291666666666</v>
      </c>
      <c r="M17" s="23">
        <f t="shared" si="3"/>
        <v>14366.291666666666</v>
      </c>
      <c r="N17" s="23">
        <f t="shared" si="3"/>
        <v>14366.291666666666</v>
      </c>
      <c r="O17" s="23">
        <f t="shared" si="3"/>
        <v>14366.291666666666</v>
      </c>
    </row>
    <row r="18" spans="1:15" hidden="1">
      <c r="A18" s="21">
        <v>1431</v>
      </c>
      <c r="B18" s="22" t="s">
        <v>28</v>
      </c>
      <c r="C18" s="23">
        <f t="shared" si="0"/>
        <v>889697.5199999999</v>
      </c>
      <c r="D18" s="23">
        <f>889697.52/12</f>
        <v>74141.460000000006</v>
      </c>
      <c r="E18" s="23">
        <f t="shared" ref="E18:O18" si="4">889697.52/12</f>
        <v>74141.460000000006</v>
      </c>
      <c r="F18" s="23">
        <f t="shared" si="4"/>
        <v>74141.460000000006</v>
      </c>
      <c r="G18" s="23">
        <f t="shared" si="4"/>
        <v>74141.460000000006</v>
      </c>
      <c r="H18" s="23">
        <f t="shared" si="4"/>
        <v>74141.460000000006</v>
      </c>
      <c r="I18" s="23">
        <f t="shared" si="4"/>
        <v>74141.460000000006</v>
      </c>
      <c r="J18" s="23">
        <f t="shared" si="4"/>
        <v>74141.460000000006</v>
      </c>
      <c r="K18" s="23">
        <f t="shared" si="4"/>
        <v>74141.460000000006</v>
      </c>
      <c r="L18" s="23">
        <f t="shared" si="4"/>
        <v>74141.460000000006</v>
      </c>
      <c r="M18" s="23">
        <f t="shared" si="4"/>
        <v>74141.460000000006</v>
      </c>
      <c r="N18" s="23">
        <f t="shared" si="4"/>
        <v>74141.460000000006</v>
      </c>
      <c r="O18" s="23">
        <f t="shared" si="4"/>
        <v>74141.460000000006</v>
      </c>
    </row>
    <row r="19" spans="1:15" hidden="1">
      <c r="A19" s="21">
        <v>1432</v>
      </c>
      <c r="B19" s="24" t="s">
        <v>29</v>
      </c>
      <c r="C19" s="23">
        <f t="shared" si="0"/>
        <v>111828.71999999999</v>
      </c>
      <c r="D19" s="23">
        <f>111828.72/12</f>
        <v>9319.06</v>
      </c>
      <c r="E19" s="23">
        <f t="shared" ref="E19:O19" si="5">111828.72/12</f>
        <v>9319.06</v>
      </c>
      <c r="F19" s="23">
        <f t="shared" si="5"/>
        <v>9319.06</v>
      </c>
      <c r="G19" s="23">
        <f t="shared" si="5"/>
        <v>9319.06</v>
      </c>
      <c r="H19" s="23">
        <f t="shared" si="5"/>
        <v>9319.06</v>
      </c>
      <c r="I19" s="23">
        <f t="shared" si="5"/>
        <v>9319.06</v>
      </c>
      <c r="J19" s="23">
        <f t="shared" si="5"/>
        <v>9319.06</v>
      </c>
      <c r="K19" s="23">
        <f t="shared" si="5"/>
        <v>9319.06</v>
      </c>
      <c r="L19" s="23">
        <f t="shared" si="5"/>
        <v>9319.06</v>
      </c>
      <c r="M19" s="23">
        <f t="shared" si="5"/>
        <v>9319.06</v>
      </c>
      <c r="N19" s="23">
        <f t="shared" si="5"/>
        <v>9319.06</v>
      </c>
      <c r="O19" s="23">
        <f t="shared" si="5"/>
        <v>9319.06</v>
      </c>
    </row>
    <row r="20" spans="1:15" hidden="1">
      <c r="A20" s="21">
        <v>1611</v>
      </c>
      <c r="B20" s="22" t="s">
        <v>30</v>
      </c>
      <c r="C20" s="23">
        <f t="shared" si="0"/>
        <v>266020.37</v>
      </c>
      <c r="D20" s="23">
        <v>0</v>
      </c>
      <c r="E20" s="23">
        <v>0</v>
      </c>
      <c r="F20" s="23">
        <v>10000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256020.37</v>
      </c>
    </row>
    <row r="21" spans="1:15" hidden="1">
      <c r="A21" s="21">
        <v>1712</v>
      </c>
      <c r="B21" s="22" t="s">
        <v>31</v>
      </c>
      <c r="C21" s="23">
        <f t="shared" si="0"/>
        <v>316668</v>
      </c>
      <c r="D21" s="23">
        <f>316668/12</f>
        <v>26389</v>
      </c>
      <c r="E21" s="23">
        <f t="shared" ref="E21:O21" si="6">316668/12</f>
        <v>26389</v>
      </c>
      <c r="F21" s="23">
        <f t="shared" si="6"/>
        <v>26389</v>
      </c>
      <c r="G21" s="23">
        <f t="shared" si="6"/>
        <v>26389</v>
      </c>
      <c r="H21" s="23">
        <f t="shared" si="6"/>
        <v>26389</v>
      </c>
      <c r="I21" s="23">
        <f t="shared" si="6"/>
        <v>26389</v>
      </c>
      <c r="J21" s="23">
        <f t="shared" si="6"/>
        <v>26389</v>
      </c>
      <c r="K21" s="23">
        <f t="shared" si="6"/>
        <v>26389</v>
      </c>
      <c r="L21" s="23">
        <f t="shared" si="6"/>
        <v>26389</v>
      </c>
      <c r="M21" s="23">
        <f t="shared" si="6"/>
        <v>26389</v>
      </c>
      <c r="N21" s="23">
        <f t="shared" si="6"/>
        <v>26389</v>
      </c>
      <c r="O21" s="23">
        <f t="shared" si="6"/>
        <v>26389</v>
      </c>
    </row>
    <row r="22" spans="1:15" hidden="1">
      <c r="A22" s="21">
        <v>1713</v>
      </c>
      <c r="B22" s="22" t="s">
        <v>32</v>
      </c>
      <c r="C22" s="23">
        <f t="shared" si="0"/>
        <v>215871</v>
      </c>
      <c r="D22" s="23">
        <f>215871/12</f>
        <v>17989.25</v>
      </c>
      <c r="E22" s="23">
        <f t="shared" ref="E22:O22" si="7">215871/12</f>
        <v>17989.25</v>
      </c>
      <c r="F22" s="23">
        <f t="shared" si="7"/>
        <v>17989.25</v>
      </c>
      <c r="G22" s="23">
        <f t="shared" si="7"/>
        <v>17989.25</v>
      </c>
      <c r="H22" s="23">
        <f t="shared" si="7"/>
        <v>17989.25</v>
      </c>
      <c r="I22" s="23">
        <f t="shared" si="7"/>
        <v>17989.25</v>
      </c>
      <c r="J22" s="23">
        <f t="shared" si="7"/>
        <v>17989.25</v>
      </c>
      <c r="K22" s="23">
        <f t="shared" si="7"/>
        <v>17989.25</v>
      </c>
      <c r="L22" s="23">
        <f t="shared" si="7"/>
        <v>17989.25</v>
      </c>
      <c r="M22" s="23">
        <f t="shared" si="7"/>
        <v>17989.25</v>
      </c>
      <c r="N22" s="23">
        <f t="shared" si="7"/>
        <v>17989.25</v>
      </c>
      <c r="O22" s="23">
        <f t="shared" si="7"/>
        <v>17989.25</v>
      </c>
    </row>
    <row r="23" spans="1:15" hidden="1">
      <c r="A23" s="21">
        <v>1715</v>
      </c>
      <c r="B23" s="22" t="s">
        <v>33</v>
      </c>
      <c r="C23" s="23">
        <f t="shared" si="0"/>
        <v>147826.5</v>
      </c>
      <c r="D23" s="23"/>
      <c r="E23" s="23"/>
      <c r="F23" s="23"/>
      <c r="G23" s="23"/>
      <c r="H23" s="23"/>
      <c r="I23" s="23"/>
      <c r="J23" s="23"/>
      <c r="K23" s="23"/>
      <c r="L23" s="23">
        <v>147826.5</v>
      </c>
      <c r="M23" s="23"/>
      <c r="N23" s="23"/>
      <c r="O23" s="23"/>
    </row>
    <row r="24" spans="1:15" s="28" customFormat="1" ht="12.75">
      <c r="A24" s="25"/>
      <c r="B24" s="26" t="s">
        <v>34</v>
      </c>
      <c r="C24" s="27">
        <f>SUM(C13:C23)</f>
        <v>8400946.9983333331</v>
      </c>
      <c r="D24" s="172">
        <v>700078.92</v>
      </c>
      <c r="E24" s="172">
        <v>700078.92</v>
      </c>
      <c r="F24" s="172">
        <v>700078.92</v>
      </c>
      <c r="G24" s="172">
        <v>700078.92</v>
      </c>
      <c r="H24" s="172">
        <v>700078.92</v>
      </c>
      <c r="I24" s="172">
        <v>700078.92</v>
      </c>
      <c r="J24" s="172">
        <v>700078.92</v>
      </c>
      <c r="K24" s="172">
        <v>700078.92</v>
      </c>
      <c r="L24" s="172">
        <v>700078.92</v>
      </c>
      <c r="M24" s="172">
        <v>700078.92</v>
      </c>
      <c r="N24" s="172">
        <v>700078.92</v>
      </c>
      <c r="O24" s="172">
        <v>700078.92</v>
      </c>
    </row>
    <row r="25" spans="1:15" hidden="1">
      <c r="A25" s="29">
        <v>2111</v>
      </c>
      <c r="B25" s="22" t="s">
        <v>35</v>
      </c>
      <c r="C25" s="30">
        <f t="shared" ref="C25:C39" si="8">SUM(D25:O25)</f>
        <v>39999.99</v>
      </c>
      <c r="D25" s="23">
        <f>40000/12</f>
        <v>3333.3333333333335</v>
      </c>
      <c r="E25" s="23">
        <f>40000/12-2791.01</f>
        <v>542.32333333333327</v>
      </c>
      <c r="F25" s="23">
        <f>40000/12+2791.01</f>
        <v>6124.3433333333342</v>
      </c>
      <c r="G25" s="23"/>
      <c r="H25" s="23"/>
      <c r="I25" s="23">
        <f>40000/12</f>
        <v>3333.3333333333335</v>
      </c>
      <c r="J25" s="23"/>
      <c r="K25" s="23">
        <f>40000/12</f>
        <v>3333.3333333333335</v>
      </c>
      <c r="L25" s="23">
        <f>40000/12+9999.99-10716.99</f>
        <v>2616.3333333333339</v>
      </c>
      <c r="M25" s="23">
        <f>40000/12+10716.99-7644.64</f>
        <v>6405.6833333333334</v>
      </c>
      <c r="N25" s="23">
        <f>40000/12+7644.64-4056.69</f>
        <v>6921.2833333333328</v>
      </c>
      <c r="O25" s="23">
        <f>40000/12+4056.69</f>
        <v>7390.0233333333335</v>
      </c>
    </row>
    <row r="26" spans="1:15" hidden="1">
      <c r="A26" s="29">
        <v>2121</v>
      </c>
      <c r="B26" s="22" t="s">
        <v>36</v>
      </c>
      <c r="C26" s="30">
        <f t="shared" si="8"/>
        <v>15000.000000000002</v>
      </c>
      <c r="D26" s="31"/>
      <c r="E26" s="31">
        <f>1250+1250</f>
        <v>2500</v>
      </c>
      <c r="F26" s="31">
        <v>1250</v>
      </c>
      <c r="G26" s="31"/>
      <c r="H26" s="31"/>
      <c r="I26" s="23">
        <f>1250+1824.02</f>
        <v>3074.02</v>
      </c>
      <c r="J26" s="23"/>
      <c r="K26" s="23">
        <f>1250+2111.45</f>
        <v>3361.45</v>
      </c>
      <c r="L26" s="23">
        <f>1250+1925.98-2111.45</f>
        <v>1064.5300000000002</v>
      </c>
      <c r="M26" s="31">
        <v>1250</v>
      </c>
      <c r="N26" s="31">
        <v>1250</v>
      </c>
      <c r="O26" s="31">
        <v>1250</v>
      </c>
    </row>
    <row r="27" spans="1:15" hidden="1">
      <c r="A27" s="29">
        <v>2131</v>
      </c>
      <c r="B27" s="22" t="s">
        <v>239</v>
      </c>
      <c r="C27" s="30">
        <f t="shared" si="8"/>
        <v>600</v>
      </c>
      <c r="D27" s="31">
        <v>600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idden="1">
      <c r="A28" s="29">
        <v>2141</v>
      </c>
      <c r="B28" s="22" t="s">
        <v>37</v>
      </c>
      <c r="C28" s="30">
        <f t="shared" si="8"/>
        <v>26000.006666666679</v>
      </c>
      <c r="D28" s="23">
        <f>166.66666666667+105.29</f>
        <v>271.95666666667</v>
      </c>
      <c r="E28" s="23">
        <f>4166.66666666667-105.29</f>
        <v>4061.3766666666697</v>
      </c>
      <c r="F28" s="23">
        <v>2166.6666666666665</v>
      </c>
      <c r="G28" s="23"/>
      <c r="H28" s="23"/>
      <c r="I28" s="23">
        <v>2166.6666666666665</v>
      </c>
      <c r="J28" s="23">
        <f>2166.66666666667+4333.34</f>
        <v>6500.0066666666698</v>
      </c>
      <c r="K28" s="23">
        <v>2166.6666666666665</v>
      </c>
      <c r="L28" s="23">
        <v>2166.6666666666665</v>
      </c>
      <c r="M28" s="23">
        <v>2166.6666666666665</v>
      </c>
      <c r="N28" s="23">
        <v>2166.6666666666665</v>
      </c>
      <c r="O28" s="23">
        <v>2166.6666666666665</v>
      </c>
    </row>
    <row r="29" spans="1:15" hidden="1">
      <c r="A29" s="29">
        <v>2151</v>
      </c>
      <c r="B29" s="24" t="s">
        <v>38</v>
      </c>
      <c r="C29" s="30">
        <f t="shared" si="8"/>
        <v>48263</v>
      </c>
      <c r="D29" s="23">
        <v>2355.25</v>
      </c>
      <c r="E29" s="23">
        <v>2355.25</v>
      </c>
      <c r="F29" s="23">
        <f>2355.25+20000-17478.99</f>
        <v>4876.2599999999984</v>
      </c>
      <c r="G29" s="23">
        <f>2355.25+17478.99-3512.29</f>
        <v>16321.95</v>
      </c>
      <c r="H29" s="23"/>
      <c r="I29" s="23">
        <v>2355.25</v>
      </c>
      <c r="J29" s="23">
        <f>2355.25+5867.54</f>
        <v>8222.7900000000009</v>
      </c>
      <c r="K29" s="23">
        <v>2355.25</v>
      </c>
      <c r="L29" s="23">
        <v>2355.25</v>
      </c>
      <c r="M29" s="23">
        <v>2355.25</v>
      </c>
      <c r="N29" s="23">
        <v>2355.25</v>
      </c>
      <c r="O29" s="23">
        <v>2355.25</v>
      </c>
    </row>
    <row r="30" spans="1:15" hidden="1">
      <c r="A30" s="29">
        <v>2161</v>
      </c>
      <c r="B30" s="22" t="s">
        <v>39</v>
      </c>
      <c r="C30" s="30">
        <f t="shared" si="8"/>
        <v>12999.999999999998</v>
      </c>
      <c r="D30" s="23">
        <v>1083.3399999999999</v>
      </c>
      <c r="E30" s="23">
        <v>1083.3399999999999</v>
      </c>
      <c r="F30" s="23">
        <v>1083.3399999999999</v>
      </c>
      <c r="G30" s="23"/>
      <c r="H30" s="23">
        <f>1083.33+1083.34-6.2</f>
        <v>2160.4700000000003</v>
      </c>
      <c r="I30" s="23">
        <f>1083.33+6.2</f>
        <v>1089.53</v>
      </c>
      <c r="J30" s="23"/>
      <c r="K30" s="23">
        <v>1083.33</v>
      </c>
      <c r="L30" s="23">
        <f>1083.33+1083.33</f>
        <v>2166.66</v>
      </c>
      <c r="M30" s="23">
        <v>1083.33</v>
      </c>
      <c r="N30" s="23">
        <v>1083.33</v>
      </c>
      <c r="O30" s="23">
        <v>1083.33</v>
      </c>
    </row>
    <row r="31" spans="1:15" hidden="1">
      <c r="A31" s="29">
        <v>2214</v>
      </c>
      <c r="B31" s="22" t="s">
        <v>40</v>
      </c>
      <c r="C31" s="30">
        <f t="shared" si="8"/>
        <v>55000.000000000015</v>
      </c>
      <c r="D31" s="23">
        <v>4583.34</v>
      </c>
      <c r="E31" s="23">
        <v>4583.34</v>
      </c>
      <c r="F31" s="23"/>
      <c r="G31" s="23">
        <v>2000</v>
      </c>
      <c r="H31" s="23">
        <f>4583.33+6166.68+1000</f>
        <v>11750.01</v>
      </c>
      <c r="I31" s="23">
        <v>4583.33</v>
      </c>
      <c r="J31" s="23">
        <f>4583.33-562.33</f>
        <v>4021</v>
      </c>
      <c r="K31" s="23">
        <v>4583.33</v>
      </c>
      <c r="L31" s="23">
        <f>4583.33+562.33</f>
        <v>5145.66</v>
      </c>
      <c r="M31" s="23">
        <v>4583.33</v>
      </c>
      <c r="N31" s="23">
        <v>4583.33</v>
      </c>
      <c r="O31" s="23">
        <v>4583.33</v>
      </c>
    </row>
    <row r="32" spans="1:15" hidden="1">
      <c r="A32" s="29">
        <v>2231</v>
      </c>
      <c r="B32" s="22" t="s">
        <v>41</v>
      </c>
      <c r="C32" s="30">
        <f t="shared" si="8"/>
        <v>1000</v>
      </c>
      <c r="D32" s="23">
        <v>1000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idden="1">
      <c r="A33" s="29">
        <v>2461</v>
      </c>
      <c r="B33" s="24" t="s">
        <v>42</v>
      </c>
      <c r="C33" s="30">
        <f t="shared" si="8"/>
        <v>2499.9966666666664</v>
      </c>
      <c r="D33" s="23">
        <v>208.33333333333334</v>
      </c>
      <c r="E33" s="23">
        <v>208.33333333333334</v>
      </c>
      <c r="F33" s="23">
        <v>208.33333333333334</v>
      </c>
      <c r="G33" s="23"/>
      <c r="H33" s="23">
        <f>208.333333333333+208.33</f>
        <v>416.66333333333301</v>
      </c>
      <c r="I33" s="23">
        <v>208.33333333333334</v>
      </c>
      <c r="J33" s="23">
        <v>208.33333333333334</v>
      </c>
      <c r="K33" s="23">
        <v>208.33333333333334</v>
      </c>
      <c r="L33" s="23">
        <v>208.33333333333334</v>
      </c>
      <c r="M33" s="23">
        <v>208.33333333333334</v>
      </c>
      <c r="N33" s="23">
        <v>208.33333333333334</v>
      </c>
      <c r="O33" s="23">
        <v>208.33333333333334</v>
      </c>
    </row>
    <row r="34" spans="1:15" hidden="1">
      <c r="A34" s="29">
        <v>2491</v>
      </c>
      <c r="B34" s="24" t="s">
        <v>43</v>
      </c>
      <c r="C34" s="30">
        <f t="shared" si="8"/>
        <v>2000.003333333334</v>
      </c>
      <c r="D34" s="23">
        <v>166.66666666666666</v>
      </c>
      <c r="E34" s="23">
        <v>166.66666666666666</v>
      </c>
      <c r="F34" s="23">
        <v>166.66666666666666</v>
      </c>
      <c r="G34" s="23"/>
      <c r="H34" s="23">
        <f>166.666666666667+166.67</f>
        <v>333.33666666666699</v>
      </c>
      <c r="I34" s="23">
        <v>166.66666666666666</v>
      </c>
      <c r="J34" s="23">
        <v>166.66666666666666</v>
      </c>
      <c r="K34" s="23">
        <v>166.66666666666666</v>
      </c>
      <c r="L34" s="23">
        <v>166.66666666666666</v>
      </c>
      <c r="M34" s="23">
        <v>166.66666666666666</v>
      </c>
      <c r="N34" s="23">
        <v>166.66666666666666</v>
      </c>
      <c r="O34" s="23">
        <v>166.66666666666666</v>
      </c>
    </row>
    <row r="35" spans="1:15" hidden="1">
      <c r="A35" s="29">
        <v>2521</v>
      </c>
      <c r="B35" s="24" t="s">
        <v>44</v>
      </c>
      <c r="C35" s="30">
        <f t="shared" si="8"/>
        <v>500</v>
      </c>
      <c r="D35" s="23">
        <v>500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idden="1">
      <c r="A36" s="29">
        <v>2531</v>
      </c>
      <c r="B36" s="22" t="s">
        <v>45</v>
      </c>
      <c r="C36" s="30">
        <f t="shared" si="8"/>
        <v>1000</v>
      </c>
      <c r="D36" s="23">
        <v>1000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idden="1">
      <c r="A37" s="29">
        <v>2611</v>
      </c>
      <c r="B37" s="24" t="s">
        <v>46</v>
      </c>
      <c r="C37" s="30">
        <f t="shared" si="8"/>
        <v>20000</v>
      </c>
      <c r="D37" s="23">
        <v>1666.67</v>
      </c>
      <c r="E37" s="23">
        <v>1666.67</v>
      </c>
      <c r="F37" s="23">
        <v>1666.67</v>
      </c>
      <c r="G37" s="23"/>
      <c r="H37" s="23">
        <f>1666.67+1666.67</f>
        <v>3333.34</v>
      </c>
      <c r="I37" s="23">
        <v>1666.67</v>
      </c>
      <c r="J37" s="23"/>
      <c r="K37" s="23">
        <v>1666.67</v>
      </c>
      <c r="L37" s="23">
        <f>1666.66+1666.67</f>
        <v>3333.33</v>
      </c>
      <c r="M37" s="23">
        <v>1666.66</v>
      </c>
      <c r="N37" s="23">
        <v>1666.66</v>
      </c>
      <c r="O37" s="23">
        <v>1666.66</v>
      </c>
    </row>
    <row r="38" spans="1:15" hidden="1">
      <c r="A38" s="29">
        <v>2911</v>
      </c>
      <c r="B38" s="24" t="s">
        <v>47</v>
      </c>
      <c r="C38" s="30">
        <f t="shared" si="8"/>
        <v>5500</v>
      </c>
      <c r="D38" s="31">
        <v>475</v>
      </c>
      <c r="E38" s="31">
        <v>475</v>
      </c>
      <c r="F38" s="31">
        <v>475</v>
      </c>
      <c r="G38" s="31"/>
      <c r="H38" s="31">
        <f>475+275</f>
        <v>750</v>
      </c>
      <c r="I38" s="31">
        <v>475</v>
      </c>
      <c r="J38" s="31"/>
      <c r="K38" s="31">
        <v>475</v>
      </c>
      <c r="L38" s="31">
        <f>475+475</f>
        <v>950</v>
      </c>
      <c r="M38" s="31">
        <v>475</v>
      </c>
      <c r="N38" s="31">
        <v>475</v>
      </c>
      <c r="O38" s="31">
        <v>475</v>
      </c>
    </row>
    <row r="39" spans="1:15" hidden="1">
      <c r="A39" s="29">
        <v>2941</v>
      </c>
      <c r="B39" s="32" t="s">
        <v>48</v>
      </c>
      <c r="C39" s="30">
        <f t="shared" si="8"/>
        <v>3999.9999999999995</v>
      </c>
      <c r="D39" s="23">
        <v>333.34</v>
      </c>
      <c r="E39" s="23">
        <v>333.34</v>
      </c>
      <c r="F39" s="23">
        <v>333.34</v>
      </c>
      <c r="G39" s="23">
        <v>333.34</v>
      </c>
      <c r="H39" s="23">
        <v>333.33</v>
      </c>
      <c r="I39" s="23">
        <v>333.33</v>
      </c>
      <c r="J39" s="23">
        <v>333.33</v>
      </c>
      <c r="K39" s="23">
        <v>333.33</v>
      </c>
      <c r="L39" s="23">
        <v>333.33</v>
      </c>
      <c r="M39" s="23">
        <v>333.33</v>
      </c>
      <c r="N39" s="23">
        <v>333.33</v>
      </c>
      <c r="O39" s="23">
        <v>333.33</v>
      </c>
    </row>
    <row r="40" spans="1:15" s="28" customFormat="1" ht="12.75">
      <c r="A40" s="25"/>
      <c r="B40" s="26" t="s">
        <v>49</v>
      </c>
      <c r="C40" s="27">
        <f>SUM(D40:O40)</f>
        <v>144900</v>
      </c>
      <c r="D40" s="172">
        <f>144900/12</f>
        <v>12075</v>
      </c>
      <c r="E40" s="172">
        <f t="shared" ref="E40:O40" si="9">144900/12</f>
        <v>12075</v>
      </c>
      <c r="F40" s="172">
        <f t="shared" si="9"/>
        <v>12075</v>
      </c>
      <c r="G40" s="172">
        <f t="shared" si="9"/>
        <v>12075</v>
      </c>
      <c r="H40" s="172">
        <f t="shared" si="9"/>
        <v>12075</v>
      </c>
      <c r="I40" s="172">
        <f t="shared" si="9"/>
        <v>12075</v>
      </c>
      <c r="J40" s="172">
        <f t="shared" si="9"/>
        <v>12075</v>
      </c>
      <c r="K40" s="172">
        <f t="shared" si="9"/>
        <v>12075</v>
      </c>
      <c r="L40" s="172">
        <f t="shared" si="9"/>
        <v>12075</v>
      </c>
      <c r="M40" s="172">
        <f t="shared" si="9"/>
        <v>12075</v>
      </c>
      <c r="N40" s="172">
        <f t="shared" si="9"/>
        <v>12075</v>
      </c>
      <c r="O40" s="172">
        <f t="shared" si="9"/>
        <v>12075</v>
      </c>
    </row>
    <row r="41" spans="1:15" hidden="1">
      <c r="A41" s="166">
        <v>3111</v>
      </c>
      <c r="B41" s="22" t="s">
        <v>50</v>
      </c>
      <c r="C41" s="34">
        <f>SUM(D41:O41)</f>
        <v>42600</v>
      </c>
      <c r="D41" s="23">
        <v>4392</v>
      </c>
      <c r="E41" s="23"/>
      <c r="F41" s="23">
        <v>8000</v>
      </c>
      <c r="G41" s="23"/>
      <c r="H41" s="23">
        <f>7100+10808-9000</f>
        <v>8908</v>
      </c>
      <c r="I41" s="23"/>
      <c r="J41" s="23">
        <v>7100</v>
      </c>
      <c r="K41" s="23"/>
      <c r="L41" s="23">
        <v>7100</v>
      </c>
      <c r="M41" s="23"/>
      <c r="N41" s="23">
        <v>7100</v>
      </c>
      <c r="O41" s="23"/>
    </row>
    <row r="42" spans="1:15" hidden="1">
      <c r="A42" s="166">
        <v>3131</v>
      </c>
      <c r="B42" s="22" t="s">
        <v>51</v>
      </c>
      <c r="C42" s="34">
        <f>SUM(D42:O42)</f>
        <v>3891</v>
      </c>
      <c r="D42" s="23">
        <v>3891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idden="1">
      <c r="A43" s="33">
        <v>3141</v>
      </c>
      <c r="B43" s="24" t="s">
        <v>52</v>
      </c>
      <c r="C43" s="34">
        <f>SUM(D43:O43)</f>
        <v>12000</v>
      </c>
      <c r="D43" s="23">
        <v>892.72</v>
      </c>
      <c r="E43" s="23">
        <f>1000+107.28</f>
        <v>1107.28</v>
      </c>
      <c r="F43" s="23">
        <v>1000</v>
      </c>
      <c r="G43" s="23">
        <v>600</v>
      </c>
      <c r="H43" s="23">
        <v>1000</v>
      </c>
      <c r="I43" s="23">
        <v>400</v>
      </c>
      <c r="J43" s="23">
        <v>1000</v>
      </c>
      <c r="K43" s="23">
        <v>1000</v>
      </c>
      <c r="L43" s="23">
        <v>1000</v>
      </c>
      <c r="M43" s="23">
        <v>1000</v>
      </c>
      <c r="N43" s="23">
        <v>2000</v>
      </c>
      <c r="O43" s="23">
        <v>1000</v>
      </c>
    </row>
    <row r="44" spans="1:15" hidden="1">
      <c r="A44" s="166">
        <v>3151</v>
      </c>
      <c r="B44" s="24" t="s">
        <v>53</v>
      </c>
      <c r="C44" s="34">
        <f>SUM(D44:O44)</f>
        <v>2860</v>
      </c>
      <c r="D44" s="23">
        <v>220</v>
      </c>
      <c r="E44" s="23">
        <v>220</v>
      </c>
      <c r="F44" s="23">
        <v>220</v>
      </c>
      <c r="G44" s="23">
        <v>220</v>
      </c>
      <c r="H44" s="23">
        <v>220</v>
      </c>
      <c r="I44" s="23">
        <v>220</v>
      </c>
      <c r="J44" s="23">
        <v>220</v>
      </c>
      <c r="K44" s="23">
        <v>220</v>
      </c>
      <c r="L44" s="23">
        <v>220</v>
      </c>
      <c r="M44" s="23">
        <v>220</v>
      </c>
      <c r="N44" s="23">
        <v>220</v>
      </c>
      <c r="O44" s="23">
        <v>440</v>
      </c>
    </row>
    <row r="45" spans="1:15" hidden="1">
      <c r="A45" s="33">
        <v>3171</v>
      </c>
      <c r="B45" s="24" t="s">
        <v>54</v>
      </c>
      <c r="C45" s="34">
        <f t="shared" ref="C45:C65" si="10">SUM(D45:O45)</f>
        <v>12987.360000000002</v>
      </c>
      <c r="D45" s="23">
        <v>1082.28</v>
      </c>
      <c r="E45" s="23">
        <v>1082.28</v>
      </c>
      <c r="F45" s="23">
        <v>1082.28</v>
      </c>
      <c r="G45" s="23">
        <v>1082.28</v>
      </c>
      <c r="H45" s="23">
        <v>1082.28</v>
      </c>
      <c r="I45" s="23">
        <v>1082.28</v>
      </c>
      <c r="J45" s="23">
        <v>1082.28</v>
      </c>
      <c r="K45" s="23">
        <v>1082.28</v>
      </c>
      <c r="L45" s="23">
        <v>1082.28</v>
      </c>
      <c r="M45" s="23">
        <v>1082.28</v>
      </c>
      <c r="N45" s="23">
        <v>1082.28</v>
      </c>
      <c r="O45" s="23">
        <v>1082.28</v>
      </c>
    </row>
    <row r="46" spans="1:15" hidden="1">
      <c r="A46" s="33">
        <v>3181</v>
      </c>
      <c r="B46" s="24" t="s">
        <v>55</v>
      </c>
      <c r="C46" s="34">
        <f t="shared" si="10"/>
        <v>7200</v>
      </c>
      <c r="D46" s="23">
        <v>300</v>
      </c>
      <c r="E46" s="23">
        <v>300</v>
      </c>
      <c r="F46" s="23">
        <v>300</v>
      </c>
      <c r="G46" s="23">
        <v>500</v>
      </c>
      <c r="H46" s="23">
        <v>1600</v>
      </c>
      <c r="I46" s="23">
        <v>600</v>
      </c>
      <c r="J46" s="23">
        <v>600</v>
      </c>
      <c r="K46" s="23">
        <v>600</v>
      </c>
      <c r="L46" s="23">
        <v>600</v>
      </c>
      <c r="M46" s="23">
        <v>600</v>
      </c>
      <c r="N46" s="23">
        <v>600</v>
      </c>
      <c r="O46" s="23">
        <v>600</v>
      </c>
    </row>
    <row r="47" spans="1:15" hidden="1">
      <c r="A47" s="166">
        <v>3221</v>
      </c>
      <c r="B47" s="22" t="s">
        <v>56</v>
      </c>
      <c r="C47" s="34">
        <f t="shared" si="10"/>
        <v>412278.36</v>
      </c>
      <c r="D47" s="23">
        <v>34356.53</v>
      </c>
      <c r="E47" s="23">
        <v>34356.53</v>
      </c>
      <c r="F47" s="23">
        <v>34356.53</v>
      </c>
      <c r="G47" s="23"/>
      <c r="H47" s="23"/>
      <c r="I47" s="23">
        <v>394.21</v>
      </c>
      <c r="J47" s="23">
        <f>34356.53+34356.53-394.21-30011.29</f>
        <v>38307.55999999999</v>
      </c>
      <c r="K47" s="23">
        <f>34356.53+68713.06+30011.29-82259.02</f>
        <v>50821.86</v>
      </c>
      <c r="L47" s="23">
        <f>34356.53+82219.02-69881.04</f>
        <v>46694.510000000009</v>
      </c>
      <c r="M47" s="23">
        <f>34356.53+69881.04-47722.42</f>
        <v>56515.149999999994</v>
      </c>
      <c r="N47" s="23">
        <f>34356.53+47722.42+40-29222.03</f>
        <v>52896.92</v>
      </c>
      <c r="O47" s="23">
        <f>34356.53+29222.03</f>
        <v>63578.559999999998</v>
      </c>
    </row>
    <row r="48" spans="1:15" hidden="1">
      <c r="A48" s="33">
        <v>3311</v>
      </c>
      <c r="B48" s="24" t="s">
        <v>57</v>
      </c>
      <c r="C48" s="34">
        <f t="shared" si="10"/>
        <v>40000</v>
      </c>
      <c r="D48" s="23"/>
      <c r="E48" s="23"/>
      <c r="F48" s="23"/>
      <c r="G48" s="23"/>
      <c r="H48" s="23">
        <v>40000</v>
      </c>
      <c r="I48" s="23"/>
      <c r="J48" s="23"/>
      <c r="K48" s="23"/>
      <c r="L48" s="23"/>
      <c r="M48" s="23"/>
      <c r="N48" s="23"/>
      <c r="O48" s="23"/>
    </row>
    <row r="49" spans="1:15" hidden="1">
      <c r="A49" s="33">
        <v>3361</v>
      </c>
      <c r="B49" s="24" t="s">
        <v>58</v>
      </c>
      <c r="C49" s="34">
        <f t="shared" si="10"/>
        <v>6999.993333333332</v>
      </c>
      <c r="D49" s="23">
        <v>583.33333333333337</v>
      </c>
      <c r="E49" s="23">
        <v>583.33333333333337</v>
      </c>
      <c r="F49" s="23"/>
      <c r="G49" s="23"/>
      <c r="H49" s="23">
        <v>583.33333333333337</v>
      </c>
      <c r="I49" s="23">
        <f>583.333333333333+1166.66</f>
        <v>1749.9933333333331</v>
      </c>
      <c r="J49" s="23">
        <v>583.33333333333337</v>
      </c>
      <c r="K49" s="23">
        <v>583.33333333333337</v>
      </c>
      <c r="L49" s="23">
        <v>583.33333333333337</v>
      </c>
      <c r="M49" s="23">
        <v>583.33333333333337</v>
      </c>
      <c r="N49" s="23">
        <v>583.33333333333337</v>
      </c>
      <c r="O49" s="23">
        <v>583.33333333333337</v>
      </c>
    </row>
    <row r="50" spans="1:15" hidden="1">
      <c r="A50" s="33">
        <v>3362</v>
      </c>
      <c r="B50" s="22" t="s">
        <v>59</v>
      </c>
      <c r="C50" s="34">
        <f t="shared" si="10"/>
        <v>18000</v>
      </c>
      <c r="D50" s="23"/>
      <c r="E50" s="23"/>
      <c r="F50" s="23"/>
      <c r="G50" s="23"/>
      <c r="H50" s="23"/>
      <c r="I50" s="23">
        <v>9000</v>
      </c>
      <c r="J50" s="23">
        <v>1500</v>
      </c>
      <c r="K50" s="23">
        <v>1500</v>
      </c>
      <c r="L50" s="23">
        <v>1500</v>
      </c>
      <c r="M50" s="23">
        <v>1500</v>
      </c>
      <c r="N50" s="23">
        <v>1500</v>
      </c>
      <c r="O50" s="23">
        <v>1500</v>
      </c>
    </row>
    <row r="51" spans="1:15" hidden="1">
      <c r="A51" s="33">
        <v>3381</v>
      </c>
      <c r="B51" s="22" t="s">
        <v>60</v>
      </c>
      <c r="C51" s="34">
        <f t="shared" si="10"/>
        <v>4000</v>
      </c>
      <c r="D51" s="23">
        <v>1000</v>
      </c>
      <c r="E51" s="23"/>
      <c r="F51" s="23"/>
      <c r="G51" s="23">
        <v>1000</v>
      </c>
      <c r="H51" s="23">
        <v>0</v>
      </c>
      <c r="I51" s="23"/>
      <c r="J51" s="23">
        <v>1000</v>
      </c>
      <c r="K51" s="23"/>
      <c r="L51" s="23"/>
      <c r="M51" s="23">
        <v>1000</v>
      </c>
      <c r="N51" s="23"/>
      <c r="O51" s="23"/>
    </row>
    <row r="52" spans="1:15" hidden="1">
      <c r="A52" s="33">
        <v>3411</v>
      </c>
      <c r="B52" s="24" t="s">
        <v>61</v>
      </c>
      <c r="C52" s="34">
        <f t="shared" si="10"/>
        <v>6000</v>
      </c>
      <c r="D52" s="31">
        <v>1000</v>
      </c>
      <c r="E52" s="31"/>
      <c r="F52" s="31"/>
      <c r="G52" s="31">
        <v>500</v>
      </c>
      <c r="H52" s="31"/>
      <c r="I52" s="31">
        <v>1500</v>
      </c>
      <c r="J52" s="31">
        <v>500</v>
      </c>
      <c r="K52" s="31">
        <v>500</v>
      </c>
      <c r="L52" s="31">
        <v>500</v>
      </c>
      <c r="M52" s="31">
        <v>500</v>
      </c>
      <c r="N52" s="31">
        <v>500</v>
      </c>
      <c r="O52" s="31">
        <v>500</v>
      </c>
    </row>
    <row r="53" spans="1:15" hidden="1">
      <c r="A53" s="33">
        <v>3451</v>
      </c>
      <c r="B53" s="24" t="s">
        <v>62</v>
      </c>
      <c r="C53" s="34">
        <f t="shared" si="10"/>
        <v>25000</v>
      </c>
      <c r="D53" s="23">
        <f>25000-21984.36</f>
        <v>3015.6399999999994</v>
      </c>
      <c r="E53" s="23"/>
      <c r="F53" s="23">
        <f>21984.36-3250.45</f>
        <v>18733.91</v>
      </c>
      <c r="G53" s="23">
        <v>3250.45</v>
      </c>
      <c r="H53" s="23"/>
      <c r="I53" s="23"/>
      <c r="J53" s="23"/>
      <c r="K53" s="23"/>
      <c r="L53" s="23"/>
      <c r="M53" s="23"/>
      <c r="N53" s="23"/>
      <c r="O53" s="23"/>
    </row>
    <row r="54" spans="1:15" hidden="1">
      <c r="A54" s="33">
        <v>3512</v>
      </c>
      <c r="B54" s="24" t="s">
        <v>63</v>
      </c>
      <c r="C54" s="35">
        <f t="shared" si="10"/>
        <v>10000</v>
      </c>
      <c r="D54" s="23">
        <v>833.34</v>
      </c>
      <c r="E54" s="23">
        <v>833.33</v>
      </c>
      <c r="F54" s="23"/>
      <c r="G54" s="23"/>
      <c r="H54" s="23"/>
      <c r="I54" s="23">
        <f>833.33+1666.69</f>
        <v>2500.02</v>
      </c>
      <c r="J54" s="23">
        <f>833.33+833.33</f>
        <v>1666.66</v>
      </c>
      <c r="K54" s="23">
        <v>833.33</v>
      </c>
      <c r="L54" s="23">
        <v>833.33</v>
      </c>
      <c r="M54" s="23">
        <v>833.33</v>
      </c>
      <c r="N54" s="23">
        <v>833.33</v>
      </c>
      <c r="O54" s="23">
        <v>833.33</v>
      </c>
    </row>
    <row r="55" spans="1:15" ht="12" hidden="1" customHeight="1">
      <c r="A55" s="33">
        <v>3521</v>
      </c>
      <c r="B55" s="24" t="s">
        <v>64</v>
      </c>
      <c r="C55" s="34">
        <f t="shared" si="10"/>
        <v>7000</v>
      </c>
      <c r="D55" s="31">
        <v>1000</v>
      </c>
      <c r="E55" s="31">
        <v>1000</v>
      </c>
      <c r="F55" s="31"/>
      <c r="G55" s="31"/>
      <c r="H55" s="31"/>
      <c r="I55" s="31">
        <v>500</v>
      </c>
      <c r="J55" s="31">
        <v>2000</v>
      </c>
      <c r="K55" s="31">
        <v>500</v>
      </c>
      <c r="L55" s="31">
        <v>500</v>
      </c>
      <c r="M55" s="31">
        <v>500</v>
      </c>
      <c r="N55" s="31">
        <v>1000</v>
      </c>
      <c r="O55" s="31"/>
    </row>
    <row r="56" spans="1:15" hidden="1">
      <c r="A56" s="33">
        <v>3531</v>
      </c>
      <c r="B56" s="24" t="s">
        <v>65</v>
      </c>
      <c r="C56" s="34">
        <f t="shared" si="10"/>
        <v>25000</v>
      </c>
      <c r="D56" s="23">
        <v>2500</v>
      </c>
      <c r="E56" s="23"/>
      <c r="F56" s="23"/>
      <c r="G56" s="23"/>
      <c r="H56" s="23"/>
      <c r="I56" s="23">
        <v>10500</v>
      </c>
      <c r="J56" s="23">
        <v>2000</v>
      </c>
      <c r="K56" s="23">
        <v>2000</v>
      </c>
      <c r="L56" s="23">
        <v>2000</v>
      </c>
      <c r="M56" s="23">
        <v>2000</v>
      </c>
      <c r="N56" s="23">
        <v>2000</v>
      </c>
      <c r="O56" s="23">
        <v>2000</v>
      </c>
    </row>
    <row r="57" spans="1:15" hidden="1">
      <c r="A57" s="33">
        <v>3551</v>
      </c>
      <c r="B57" s="24" t="s">
        <v>66</v>
      </c>
      <c r="C57" s="34">
        <f t="shared" si="10"/>
        <v>11000</v>
      </c>
      <c r="D57" s="31">
        <v>2000</v>
      </c>
      <c r="E57" s="31"/>
      <c r="F57" s="31"/>
      <c r="G57" s="31"/>
      <c r="H57" s="31"/>
      <c r="I57" s="31">
        <v>5000</v>
      </c>
      <c r="J57" s="31">
        <v>1000</v>
      </c>
      <c r="K57" s="31">
        <v>1000</v>
      </c>
      <c r="L57" s="31">
        <v>1000</v>
      </c>
      <c r="M57" s="31">
        <v>1000</v>
      </c>
      <c r="N57" s="31"/>
      <c r="O57" s="31"/>
    </row>
    <row r="58" spans="1:15" hidden="1">
      <c r="A58" s="33">
        <v>3571</v>
      </c>
      <c r="B58" s="24" t="s">
        <v>67</v>
      </c>
      <c r="C58" s="34">
        <f t="shared" si="10"/>
        <v>1000</v>
      </c>
      <c r="D58" s="23">
        <v>1000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idden="1">
      <c r="A59" s="33">
        <v>3581</v>
      </c>
      <c r="B59" s="32" t="s">
        <v>68</v>
      </c>
      <c r="C59" s="34">
        <f t="shared" si="10"/>
        <v>82281.989999999976</v>
      </c>
      <c r="D59" s="23">
        <v>7039.46</v>
      </c>
      <c r="E59" s="23">
        <v>6840.23</v>
      </c>
      <c r="F59" s="23">
        <v>6840.23</v>
      </c>
      <c r="G59" s="23">
        <v>6840.23</v>
      </c>
      <c r="H59" s="23">
        <v>6840.23</v>
      </c>
      <c r="I59" s="23">
        <v>6840.23</v>
      </c>
      <c r="J59" s="23">
        <v>6840.23</v>
      </c>
      <c r="K59" s="23">
        <v>6840.23</v>
      </c>
      <c r="L59" s="23">
        <v>6840.23</v>
      </c>
      <c r="M59" s="23">
        <v>6840.23</v>
      </c>
      <c r="N59" s="23">
        <v>6840.23</v>
      </c>
      <c r="O59" s="23">
        <v>6840.23</v>
      </c>
    </row>
    <row r="60" spans="1:15" hidden="1">
      <c r="A60" s="33">
        <v>3711</v>
      </c>
      <c r="B60" s="24" t="s">
        <v>69</v>
      </c>
      <c r="C60" s="34">
        <f t="shared" si="10"/>
        <v>35000</v>
      </c>
      <c r="D60" s="23"/>
      <c r="E60" s="23">
        <f>9000-2431.33</f>
        <v>6568.67</v>
      </c>
      <c r="F60" s="23"/>
      <c r="G60" s="23"/>
      <c r="H60" s="23"/>
      <c r="I60" s="23">
        <f>4000+4431.33+10000</f>
        <v>18431.330000000002</v>
      </c>
      <c r="J60" s="23">
        <v>4000</v>
      </c>
      <c r="K60" s="23">
        <v>3000</v>
      </c>
      <c r="L60" s="23">
        <v>3000</v>
      </c>
      <c r="M60" s="23"/>
      <c r="N60" s="23"/>
      <c r="O60" s="23"/>
    </row>
    <row r="61" spans="1:15" hidden="1">
      <c r="A61" s="21">
        <v>3721</v>
      </c>
      <c r="B61" s="36" t="s">
        <v>70</v>
      </c>
      <c r="C61" s="34">
        <f t="shared" si="10"/>
        <v>10000</v>
      </c>
      <c r="D61" s="31">
        <v>1000</v>
      </c>
      <c r="E61" s="31">
        <v>1000</v>
      </c>
      <c r="F61" s="31"/>
      <c r="G61" s="23">
        <f>1500-840.26</f>
        <v>659.74</v>
      </c>
      <c r="H61" s="23"/>
      <c r="I61" s="23">
        <v>3340.26</v>
      </c>
      <c r="J61" s="31">
        <v>1000</v>
      </c>
      <c r="K61" s="31">
        <v>1000</v>
      </c>
      <c r="L61" s="31">
        <v>1000</v>
      </c>
      <c r="M61" s="23">
        <v>1000</v>
      </c>
      <c r="N61" s="23"/>
      <c r="O61" s="23"/>
    </row>
    <row r="62" spans="1:15" hidden="1">
      <c r="A62" s="166">
        <v>3751</v>
      </c>
      <c r="B62" s="24" t="s">
        <v>71</v>
      </c>
      <c r="C62" s="34">
        <f t="shared" si="10"/>
        <v>50000.000000000015</v>
      </c>
      <c r="D62" s="23"/>
      <c r="E62" s="23">
        <v>5000</v>
      </c>
      <c r="F62" s="23"/>
      <c r="G62" s="23">
        <v>5000</v>
      </c>
      <c r="H62" s="23">
        <f>4166.67-1675.06-0.01</f>
        <v>2491.6</v>
      </c>
      <c r="I62" s="23">
        <f>4166.67+6666.68+1675.06</f>
        <v>12508.41</v>
      </c>
      <c r="J62" s="23">
        <f>4166.67+0.01</f>
        <v>4166.68</v>
      </c>
      <c r="K62" s="23">
        <f>4166.67-0.01</f>
        <v>4166.66</v>
      </c>
      <c r="L62" s="23">
        <f>4166.66</f>
        <v>4166.66</v>
      </c>
      <c r="M62" s="23">
        <f>4166.66</f>
        <v>4166.66</v>
      </c>
      <c r="N62" s="23">
        <f>4166.66</f>
        <v>4166.66</v>
      </c>
      <c r="O62" s="23">
        <f>4166.66+0.01</f>
        <v>4166.67</v>
      </c>
    </row>
    <row r="63" spans="1:15" hidden="1">
      <c r="A63" s="21">
        <v>3791</v>
      </c>
      <c r="B63" s="36" t="s">
        <v>72</v>
      </c>
      <c r="C63" s="34">
        <f t="shared" si="10"/>
        <v>2400</v>
      </c>
      <c r="D63" s="31">
        <v>200</v>
      </c>
      <c r="E63" s="31">
        <v>200</v>
      </c>
      <c r="F63" s="31"/>
      <c r="G63" s="31"/>
      <c r="H63" s="31">
        <v>600</v>
      </c>
      <c r="I63" s="31">
        <v>200</v>
      </c>
      <c r="J63" s="31">
        <v>200</v>
      </c>
      <c r="K63" s="31">
        <v>200</v>
      </c>
      <c r="L63" s="31">
        <v>200</v>
      </c>
      <c r="M63" s="31">
        <v>200</v>
      </c>
      <c r="N63" s="31">
        <v>200</v>
      </c>
      <c r="O63" s="31">
        <v>200</v>
      </c>
    </row>
    <row r="64" spans="1:15" hidden="1">
      <c r="A64" s="21">
        <v>3831</v>
      </c>
      <c r="B64" s="36" t="s">
        <v>73</v>
      </c>
      <c r="C64" s="34">
        <f t="shared" si="10"/>
        <v>72051.3</v>
      </c>
      <c r="D64" s="23"/>
      <c r="E64" s="23">
        <v>10000</v>
      </c>
      <c r="F64" s="23"/>
      <c r="G64" s="23">
        <f>20000+32051.3</f>
        <v>52051.3</v>
      </c>
      <c r="H64" s="23">
        <v>10000</v>
      </c>
      <c r="I64" s="23"/>
      <c r="J64" s="23"/>
      <c r="K64" s="23"/>
      <c r="L64" s="23"/>
      <c r="M64" s="23"/>
      <c r="N64" s="23"/>
      <c r="O64" s="23"/>
    </row>
    <row r="65" spans="1:16" hidden="1">
      <c r="A65" s="166">
        <v>3921</v>
      </c>
      <c r="B65" s="22" t="s">
        <v>74</v>
      </c>
      <c r="C65" s="34">
        <f t="shared" si="10"/>
        <v>1254</v>
      </c>
      <c r="D65" s="31">
        <f>418*3</f>
        <v>1254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6" s="28" customFormat="1" ht="12.75">
      <c r="A66" s="25"/>
      <c r="B66" s="26" t="s">
        <v>75</v>
      </c>
      <c r="C66" s="27">
        <f>SUM(D66:O66)</f>
        <v>990267</v>
      </c>
      <c r="D66" s="172">
        <f>990267/12</f>
        <v>82522.25</v>
      </c>
      <c r="E66" s="172">
        <f t="shared" ref="E66:O66" si="11">990267/12</f>
        <v>82522.25</v>
      </c>
      <c r="F66" s="172">
        <f t="shared" si="11"/>
        <v>82522.25</v>
      </c>
      <c r="G66" s="172">
        <f t="shared" si="11"/>
        <v>82522.25</v>
      </c>
      <c r="H66" s="172">
        <f t="shared" si="11"/>
        <v>82522.25</v>
      </c>
      <c r="I66" s="172">
        <f t="shared" si="11"/>
        <v>82522.25</v>
      </c>
      <c r="J66" s="172">
        <f t="shared" si="11"/>
        <v>82522.25</v>
      </c>
      <c r="K66" s="172">
        <f t="shared" si="11"/>
        <v>82522.25</v>
      </c>
      <c r="L66" s="172">
        <f t="shared" si="11"/>
        <v>82522.25</v>
      </c>
      <c r="M66" s="172">
        <f t="shared" si="11"/>
        <v>82522.25</v>
      </c>
      <c r="N66" s="172">
        <f t="shared" si="11"/>
        <v>82522.25</v>
      </c>
      <c r="O66" s="172">
        <f t="shared" si="11"/>
        <v>82522.25</v>
      </c>
      <c r="P66" s="37"/>
    </row>
    <row r="67" spans="1:16">
      <c r="A67" s="29"/>
      <c r="B67" s="2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6" s="9" customFormat="1" ht="17.25" customHeight="1">
      <c r="A68" s="38"/>
      <c r="B68" s="39" t="s">
        <v>76</v>
      </c>
      <c r="C68" s="40">
        <f t="shared" ref="C68:O68" si="12">SUM(C66,C40,C24)</f>
        <v>9536113.9983333331</v>
      </c>
      <c r="D68" s="40">
        <f t="shared" si="12"/>
        <v>794676.17</v>
      </c>
      <c r="E68" s="40">
        <f t="shared" si="12"/>
        <v>794676.17</v>
      </c>
      <c r="F68" s="40">
        <f t="shared" si="12"/>
        <v>794676.17</v>
      </c>
      <c r="G68" s="40">
        <f t="shared" si="12"/>
        <v>794676.17</v>
      </c>
      <c r="H68" s="40">
        <f t="shared" si="12"/>
        <v>794676.17</v>
      </c>
      <c r="I68" s="40">
        <f t="shared" si="12"/>
        <v>794676.17</v>
      </c>
      <c r="J68" s="40">
        <f t="shared" si="12"/>
        <v>794676.17</v>
      </c>
      <c r="K68" s="40">
        <f t="shared" si="12"/>
        <v>794676.17</v>
      </c>
      <c r="L68" s="40">
        <f t="shared" si="12"/>
        <v>794676.17</v>
      </c>
      <c r="M68" s="40">
        <f t="shared" si="12"/>
        <v>794676.17</v>
      </c>
      <c r="N68" s="40">
        <f t="shared" si="12"/>
        <v>794676.17</v>
      </c>
      <c r="O68" s="40">
        <f t="shared" si="12"/>
        <v>794676.17</v>
      </c>
    </row>
    <row r="70" spans="1:16">
      <c r="C70" s="41">
        <f>SUM(D70:O70)</f>
        <v>0</v>
      </c>
      <c r="D70" s="41"/>
      <c r="E70" s="41"/>
      <c r="F70" s="41"/>
      <c r="G70" s="41"/>
      <c r="H70" s="41"/>
      <c r="I70" s="41"/>
      <c r="J70" s="41"/>
    </row>
    <row r="71" spans="1:16">
      <c r="D71" t="s">
        <v>240</v>
      </c>
    </row>
    <row r="73" spans="1:16">
      <c r="C73" s="41"/>
    </row>
    <row r="75" spans="1:16">
      <c r="C75" s="165"/>
    </row>
  </sheetData>
  <mergeCells count="5">
    <mergeCell ref="K6:O6"/>
    <mergeCell ref="A11:A12"/>
    <mergeCell ref="B11:B12"/>
    <mergeCell ref="C11:C12"/>
    <mergeCell ref="D11:O11"/>
  </mergeCells>
  <pageMargins left="0.31496062992125984" right="0.31496062992125984" top="0.15748031496062992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Casos resueltos</vt:lpstr>
      <vt:lpstr>Personal capacitado</vt:lpstr>
      <vt:lpstr>Plantilla</vt:lpstr>
      <vt:lpstr>Ingresos</vt:lpstr>
      <vt:lpstr>'Casos resueltos'!Área_de_impresión</vt:lpstr>
      <vt:lpstr>Plantilla!Área_de_impresión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2019-01-28T17:02:49Z</cp:lastPrinted>
  <dcterms:created xsi:type="dcterms:W3CDTF">2018-01-18T15:41:55Z</dcterms:created>
  <dcterms:modified xsi:type="dcterms:W3CDTF">2019-01-28T17:03:18Z</dcterms:modified>
</cp:coreProperties>
</file>