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JALRESO\TRANSPARENCIA\Fraccion V e) organigrama, plantilla personal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L37" i="1" l="1"/>
  <c r="L36" i="1"/>
  <c r="L28" i="1"/>
  <c r="L30" i="1"/>
  <c r="L26" i="1"/>
  <c r="L25" i="1"/>
  <c r="L24" i="1"/>
  <c r="L23" i="1"/>
  <c r="O22" i="1"/>
  <c r="N22" i="1"/>
  <c r="L22" i="1"/>
  <c r="L18" i="1"/>
  <c r="L11" i="1"/>
  <c r="L10" i="1"/>
  <c r="L9" i="1"/>
  <c r="L7" i="1"/>
  <c r="L6" i="1"/>
  <c r="P33" i="1"/>
  <c r="L12" i="1"/>
  <c r="Z38" i="1" l="1"/>
  <c r="V38" i="1"/>
  <c r="U38" i="1"/>
  <c r="M38" i="1"/>
  <c r="M40" i="1" s="1"/>
  <c r="O36" i="1"/>
  <c r="N36" i="1"/>
  <c r="AA36" i="1"/>
  <c r="AA32" i="1"/>
  <c r="Y32" i="1"/>
  <c r="X32" i="1"/>
  <c r="W32" i="1"/>
  <c r="T32" i="1"/>
  <c r="R32" i="1"/>
  <c r="Q32" i="1"/>
  <c r="AA35" i="1"/>
  <c r="Y35" i="1"/>
  <c r="X35" i="1"/>
  <c r="W35" i="1"/>
  <c r="T35" i="1"/>
  <c r="S38" i="1"/>
  <c r="R35" i="1"/>
  <c r="Q35" i="1"/>
  <c r="O34" i="1"/>
  <c r="N34" i="1"/>
  <c r="L34" i="1"/>
  <c r="O17" i="1"/>
  <c r="N17" i="1"/>
  <c r="L17" i="1"/>
  <c r="AA17" i="1" s="1"/>
  <c r="O21" i="1"/>
  <c r="N21" i="1"/>
  <c r="L21" i="1"/>
  <c r="AA21" i="1" s="1"/>
  <c r="O33" i="1"/>
  <c r="N33" i="1"/>
  <c r="L33" i="1"/>
  <c r="AA33" i="1" s="1"/>
  <c r="O31" i="1"/>
  <c r="N31" i="1"/>
  <c r="L31" i="1"/>
  <c r="P30" i="1"/>
  <c r="O30" i="1"/>
  <c r="N30" i="1"/>
  <c r="AA30" i="1"/>
  <c r="L29" i="1"/>
  <c r="X29" i="1" s="1"/>
  <c r="O28" i="1"/>
  <c r="N28" i="1"/>
  <c r="AA28" i="1"/>
  <c r="P27" i="1"/>
  <c r="O27" i="1"/>
  <c r="N27" i="1"/>
  <c r="L27" i="1"/>
  <c r="AA27" i="1" s="1"/>
  <c r="P25" i="1"/>
  <c r="O25" i="1"/>
  <c r="N25" i="1"/>
  <c r="AA25" i="1"/>
  <c r="P24" i="1"/>
  <c r="O24" i="1"/>
  <c r="N24" i="1"/>
  <c r="AA24" i="1"/>
  <c r="P23" i="1"/>
  <c r="O23" i="1"/>
  <c r="N23" i="1"/>
  <c r="AA23" i="1"/>
  <c r="O19" i="1"/>
  <c r="N19" i="1"/>
  <c r="L19" i="1"/>
  <c r="P16" i="1"/>
  <c r="O16" i="1"/>
  <c r="N16" i="1"/>
  <c r="L16" i="1"/>
  <c r="AA16" i="1" s="1"/>
  <c r="P15" i="1"/>
  <c r="O15" i="1"/>
  <c r="N15" i="1"/>
  <c r="L15" i="1"/>
  <c r="AA15" i="1" s="1"/>
  <c r="L14" i="1"/>
  <c r="AA14" i="1" s="1"/>
  <c r="P13" i="1"/>
  <c r="O13" i="1"/>
  <c r="N13" i="1"/>
  <c r="L13" i="1"/>
  <c r="O26" i="1"/>
  <c r="N26" i="1"/>
  <c r="AA26" i="1"/>
  <c r="O20" i="1"/>
  <c r="N20" i="1"/>
  <c r="L20" i="1"/>
  <c r="AA20" i="1" s="1"/>
  <c r="O18" i="1"/>
  <c r="N18" i="1"/>
  <c r="O12" i="1"/>
  <c r="N12" i="1"/>
  <c r="X12" i="1"/>
  <c r="P11" i="1"/>
  <c r="O11" i="1"/>
  <c r="N11" i="1"/>
  <c r="AA11" i="1"/>
  <c r="P10" i="1"/>
  <c r="O10" i="1"/>
  <c r="N10" i="1"/>
  <c r="AA10" i="1"/>
  <c r="P9" i="1"/>
  <c r="O9" i="1"/>
  <c r="N9" i="1"/>
  <c r="AA9" i="1"/>
  <c r="O8" i="1"/>
  <c r="N8" i="1"/>
  <c r="L8" i="1"/>
  <c r="O7" i="1"/>
  <c r="N7" i="1"/>
  <c r="AA7" i="1"/>
  <c r="P6" i="1"/>
  <c r="O6" i="1"/>
  <c r="N6" i="1"/>
  <c r="AA13" i="1" l="1"/>
  <c r="Q14" i="1"/>
  <c r="X7" i="1"/>
  <c r="W26" i="1"/>
  <c r="N38" i="1"/>
  <c r="N40" i="1" s="1"/>
  <c r="P38" i="1"/>
  <c r="P40" i="1" s="1"/>
  <c r="Q7" i="1"/>
  <c r="W11" i="1"/>
  <c r="X14" i="1"/>
  <c r="W23" i="1"/>
  <c r="W28" i="1"/>
  <c r="Q21" i="1"/>
  <c r="Q17" i="1"/>
  <c r="Q36" i="1"/>
  <c r="W9" i="1"/>
  <c r="W25" i="1"/>
  <c r="X21" i="1"/>
  <c r="X17" i="1"/>
  <c r="X36" i="1"/>
  <c r="R10" i="1"/>
  <c r="Y10" i="1"/>
  <c r="T12" i="1"/>
  <c r="AA12" i="1"/>
  <c r="R20" i="1"/>
  <c r="Y20" i="1"/>
  <c r="R13" i="1"/>
  <c r="Y13" i="1"/>
  <c r="R24" i="1"/>
  <c r="Y24" i="1"/>
  <c r="R27" i="1"/>
  <c r="Y27" i="1"/>
  <c r="T29" i="1"/>
  <c r="AA29" i="1"/>
  <c r="R33" i="1"/>
  <c r="Y33" i="1"/>
  <c r="O38" i="1"/>
  <c r="O40" i="1" s="1"/>
  <c r="T7" i="1"/>
  <c r="R9" i="1"/>
  <c r="Y9" i="1"/>
  <c r="W10" i="1"/>
  <c r="R11" i="1"/>
  <c r="Y11" i="1"/>
  <c r="Q12" i="1"/>
  <c r="W20" i="1"/>
  <c r="R26" i="1"/>
  <c r="Y26" i="1"/>
  <c r="W13" i="1"/>
  <c r="T14" i="1"/>
  <c r="R23" i="1"/>
  <c r="Y23" i="1"/>
  <c r="W24" i="1"/>
  <c r="R25" i="1"/>
  <c r="Y25" i="1"/>
  <c r="W27" i="1"/>
  <c r="R28" i="1"/>
  <c r="Y28" i="1"/>
  <c r="Q29" i="1"/>
  <c r="W33" i="1"/>
  <c r="T21" i="1"/>
  <c r="T17" i="1"/>
  <c r="AB35" i="1"/>
  <c r="AB32" i="1"/>
  <c r="T36" i="1"/>
  <c r="S40" i="1"/>
  <c r="R6" i="1"/>
  <c r="W6" i="1"/>
  <c r="Y6" i="1"/>
  <c r="R7" i="1"/>
  <c r="W7" i="1"/>
  <c r="Y7" i="1"/>
  <c r="Q8" i="1"/>
  <c r="T8" i="1"/>
  <c r="X8" i="1"/>
  <c r="AA8" i="1"/>
  <c r="Q9" i="1"/>
  <c r="T9" i="1"/>
  <c r="X9" i="1"/>
  <c r="Q10" i="1"/>
  <c r="T10" i="1"/>
  <c r="X10" i="1"/>
  <c r="Q11" i="1"/>
  <c r="T11" i="1"/>
  <c r="X11" i="1"/>
  <c r="R12" i="1"/>
  <c r="W12" i="1"/>
  <c r="Y12" i="1"/>
  <c r="Q18" i="1"/>
  <c r="T18" i="1"/>
  <c r="X18" i="1"/>
  <c r="AA18" i="1"/>
  <c r="Q20" i="1"/>
  <c r="T20" i="1"/>
  <c r="X20" i="1"/>
  <c r="Q26" i="1"/>
  <c r="T26" i="1"/>
  <c r="X26" i="1"/>
  <c r="Q13" i="1"/>
  <c r="T13" i="1"/>
  <c r="X13" i="1"/>
  <c r="R14" i="1"/>
  <c r="W14" i="1"/>
  <c r="Y14" i="1"/>
  <c r="R15" i="1"/>
  <c r="W15" i="1"/>
  <c r="Y15" i="1"/>
  <c r="R16" i="1"/>
  <c r="W16" i="1"/>
  <c r="Y16" i="1"/>
  <c r="Q19" i="1"/>
  <c r="T19" i="1"/>
  <c r="X19" i="1"/>
  <c r="AA19" i="1"/>
  <c r="Q23" i="1"/>
  <c r="T23" i="1"/>
  <c r="X23" i="1"/>
  <c r="Q24" i="1"/>
  <c r="T24" i="1"/>
  <c r="X24" i="1"/>
  <c r="Q25" i="1"/>
  <c r="T25" i="1"/>
  <c r="X25" i="1"/>
  <c r="Q27" i="1"/>
  <c r="T27" i="1"/>
  <c r="X27" i="1"/>
  <c r="Q28" i="1"/>
  <c r="T28" i="1"/>
  <c r="X28" i="1"/>
  <c r="R29" i="1"/>
  <c r="W29" i="1"/>
  <c r="Y29" i="1"/>
  <c r="R30" i="1"/>
  <c r="W30" i="1"/>
  <c r="Y30" i="1"/>
  <c r="Q31" i="1"/>
  <c r="T31" i="1"/>
  <c r="X31" i="1"/>
  <c r="AA31" i="1"/>
  <c r="Q33" i="1"/>
  <c r="T33" i="1"/>
  <c r="X33" i="1"/>
  <c r="R21" i="1"/>
  <c r="W21" i="1"/>
  <c r="Y21" i="1"/>
  <c r="R17" i="1"/>
  <c r="W17" i="1"/>
  <c r="Y17" i="1"/>
  <c r="Q34" i="1"/>
  <c r="T34" i="1"/>
  <c r="X34" i="1"/>
  <c r="AA34" i="1"/>
  <c r="R36" i="1"/>
  <c r="W36" i="1"/>
  <c r="Y36" i="1"/>
  <c r="Q22" i="1"/>
  <c r="T22" i="1"/>
  <c r="X22" i="1"/>
  <c r="AA22" i="1"/>
  <c r="Q37" i="1"/>
  <c r="T37" i="1"/>
  <c r="X37" i="1"/>
  <c r="AA37" i="1"/>
  <c r="L38" i="1"/>
  <c r="L40" i="1" s="1"/>
  <c r="Q6" i="1"/>
  <c r="T6" i="1"/>
  <c r="X6" i="1"/>
  <c r="AA6" i="1"/>
  <c r="R8" i="1"/>
  <c r="W8" i="1"/>
  <c r="Y8" i="1"/>
  <c r="R18" i="1"/>
  <c r="W18" i="1"/>
  <c r="Y18" i="1"/>
  <c r="Q15" i="1"/>
  <c r="T15" i="1"/>
  <c r="X15" i="1"/>
  <c r="Q16" i="1"/>
  <c r="T16" i="1"/>
  <c r="X16" i="1"/>
  <c r="R19" i="1"/>
  <c r="W19" i="1"/>
  <c r="Y19" i="1"/>
  <c r="Q30" i="1"/>
  <c r="T30" i="1"/>
  <c r="X30" i="1"/>
  <c r="R31" i="1"/>
  <c r="W31" i="1"/>
  <c r="Y31" i="1"/>
  <c r="R34" i="1"/>
  <c r="W34" i="1"/>
  <c r="Y34" i="1"/>
  <c r="R22" i="1"/>
  <c r="W22" i="1"/>
  <c r="Y22" i="1"/>
  <c r="R37" i="1"/>
  <c r="W37" i="1"/>
  <c r="Y37" i="1"/>
  <c r="AB13" i="1" l="1"/>
  <c r="AA38" i="1"/>
  <c r="AB16" i="1"/>
  <c r="AB30" i="1"/>
  <c r="AB15" i="1"/>
  <c r="AB36" i="1"/>
  <c r="AB34" i="1"/>
  <c r="AB21" i="1"/>
  <c r="AB28" i="1"/>
  <c r="AB25" i="1"/>
  <c r="AB23" i="1"/>
  <c r="AB19" i="1"/>
  <c r="AB20" i="1"/>
  <c r="AB18" i="1"/>
  <c r="AB11" i="1"/>
  <c r="AB9" i="1"/>
  <c r="AB8" i="1"/>
  <c r="AB37" i="1"/>
  <c r="AB22" i="1"/>
  <c r="AB17" i="1"/>
  <c r="AB33" i="1"/>
  <c r="AB31" i="1"/>
  <c r="AB29" i="1"/>
  <c r="AB27" i="1"/>
  <c r="AB24" i="1"/>
  <c r="AB14" i="1"/>
  <c r="AB26" i="1"/>
  <c r="AB12" i="1"/>
  <c r="AB10" i="1"/>
  <c r="AB7" i="1"/>
  <c r="T38" i="1"/>
  <c r="T40" i="1" s="1"/>
  <c r="X38" i="1"/>
  <c r="Q38" i="1"/>
  <c r="Y38" i="1"/>
  <c r="R38" i="1"/>
  <c r="AB6" i="1"/>
  <c r="W38" i="1"/>
  <c r="AB38" i="1" l="1"/>
  <c r="R40" i="1"/>
  <c r="Q40" i="1"/>
</calcChain>
</file>

<file path=xl/sharedStrings.xml><?xml version="1.0" encoding="utf-8"?>
<sst xmlns="http://schemas.openxmlformats.org/spreadsheetml/2006/main" count="222" uniqueCount="94">
  <si>
    <t>ORGANISMO:</t>
  </si>
  <si>
    <t>SIGLAS:</t>
  </si>
  <si>
    <t>PERCEPCIONES MENSUALES</t>
  </si>
  <si>
    <t>COLUMNAS ADICIONALES PARA CONCEPTOS MENSUALES PROPIOS DEL ORGANISMO</t>
  </si>
  <si>
    <t>COLUMNAS ADICIONALES PARA CONCEPTOS PROPIOS CON PERIODICIDAD DIFERENTE A LA MENSUAL</t>
  </si>
  <si>
    <t>PERCEPCIONES ANUALES</t>
  </si>
  <si>
    <t>TOTAL ANUAL</t>
  </si>
  <si>
    <t>CÓDIGO  DEL PUESTO</t>
  </si>
  <si>
    <t>NOMBRE DEL BENEFICIARIO</t>
  </si>
  <si>
    <t>SEXO</t>
  </si>
  <si>
    <t>FECHA DE INGRESO</t>
  </si>
  <si>
    <t>NIVEL</t>
  </si>
  <si>
    <t>JOR</t>
  </si>
  <si>
    <t>CATEG</t>
  </si>
  <si>
    <t>NOMBRE DEL PUESTO</t>
  </si>
  <si>
    <t>AREA DE ADSCRIPCIÓN DEL PUESTO</t>
  </si>
  <si>
    <t>DIRECCIÓN DE ADSCRIPCIÓN DEL PUESTO</t>
  </si>
  <si>
    <t>SUELDO
1101</t>
  </si>
  <si>
    <t>SOBRE
SUELDO
1101</t>
  </si>
  <si>
    <t>DESPENSA 
1101</t>
  </si>
  <si>
    <t>TRANSPORTE 
1101</t>
  </si>
  <si>
    <t>QUINQUENIO
1301</t>
  </si>
  <si>
    <t>CUOTAS A
PENSIONES
1401</t>
  </si>
  <si>
    <t>CUOTAS PARA
LA VIVIENDA
1402</t>
  </si>
  <si>
    <t>CUOTAS 
AL IMSS
1404</t>
  </si>
  <si>
    <t>CUOTAS
AL SEDAR
1405</t>
  </si>
  <si>
    <t>ESTIMULO DE RIESGO</t>
  </si>
  <si>
    <t>AGUINALDO</t>
  </si>
  <si>
    <t>PRIMA VACACIONAL</t>
  </si>
  <si>
    <t>ESTIMULO AL SERVICIO ADMINISTRATIVO</t>
  </si>
  <si>
    <t>IMPACTO AL
SALARIO
1801</t>
  </si>
  <si>
    <t>ALVARADO HERNANDEZ SANDRA</t>
  </si>
  <si>
    <t>C</t>
  </si>
  <si>
    <t>AUXILIAR TIENDA</t>
  </si>
  <si>
    <t>VENTAS</t>
  </si>
  <si>
    <t>ARMENTA BARRAGAN TANIA</t>
  </si>
  <si>
    <t>DIRECTOR JURÍDICO</t>
  </si>
  <si>
    <t>JURIDICO</t>
  </si>
  <si>
    <t>BECERRA PÉREZ JOSÉ LUIS</t>
  </si>
  <si>
    <t>INSTRUCTOR EXTERNO B</t>
  </si>
  <si>
    <t>OPERATIVO</t>
  </si>
  <si>
    <t>BERMUDEZ GARCIA JOSÉ ANTONIO</t>
  </si>
  <si>
    <t>INSTRUCTOR EXTERNO C</t>
  </si>
  <si>
    <t>DIRECTOR ADMINISTRATIVO Y FINANCIERO</t>
  </si>
  <si>
    <t>ADMINISTRATIVO</t>
  </si>
  <si>
    <t>AUXILIAR</t>
  </si>
  <si>
    <t>VACANTE</t>
  </si>
  <si>
    <t>COORDINADOR DE RECURSOS MATERIALES Y SERVICIOS</t>
  </si>
  <si>
    <t>COORDINADOR DE CREDITO, COBRANZA Y FACTURACION</t>
  </si>
  <si>
    <t>CUMPLIDO PÉREZ ISRAEL</t>
  </si>
  <si>
    <t>SECRETARIO DEL ORGANISMO</t>
  </si>
  <si>
    <t>SUPERVISOR GENERAL RPEJ</t>
  </si>
  <si>
    <t>GONZÁLEZ REYES MARCOS EDUARDO</t>
  </si>
  <si>
    <t>SUPERVISOR GENERAL C.R.S.</t>
  </si>
  <si>
    <t>MONTIEL TORRES AYERIM MAGDALENA</t>
  </si>
  <si>
    <t>AUXILIAR DE NOMINA</t>
  </si>
  <si>
    <t>PALOMAR NAVA ANA MARÍA</t>
  </si>
  <si>
    <t>ENCARGADO DE ÁREA C</t>
  </si>
  <si>
    <t>PARTIDA TERRIQUEZ RICARDO</t>
  </si>
  <si>
    <t>AUXILIAR LOGISTICO</t>
  </si>
  <si>
    <t>PICAZO VILLEGAS SARA</t>
  </si>
  <si>
    <t>REYES GARCÍA IRENE</t>
  </si>
  <si>
    <t>RIVERA GIL EDITH</t>
  </si>
  <si>
    <t>DIRECTOR GENERAL</t>
  </si>
  <si>
    <t>DIRECCION GENERAL</t>
  </si>
  <si>
    <t xml:space="preserve">ROBLES SÁNCHEZ PEDRO ALEJANDRO </t>
  </si>
  <si>
    <t>GONZÁLEZ RAMÍREZ RODOLFO</t>
  </si>
  <si>
    <t>COORDINADOR FINANCIERO</t>
  </si>
  <si>
    <t>SOLÍS SÁNCHEZ ALBERTO</t>
  </si>
  <si>
    <t>IÑIGUEZ LOMELÍ GRISELDA</t>
  </si>
  <si>
    <t>COORDINADOR OPERATIVO</t>
  </si>
  <si>
    <t xml:space="preserve">ADAME GONZALEZ MARÍA DOMITILA </t>
  </si>
  <si>
    <t>CONTADOR GENERAL</t>
  </si>
  <si>
    <t>IÑIGUEZ OCAMPO MARTHA GABRIELA</t>
  </si>
  <si>
    <t>ANALISTA FINANCIERO</t>
  </si>
  <si>
    <t>COORDINADOR REGIONAL</t>
  </si>
  <si>
    <t>SUPERVISOR DE SECCION</t>
  </si>
  <si>
    <t>RODRIGUEZ HERNANDEZ LOURDES</t>
  </si>
  <si>
    <t>CONGELADA (DEMANDA LABORAL)</t>
  </si>
  <si>
    <t>CALVARIO OSIO ROSA VERONICA</t>
  </si>
  <si>
    <t>ALVAREZ BARRAZA SOFIA IRENE</t>
  </si>
  <si>
    <t>OLIVARES CAMACHO CESAR OMAR</t>
  </si>
  <si>
    <t>VALENCIA GONZÁLEZ ALBERTO</t>
  </si>
  <si>
    <t>LOZANO AYALA VERONICA EDITH</t>
  </si>
  <si>
    <t>CAMACHO AGUILLARES MARÍA DE JESÚS</t>
  </si>
  <si>
    <t>WENDY HARO DE LA TORRE</t>
  </si>
  <si>
    <t xml:space="preserve">M </t>
  </si>
  <si>
    <t>M</t>
  </si>
  <si>
    <t>H</t>
  </si>
  <si>
    <t>DEPENDENCIA CABEZA DE SECTOR:</t>
  </si>
  <si>
    <t>HERNANDEZ ANGELES BERENICE</t>
  </si>
  <si>
    <t>No.</t>
  </si>
  <si>
    <t>PLANTILLA EJERCICIO 2018</t>
  </si>
  <si>
    <t>INDUSTRIA JALISCIENSE DE REHABILITACION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</si>
</sst>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0_ ;[Red]\-#,##0.00\ "/>
    <numFmt numFmtId="166" formatCode="&quot;$&quot;#,##0.00"/>
    <numFmt numFmtId="167" formatCode="&quot;$&quot;#,##0.00_);\(&quot;$&quot;#,##0.00\)"/>
    <numFmt numFmtId="168" formatCode="_(&quot;$&quot;* #,##0.00_);_(&quot;$&quot;* \(#,##0.0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9"/>
      <name val="Arial"/>
      <family val="2"/>
    </font>
    <font>
      <sz val="8"/>
      <name val="Antique Olive"/>
      <family val="2"/>
    </font>
    <font>
      <sz val="8"/>
      <name val="MS Sans Serif"/>
      <family val="2"/>
    </font>
    <font>
      <sz val="8"/>
      <name val="Antique Olive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4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5" fillId="0" borderId="8" xfId="1" applyFont="1" applyFill="1" applyBorder="1" applyAlignment="1">
      <alignment horizontal="center" vertical="center"/>
    </xf>
    <xf numFmtId="14" fontId="5" fillId="0" borderId="8" xfId="2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4" fontId="5" fillId="0" borderId="8" xfId="1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vertical="center"/>
    </xf>
    <xf numFmtId="165" fontId="8" fillId="0" borderId="8" xfId="1" applyNumberFormat="1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1" fillId="0" borderId="0" xfId="0" applyNumberFormat="1" applyFont="1" applyFill="1" applyAlignment="1">
      <alignment vertical="center"/>
    </xf>
    <xf numFmtId="14" fontId="5" fillId="0" borderId="8" xfId="1" applyNumberFormat="1" applyFont="1" applyFill="1" applyBorder="1" applyAlignment="1">
      <alignment horizontal="center" vertical="center"/>
    </xf>
    <xf numFmtId="14" fontId="5" fillId="0" borderId="8" xfId="3" applyNumberFormat="1" applyFont="1" applyFill="1" applyBorder="1" applyAlignment="1">
      <alignment horizontal="center" vertical="center"/>
    </xf>
    <xf numFmtId="4" fontId="5" fillId="0" borderId="8" xfId="1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right" vertical="center"/>
    </xf>
    <xf numFmtId="14" fontId="5" fillId="0" borderId="8" xfId="3" applyNumberFormat="1" applyFont="1" applyFill="1" applyBorder="1" applyAlignment="1">
      <alignment horizontal="center" vertical="center" wrapText="1"/>
    </xf>
    <xf numFmtId="14" fontId="5" fillId="0" borderId="8" xfId="1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4" fontId="5" fillId="0" borderId="9" xfId="2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8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5" fillId="0" borderId="8" xfId="0" applyNumberFormat="1" applyFont="1" applyBorder="1" applyAlignment="1">
      <alignment horizontal="left" vertical="center"/>
    </xf>
    <xf numFmtId="164" fontId="9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4" borderId="9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textRotation="180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3" fillId="4" borderId="8" xfId="0" applyNumberFormat="1" applyFont="1" applyFill="1" applyBorder="1" applyAlignment="1">
      <alignment horizontal="center" vertical="center" wrapText="1"/>
    </xf>
    <xf numFmtId="4" fontId="3" fillId="4" borderId="8" xfId="0" applyNumberFormat="1" applyFont="1" applyFill="1" applyBorder="1" applyAlignment="1">
      <alignment horizontal="center" vertical="center" wrapText="1"/>
    </xf>
    <xf numFmtId="166" fontId="5" fillId="0" borderId="10" xfId="0" applyNumberFormat="1" applyFont="1" applyBorder="1" applyAlignment="1">
      <alignment horizontal="left" vertical="center"/>
    </xf>
    <xf numFmtId="167" fontId="2" fillId="4" borderId="8" xfId="0" applyNumberFormat="1" applyFont="1" applyFill="1" applyBorder="1" applyAlignment="1">
      <alignment horizontal="center" vertical="center" shrinkToFit="1"/>
    </xf>
    <xf numFmtId="166" fontId="1" fillId="0" borderId="8" xfId="0" applyNumberFormat="1" applyFont="1" applyBorder="1" applyAlignment="1">
      <alignment horizontal="center" vertical="center" shrinkToFit="1"/>
    </xf>
    <xf numFmtId="0" fontId="1" fillId="4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4">
    <cellStyle name="Normal" xfId="0" builtinId="0"/>
    <cellStyle name="Normal_~9885111" xfId="1"/>
    <cellStyle name="Normal_Formato de Plantilla Organismos 2004" xfId="3"/>
    <cellStyle name="Normal_Formatos PPP 2004 INJALRESO PROCESO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showGridLines="0" tabSelected="1" workbookViewId="0">
      <pane ySplit="5" topLeftCell="A6" activePane="bottomLeft" state="frozen"/>
      <selection pane="bottomLeft" activeCell="E1" sqref="E1"/>
    </sheetView>
  </sheetViews>
  <sheetFormatPr baseColWidth="10" defaultColWidth="9.140625" defaultRowHeight="12.75"/>
  <cols>
    <col min="1" max="1" width="5" style="3" customWidth="1"/>
    <col min="2" max="2" width="6.85546875" style="5" customWidth="1"/>
    <col min="3" max="3" width="31.42578125" style="1" customWidth="1"/>
    <col min="4" max="4" width="3.7109375" style="3" customWidth="1"/>
    <col min="5" max="5" width="10.7109375" style="1" bestFit="1" customWidth="1"/>
    <col min="6" max="7" width="3.7109375" style="3" customWidth="1"/>
    <col min="8" max="8" width="5.28515625" style="3" customWidth="1"/>
    <col min="9" max="9" width="23.28515625" style="1" customWidth="1"/>
    <col min="10" max="11" width="14.5703125" style="1" customWidth="1"/>
    <col min="12" max="12" width="10.7109375" style="3" customWidth="1"/>
    <col min="13" max="13" width="6.5703125" style="5" customWidth="1"/>
    <col min="14" max="14" width="9.7109375" style="5" customWidth="1"/>
    <col min="15" max="15" width="10.28515625" style="5" customWidth="1"/>
    <col min="16" max="16" width="9.85546875" style="5" customWidth="1"/>
    <col min="17" max="17" width="10" style="5" customWidth="1"/>
    <col min="18" max="18" width="11" style="5" customWidth="1"/>
    <col min="19" max="19" width="9.5703125" style="5" customWidth="1"/>
    <col min="20" max="20" width="9.5703125" style="1" customWidth="1"/>
    <col min="21" max="21" width="6" style="1" customWidth="1"/>
    <col min="22" max="22" width="5.85546875" style="1" customWidth="1"/>
    <col min="23" max="23" width="10.7109375" style="1" customWidth="1"/>
    <col min="24" max="24" width="11.140625" style="1" customWidth="1"/>
    <col min="25" max="25" width="12" style="1" customWidth="1"/>
    <col min="26" max="26" width="12.42578125" style="1" customWidth="1"/>
    <col min="27" max="27" width="11.5703125" style="1" customWidth="1"/>
    <col min="28" max="28" width="12.42578125" style="2" customWidth="1"/>
    <col min="29" max="29" width="12.28515625" style="1" bestFit="1" customWidth="1"/>
    <col min="30" max="31" width="10.7109375" style="1" bestFit="1" customWidth="1"/>
    <col min="32" max="16384" width="9.140625" style="1"/>
  </cols>
  <sheetData>
    <row r="1" spans="1:28" ht="24" customHeight="1">
      <c r="A1" s="2" t="s">
        <v>0</v>
      </c>
      <c r="B1" s="1"/>
      <c r="C1" s="4"/>
      <c r="D1" s="6"/>
      <c r="E1" s="68" t="s">
        <v>93</v>
      </c>
      <c r="F1" s="6"/>
      <c r="G1" s="6"/>
      <c r="H1" s="6"/>
    </row>
    <row r="2" spans="1:28" ht="24" customHeight="1">
      <c r="A2" s="2" t="s">
        <v>89</v>
      </c>
      <c r="B2" s="1"/>
      <c r="C2" s="4"/>
      <c r="D2" s="46"/>
      <c r="E2" s="47"/>
      <c r="F2" s="46"/>
      <c r="G2" s="46"/>
      <c r="H2" s="46"/>
      <c r="L2" s="35" t="s">
        <v>92</v>
      </c>
      <c r="AB2" s="45"/>
    </row>
    <row r="3" spans="1:28" ht="24" customHeight="1">
      <c r="A3" s="44" t="s">
        <v>1</v>
      </c>
      <c r="B3" s="1"/>
      <c r="C3" s="48"/>
      <c r="D3" s="46"/>
      <c r="E3" s="47"/>
      <c r="F3" s="46"/>
      <c r="G3" s="46"/>
      <c r="H3" s="46"/>
    </row>
    <row r="4" spans="1:28" ht="45" customHeight="1">
      <c r="L4" s="58" t="s">
        <v>2</v>
      </c>
      <c r="M4" s="59"/>
      <c r="N4" s="59"/>
      <c r="O4" s="59"/>
      <c r="P4" s="60"/>
      <c r="Q4" s="61" t="s">
        <v>3</v>
      </c>
      <c r="R4" s="62"/>
      <c r="S4" s="62"/>
      <c r="T4" s="62"/>
      <c r="U4" s="63"/>
      <c r="V4" s="64" t="s">
        <v>4</v>
      </c>
      <c r="W4" s="65"/>
      <c r="X4" s="66" t="s">
        <v>5</v>
      </c>
      <c r="Y4" s="67"/>
      <c r="Z4" s="67"/>
      <c r="AA4" s="67"/>
      <c r="AB4" s="57" t="s">
        <v>6</v>
      </c>
    </row>
    <row r="5" spans="1:28" s="7" customFormat="1" ht="54" customHeight="1">
      <c r="A5" s="49" t="s">
        <v>91</v>
      </c>
      <c r="B5" s="49" t="s">
        <v>7</v>
      </c>
      <c r="C5" s="49" t="s">
        <v>8</v>
      </c>
      <c r="D5" s="50" t="s">
        <v>9</v>
      </c>
      <c r="E5" s="50" t="s">
        <v>10</v>
      </c>
      <c r="F5" s="50" t="s">
        <v>11</v>
      </c>
      <c r="G5" s="50" t="s">
        <v>12</v>
      </c>
      <c r="H5" s="50" t="s">
        <v>13</v>
      </c>
      <c r="I5" s="49" t="s">
        <v>14</v>
      </c>
      <c r="J5" s="49" t="s">
        <v>15</v>
      </c>
      <c r="K5" s="51" t="s">
        <v>16</v>
      </c>
      <c r="L5" s="52" t="s">
        <v>17</v>
      </c>
      <c r="M5" s="53" t="s">
        <v>18</v>
      </c>
      <c r="N5" s="53" t="s">
        <v>19</v>
      </c>
      <c r="O5" s="53" t="s">
        <v>20</v>
      </c>
      <c r="P5" s="53" t="s">
        <v>21</v>
      </c>
      <c r="Q5" s="53" t="s">
        <v>22</v>
      </c>
      <c r="R5" s="53" t="s">
        <v>23</v>
      </c>
      <c r="S5" s="53" t="s">
        <v>24</v>
      </c>
      <c r="T5" s="53" t="s">
        <v>25</v>
      </c>
      <c r="U5" s="53"/>
      <c r="V5" s="53"/>
      <c r="W5" s="53" t="s">
        <v>26</v>
      </c>
      <c r="X5" s="53" t="s">
        <v>27</v>
      </c>
      <c r="Y5" s="53" t="s">
        <v>28</v>
      </c>
      <c r="Z5" s="53" t="s">
        <v>29</v>
      </c>
      <c r="AA5" s="53" t="s">
        <v>30</v>
      </c>
      <c r="AB5" s="57"/>
    </row>
    <row r="6" spans="1:28" s="19" customFormat="1" ht="30" customHeight="1">
      <c r="A6" s="8">
        <v>1</v>
      </c>
      <c r="B6" s="40">
        <v>47</v>
      </c>
      <c r="C6" s="12" t="s">
        <v>31</v>
      </c>
      <c r="D6" s="40" t="s">
        <v>86</v>
      </c>
      <c r="E6" s="9">
        <v>38995</v>
      </c>
      <c r="F6" s="10">
        <v>1</v>
      </c>
      <c r="G6" s="11">
        <v>40</v>
      </c>
      <c r="H6" s="11" t="s">
        <v>32</v>
      </c>
      <c r="I6" s="12" t="s">
        <v>33</v>
      </c>
      <c r="J6" s="12" t="s">
        <v>34</v>
      </c>
      <c r="K6" s="13" t="s">
        <v>44</v>
      </c>
      <c r="L6" s="14">
        <f>3840.45*2</f>
        <v>7680.9</v>
      </c>
      <c r="M6" s="15"/>
      <c r="N6" s="16">
        <f>278*2</f>
        <v>556</v>
      </c>
      <c r="O6" s="16">
        <f>171.5*2</f>
        <v>343</v>
      </c>
      <c r="P6" s="14">
        <f>73.04*2</f>
        <v>146.08000000000001</v>
      </c>
      <c r="Q6" s="17">
        <f>+L6*0.115</f>
        <v>883.30349999999999</v>
      </c>
      <c r="R6" s="17">
        <f>+L6*0.05</f>
        <v>384.04500000000002</v>
      </c>
      <c r="S6" s="17">
        <v>684.62</v>
      </c>
      <c r="T6" s="18">
        <f>+L6*0.02</f>
        <v>153.61799999999999</v>
      </c>
      <c r="U6" s="54"/>
      <c r="V6" s="18"/>
      <c r="W6" s="18">
        <f>+L6/30*60</f>
        <v>15361.8</v>
      </c>
      <c r="X6" s="18">
        <f>+L6/30*50</f>
        <v>12801.499999999998</v>
      </c>
      <c r="Y6" s="18">
        <f>+L6/30*20*0.25</f>
        <v>1280.1499999999999</v>
      </c>
      <c r="Z6" s="18"/>
      <c r="AA6" s="18">
        <f>+L6*0.04*12</f>
        <v>3686.8319999999999</v>
      </c>
      <c r="AB6" s="18">
        <f>((+L6+N6+O6+P6+Q6+R6+S6+T6)*12)+X6+Y6+Z6+AA6+W6</f>
        <v>163109.07999999999</v>
      </c>
    </row>
    <row r="7" spans="1:28" s="19" customFormat="1" ht="30" customHeight="1">
      <c r="A7" s="8">
        <v>2</v>
      </c>
      <c r="B7" s="40">
        <v>92</v>
      </c>
      <c r="C7" s="12" t="s">
        <v>35</v>
      </c>
      <c r="D7" s="40" t="s">
        <v>87</v>
      </c>
      <c r="E7" s="20">
        <v>41502</v>
      </c>
      <c r="F7" s="10">
        <v>2</v>
      </c>
      <c r="G7" s="11">
        <v>40</v>
      </c>
      <c r="H7" s="11" t="s">
        <v>32</v>
      </c>
      <c r="I7" s="12" t="s">
        <v>33</v>
      </c>
      <c r="J7" s="12" t="s">
        <v>34</v>
      </c>
      <c r="K7" s="13" t="s">
        <v>44</v>
      </c>
      <c r="L7" s="14">
        <f>4739.4*2</f>
        <v>9478.7999999999993</v>
      </c>
      <c r="M7" s="15"/>
      <c r="N7" s="16">
        <f>368.5*2</f>
        <v>737</v>
      </c>
      <c r="O7" s="16">
        <f>227.5*2</f>
        <v>455</v>
      </c>
      <c r="P7" s="14">
        <v>160.08000000000001</v>
      </c>
      <c r="Q7" s="17">
        <f t="shared" ref="Q7:Q37" si="0">+L7*0.115</f>
        <v>1090.0619999999999</v>
      </c>
      <c r="R7" s="17">
        <f t="shared" ref="R7:R37" si="1">+L7*0.05</f>
        <v>473.94</v>
      </c>
      <c r="S7" s="17">
        <v>703.22</v>
      </c>
      <c r="T7" s="18">
        <f t="shared" ref="T7:T37" si="2">+L7*0.02</f>
        <v>189.57599999999999</v>
      </c>
      <c r="U7" s="38"/>
      <c r="V7" s="18"/>
      <c r="W7" s="18">
        <f t="shared" ref="W7:W37" si="3">+L7/30*60</f>
        <v>18957.599999999999</v>
      </c>
      <c r="X7" s="18">
        <f t="shared" ref="X7:X37" si="4">+L7/30*50</f>
        <v>15797.999999999998</v>
      </c>
      <c r="Y7" s="18">
        <f t="shared" ref="Y7:Y37" si="5">+L7/30*20*0.25</f>
        <v>1579.8</v>
      </c>
      <c r="Z7" s="18"/>
      <c r="AA7" s="18">
        <f t="shared" ref="AA7:AA37" si="6">+L7*0.04*12</f>
        <v>4549.8239999999996</v>
      </c>
      <c r="AB7" s="18">
        <f t="shared" ref="AB7:AB37" si="7">((+L7+N7+O7+P7+Q7+R7+S7+T7)*12)+X7+Y7+Z7+AA7+W7</f>
        <v>200337.35999999996</v>
      </c>
    </row>
    <row r="8" spans="1:28" s="19" customFormat="1" ht="30" customHeight="1">
      <c r="A8" s="8">
        <v>3</v>
      </c>
      <c r="B8" s="40">
        <v>97</v>
      </c>
      <c r="C8" s="12" t="s">
        <v>83</v>
      </c>
      <c r="D8" s="40" t="s">
        <v>87</v>
      </c>
      <c r="E8" s="9">
        <v>42864</v>
      </c>
      <c r="F8" s="10">
        <v>20</v>
      </c>
      <c r="G8" s="11">
        <v>40</v>
      </c>
      <c r="H8" s="11" t="s">
        <v>32</v>
      </c>
      <c r="I8" s="12" t="s">
        <v>36</v>
      </c>
      <c r="J8" s="12" t="s">
        <v>37</v>
      </c>
      <c r="K8" s="13" t="s">
        <v>44</v>
      </c>
      <c r="L8" s="14">
        <f>13813.5*2</f>
        <v>27627</v>
      </c>
      <c r="M8" s="15"/>
      <c r="N8" s="16">
        <f>832*2</f>
        <v>1664</v>
      </c>
      <c r="O8" s="16">
        <f>559.5*2</f>
        <v>1119</v>
      </c>
      <c r="P8" s="14">
        <v>0</v>
      </c>
      <c r="Q8" s="17">
        <f t="shared" si="0"/>
        <v>3177.105</v>
      </c>
      <c r="R8" s="17">
        <f t="shared" si="1"/>
        <v>1381.3500000000001</v>
      </c>
      <c r="S8" s="17">
        <v>1278.18</v>
      </c>
      <c r="T8" s="18">
        <f t="shared" si="2"/>
        <v>552.54</v>
      </c>
      <c r="U8" s="23"/>
      <c r="V8" s="18"/>
      <c r="W8" s="18">
        <f t="shared" si="3"/>
        <v>55254</v>
      </c>
      <c r="X8" s="18">
        <f t="shared" si="4"/>
        <v>46045</v>
      </c>
      <c r="Y8" s="18">
        <f t="shared" si="5"/>
        <v>4604.5</v>
      </c>
      <c r="Z8" s="18"/>
      <c r="AA8" s="18">
        <f t="shared" si="6"/>
        <v>13260.96</v>
      </c>
      <c r="AB8" s="18">
        <f t="shared" si="7"/>
        <v>560754.56000000006</v>
      </c>
    </row>
    <row r="9" spans="1:28" s="19" customFormat="1" ht="30" customHeight="1">
      <c r="A9" s="8">
        <v>4</v>
      </c>
      <c r="B9" s="40">
        <v>32</v>
      </c>
      <c r="C9" s="12" t="s">
        <v>38</v>
      </c>
      <c r="D9" s="40" t="s">
        <v>88</v>
      </c>
      <c r="E9" s="9">
        <v>37331</v>
      </c>
      <c r="F9" s="10">
        <v>13</v>
      </c>
      <c r="G9" s="11">
        <v>40</v>
      </c>
      <c r="H9" s="11" t="s">
        <v>32</v>
      </c>
      <c r="I9" s="12" t="s">
        <v>39</v>
      </c>
      <c r="J9" s="12" t="s">
        <v>40</v>
      </c>
      <c r="K9" s="13" t="s">
        <v>44</v>
      </c>
      <c r="L9" s="14">
        <f>6731.85*2</f>
        <v>13463.7</v>
      </c>
      <c r="M9" s="15"/>
      <c r="N9" s="16">
        <f>564*2</f>
        <v>1128</v>
      </c>
      <c r="O9" s="16">
        <f>351.5*2</f>
        <v>703</v>
      </c>
      <c r="P9" s="14">
        <f>109.56*2</f>
        <v>219.12</v>
      </c>
      <c r="Q9" s="17">
        <f t="shared" si="0"/>
        <v>1548.3255000000001</v>
      </c>
      <c r="R9" s="17">
        <f t="shared" si="1"/>
        <v>673.18500000000006</v>
      </c>
      <c r="S9" s="17">
        <v>809.9</v>
      </c>
      <c r="T9" s="18">
        <f t="shared" si="2"/>
        <v>269.274</v>
      </c>
      <c r="U9" s="23"/>
      <c r="V9" s="18"/>
      <c r="W9" s="18">
        <f t="shared" si="3"/>
        <v>26927.4</v>
      </c>
      <c r="X9" s="18">
        <f t="shared" si="4"/>
        <v>22439.5</v>
      </c>
      <c r="Y9" s="18">
        <f t="shared" si="5"/>
        <v>2243.9500000000003</v>
      </c>
      <c r="Z9" s="18"/>
      <c r="AA9" s="18">
        <f t="shared" si="6"/>
        <v>6462.576</v>
      </c>
      <c r="AB9" s="18">
        <f t="shared" si="7"/>
        <v>283847.4800000001</v>
      </c>
    </row>
    <row r="10" spans="1:28" s="19" customFormat="1" ht="30" customHeight="1">
      <c r="A10" s="8">
        <v>5</v>
      </c>
      <c r="B10" s="40">
        <v>79</v>
      </c>
      <c r="C10" s="12" t="s">
        <v>41</v>
      </c>
      <c r="D10" s="40" t="s">
        <v>88</v>
      </c>
      <c r="E10" s="9">
        <v>40717</v>
      </c>
      <c r="F10" s="10">
        <v>9</v>
      </c>
      <c r="G10" s="11">
        <v>40</v>
      </c>
      <c r="H10" s="11" t="s">
        <v>32</v>
      </c>
      <c r="I10" s="12" t="s">
        <v>42</v>
      </c>
      <c r="J10" s="12" t="s">
        <v>40</v>
      </c>
      <c r="K10" s="13" t="s">
        <v>44</v>
      </c>
      <c r="L10" s="14">
        <f>6268.5*2</f>
        <v>12537</v>
      </c>
      <c r="M10" s="15"/>
      <c r="N10" s="16">
        <f>478.5*2</f>
        <v>957</v>
      </c>
      <c r="O10" s="16">
        <f>330.5*2</f>
        <v>661</v>
      </c>
      <c r="P10" s="14">
        <f>146.08*2</f>
        <v>292.16000000000003</v>
      </c>
      <c r="Q10" s="17">
        <f t="shared" si="0"/>
        <v>1441.7550000000001</v>
      </c>
      <c r="R10" s="17">
        <f t="shared" si="1"/>
        <v>626.85</v>
      </c>
      <c r="S10" s="17">
        <v>779.32</v>
      </c>
      <c r="T10" s="18">
        <f t="shared" si="2"/>
        <v>250.74</v>
      </c>
      <c r="U10" s="23"/>
      <c r="V10" s="18"/>
      <c r="W10" s="18">
        <f t="shared" si="3"/>
        <v>25074</v>
      </c>
      <c r="X10" s="18">
        <f t="shared" si="4"/>
        <v>20895</v>
      </c>
      <c r="Y10" s="18">
        <f t="shared" si="5"/>
        <v>2089.5</v>
      </c>
      <c r="Z10" s="18"/>
      <c r="AA10" s="18">
        <f t="shared" si="6"/>
        <v>6017.76</v>
      </c>
      <c r="AB10" s="18">
        <f t="shared" si="7"/>
        <v>264626.16000000003</v>
      </c>
    </row>
    <row r="11" spans="1:28" s="19" customFormat="1" ht="30" customHeight="1">
      <c r="A11" s="8">
        <v>6</v>
      </c>
      <c r="B11" s="40">
        <v>60</v>
      </c>
      <c r="C11" s="12" t="s">
        <v>84</v>
      </c>
      <c r="D11" s="40" t="s">
        <v>87</v>
      </c>
      <c r="E11" s="21">
        <v>39584</v>
      </c>
      <c r="F11" s="10">
        <v>10</v>
      </c>
      <c r="G11" s="11">
        <v>40</v>
      </c>
      <c r="H11" s="11" t="s">
        <v>32</v>
      </c>
      <c r="I11" s="12" t="s">
        <v>42</v>
      </c>
      <c r="J11" s="12" t="s">
        <v>40</v>
      </c>
      <c r="K11" s="13" t="s">
        <v>44</v>
      </c>
      <c r="L11" s="14">
        <f>6452.4*2</f>
        <v>12904.8</v>
      </c>
      <c r="M11" s="15"/>
      <c r="N11" s="16">
        <f>523*2</f>
        <v>1046</v>
      </c>
      <c r="O11" s="16">
        <f>333*2</f>
        <v>666</v>
      </c>
      <c r="P11" s="14">
        <f>73.04*2</f>
        <v>146.08000000000001</v>
      </c>
      <c r="Q11" s="17">
        <f t="shared" si="0"/>
        <v>1484.0519999999999</v>
      </c>
      <c r="R11" s="17">
        <f t="shared" si="1"/>
        <v>645.24</v>
      </c>
      <c r="S11" s="17">
        <v>801.81</v>
      </c>
      <c r="T11" s="18">
        <f t="shared" si="2"/>
        <v>258.096</v>
      </c>
      <c r="U11" s="23"/>
      <c r="V11" s="18"/>
      <c r="W11" s="18">
        <f t="shared" si="3"/>
        <v>25809.599999999999</v>
      </c>
      <c r="X11" s="18">
        <f t="shared" si="4"/>
        <v>21508</v>
      </c>
      <c r="Y11" s="18">
        <f t="shared" si="5"/>
        <v>2150.7999999999997</v>
      </c>
      <c r="Z11" s="18"/>
      <c r="AA11" s="18">
        <f t="shared" si="6"/>
        <v>6194.3040000000001</v>
      </c>
      <c r="AB11" s="18">
        <f t="shared" si="7"/>
        <v>271087.64</v>
      </c>
    </row>
    <row r="12" spans="1:28" s="19" customFormat="1" ht="30" customHeight="1">
      <c r="A12" s="8">
        <v>7</v>
      </c>
      <c r="B12" s="40">
        <v>96</v>
      </c>
      <c r="C12" s="12" t="s">
        <v>46</v>
      </c>
      <c r="D12" s="40"/>
      <c r="E12" s="20"/>
      <c r="F12" s="10">
        <v>22</v>
      </c>
      <c r="G12" s="11">
        <v>40</v>
      </c>
      <c r="H12" s="11" t="s">
        <v>32</v>
      </c>
      <c r="I12" s="12" t="s">
        <v>43</v>
      </c>
      <c r="J12" s="12" t="s">
        <v>44</v>
      </c>
      <c r="K12" s="13" t="s">
        <v>44</v>
      </c>
      <c r="L12" s="22">
        <f>17243.5*2</f>
        <v>34487</v>
      </c>
      <c r="M12" s="15"/>
      <c r="N12" s="16">
        <f>840*2</f>
        <v>1680</v>
      </c>
      <c r="O12" s="16">
        <f>595.5*2</f>
        <v>1191</v>
      </c>
      <c r="P12" s="14">
        <v>0</v>
      </c>
      <c r="Q12" s="17">
        <f t="shared" si="0"/>
        <v>3966.0050000000001</v>
      </c>
      <c r="R12" s="17">
        <f t="shared" si="1"/>
        <v>1724.3500000000001</v>
      </c>
      <c r="S12" s="17">
        <v>1457.64</v>
      </c>
      <c r="T12" s="18">
        <f t="shared" si="2"/>
        <v>689.74</v>
      </c>
      <c r="U12" s="23"/>
      <c r="V12" s="18"/>
      <c r="W12" s="18">
        <f t="shared" si="3"/>
        <v>68974</v>
      </c>
      <c r="X12" s="18">
        <f t="shared" si="4"/>
        <v>57478.333333333328</v>
      </c>
      <c r="Y12" s="18">
        <f t="shared" si="5"/>
        <v>5747.833333333333</v>
      </c>
      <c r="Z12" s="18"/>
      <c r="AA12" s="18">
        <f t="shared" si="6"/>
        <v>16553.760000000002</v>
      </c>
      <c r="AB12" s="18">
        <f t="shared" si="7"/>
        <v>691102.7466666667</v>
      </c>
    </row>
    <row r="13" spans="1:28" s="19" customFormat="1" ht="30" customHeight="1">
      <c r="A13" s="8">
        <v>8</v>
      </c>
      <c r="B13" s="40">
        <v>23</v>
      </c>
      <c r="C13" s="12" t="s">
        <v>49</v>
      </c>
      <c r="D13" s="40" t="s">
        <v>88</v>
      </c>
      <c r="E13" s="9">
        <v>37049</v>
      </c>
      <c r="F13" s="10">
        <v>16</v>
      </c>
      <c r="G13" s="11">
        <v>40</v>
      </c>
      <c r="H13" s="11" t="s">
        <v>32</v>
      </c>
      <c r="I13" s="12" t="s">
        <v>39</v>
      </c>
      <c r="J13" s="12" t="s">
        <v>40</v>
      </c>
      <c r="K13" s="13" t="s">
        <v>44</v>
      </c>
      <c r="L13" s="14">
        <f>8606.4*2</f>
        <v>17212.8</v>
      </c>
      <c r="M13" s="15"/>
      <c r="N13" s="16">
        <f>623.5*2</f>
        <v>1247</v>
      </c>
      <c r="O13" s="16">
        <f>389.5*2</f>
        <v>779</v>
      </c>
      <c r="P13" s="14">
        <f>109.56*2</f>
        <v>219.12</v>
      </c>
      <c r="Q13" s="17">
        <f t="shared" si="0"/>
        <v>1979.472</v>
      </c>
      <c r="R13" s="17">
        <f t="shared" si="1"/>
        <v>860.64</v>
      </c>
      <c r="S13" s="17">
        <v>963.14</v>
      </c>
      <c r="T13" s="18">
        <f t="shared" si="2"/>
        <v>344.25599999999997</v>
      </c>
      <c r="U13" s="23"/>
      <c r="V13" s="18"/>
      <c r="W13" s="18">
        <f t="shared" si="3"/>
        <v>34425.599999999999</v>
      </c>
      <c r="X13" s="18">
        <f t="shared" si="4"/>
        <v>28688</v>
      </c>
      <c r="Y13" s="18">
        <f t="shared" si="5"/>
        <v>2868.8</v>
      </c>
      <c r="Z13" s="18"/>
      <c r="AA13" s="18">
        <f t="shared" si="6"/>
        <v>8262.1440000000002</v>
      </c>
      <c r="AB13" s="18">
        <f t="shared" si="7"/>
        <v>357509.67999999993</v>
      </c>
    </row>
    <row r="14" spans="1:28" s="19" customFormat="1" ht="30" customHeight="1">
      <c r="A14" s="8">
        <v>9</v>
      </c>
      <c r="B14" s="40">
        <v>112</v>
      </c>
      <c r="C14" s="12" t="s">
        <v>85</v>
      </c>
      <c r="D14" s="40" t="s">
        <v>87</v>
      </c>
      <c r="E14" s="9">
        <v>42917</v>
      </c>
      <c r="F14" s="10">
        <v>20</v>
      </c>
      <c r="G14" s="11">
        <v>40</v>
      </c>
      <c r="H14" s="11" t="s">
        <v>32</v>
      </c>
      <c r="I14" s="12" t="s">
        <v>50</v>
      </c>
      <c r="J14" s="12" t="s">
        <v>37</v>
      </c>
      <c r="K14" s="13" t="s">
        <v>44</v>
      </c>
      <c r="L14" s="14">
        <f>13813.5*2</f>
        <v>27627</v>
      </c>
      <c r="M14" s="15"/>
      <c r="N14" s="16">
        <v>1664</v>
      </c>
      <c r="O14" s="16">
        <v>1119</v>
      </c>
      <c r="P14" s="14">
        <v>0</v>
      </c>
      <c r="Q14" s="17">
        <f t="shared" si="0"/>
        <v>3177.105</v>
      </c>
      <c r="R14" s="17">
        <f t="shared" si="1"/>
        <v>1381.3500000000001</v>
      </c>
      <c r="S14" s="17">
        <v>1278.18</v>
      </c>
      <c r="T14" s="18">
        <f t="shared" si="2"/>
        <v>552.54</v>
      </c>
      <c r="U14" s="23"/>
      <c r="V14" s="18"/>
      <c r="W14" s="18">
        <f t="shared" si="3"/>
        <v>55254</v>
      </c>
      <c r="X14" s="18">
        <f t="shared" si="4"/>
        <v>46045</v>
      </c>
      <c r="Y14" s="18">
        <f t="shared" si="5"/>
        <v>4604.5</v>
      </c>
      <c r="Z14" s="18"/>
      <c r="AA14" s="18">
        <f t="shared" si="6"/>
        <v>13260.96</v>
      </c>
      <c r="AB14" s="18">
        <f t="shared" si="7"/>
        <v>560754.56000000006</v>
      </c>
    </row>
    <row r="15" spans="1:28" s="19" customFormat="1" ht="30" customHeight="1">
      <c r="A15" s="8">
        <v>10</v>
      </c>
      <c r="B15" s="40">
        <v>113</v>
      </c>
      <c r="C15" s="12" t="s">
        <v>90</v>
      </c>
      <c r="D15" s="40" t="s">
        <v>87</v>
      </c>
      <c r="E15" s="9">
        <v>43024</v>
      </c>
      <c r="F15" s="10">
        <v>18</v>
      </c>
      <c r="G15" s="11">
        <v>40</v>
      </c>
      <c r="H15" s="11" t="s">
        <v>32</v>
      </c>
      <c r="I15" s="12" t="s">
        <v>51</v>
      </c>
      <c r="J15" s="12" t="s">
        <v>40</v>
      </c>
      <c r="K15" s="13" t="s">
        <v>44</v>
      </c>
      <c r="L15" s="14">
        <f>9765.9*2</f>
        <v>19531.8</v>
      </c>
      <c r="M15" s="15"/>
      <c r="N15" s="16">
        <f>732.5*2</f>
        <v>1465</v>
      </c>
      <c r="O15" s="16">
        <f>493.5*2</f>
        <v>987</v>
      </c>
      <c r="P15" s="14">
        <f>109.56*2</f>
        <v>219.12</v>
      </c>
      <c r="Q15" s="17">
        <f t="shared" si="0"/>
        <v>2246.1570000000002</v>
      </c>
      <c r="R15" s="17">
        <f t="shared" si="1"/>
        <v>976.59</v>
      </c>
      <c r="S15" s="17">
        <v>1127.46</v>
      </c>
      <c r="T15" s="18">
        <f t="shared" si="2"/>
        <v>390.63599999999997</v>
      </c>
      <c r="U15" s="23"/>
      <c r="V15" s="18"/>
      <c r="W15" s="18">
        <f t="shared" si="3"/>
        <v>39063.599999999999</v>
      </c>
      <c r="X15" s="18">
        <f t="shared" si="4"/>
        <v>32552.999999999996</v>
      </c>
      <c r="Y15" s="18">
        <f t="shared" si="5"/>
        <v>3255.2999999999997</v>
      </c>
      <c r="Z15" s="18"/>
      <c r="AA15" s="18">
        <f t="shared" si="6"/>
        <v>9375.2639999999992</v>
      </c>
      <c r="AB15" s="18">
        <f t="shared" si="7"/>
        <v>407572.31999999995</v>
      </c>
    </row>
    <row r="16" spans="1:28" s="19" customFormat="1" ht="30" customHeight="1">
      <c r="A16" s="8">
        <v>11</v>
      </c>
      <c r="B16" s="40">
        <v>36</v>
      </c>
      <c r="C16" s="12" t="s">
        <v>52</v>
      </c>
      <c r="D16" s="40" t="s">
        <v>88</v>
      </c>
      <c r="E16" s="9">
        <v>38660</v>
      </c>
      <c r="F16" s="10">
        <v>14</v>
      </c>
      <c r="G16" s="11">
        <v>40</v>
      </c>
      <c r="H16" s="11" t="s">
        <v>32</v>
      </c>
      <c r="I16" s="12" t="s">
        <v>53</v>
      </c>
      <c r="J16" s="12" t="s">
        <v>40</v>
      </c>
      <c r="K16" s="13" t="s">
        <v>44</v>
      </c>
      <c r="L16" s="14">
        <f>6983.4*2</f>
        <v>13966.8</v>
      </c>
      <c r="M16" s="15"/>
      <c r="N16" s="16">
        <f>581.5*2</f>
        <v>1163</v>
      </c>
      <c r="O16" s="16">
        <f>361*2</f>
        <v>722</v>
      </c>
      <c r="P16" s="14">
        <f>109.56*2</f>
        <v>219.12</v>
      </c>
      <c r="Q16" s="17">
        <f t="shared" si="0"/>
        <v>1606.182</v>
      </c>
      <c r="R16" s="17">
        <f t="shared" si="1"/>
        <v>698.34</v>
      </c>
      <c r="S16" s="17">
        <v>849.72</v>
      </c>
      <c r="T16" s="18">
        <f t="shared" si="2"/>
        <v>279.33600000000001</v>
      </c>
      <c r="U16" s="23"/>
      <c r="V16" s="18"/>
      <c r="W16" s="18">
        <f t="shared" si="3"/>
        <v>27933.599999999999</v>
      </c>
      <c r="X16" s="18">
        <f t="shared" si="4"/>
        <v>23278</v>
      </c>
      <c r="Y16" s="18">
        <f t="shared" si="5"/>
        <v>2327.8000000000002</v>
      </c>
      <c r="Z16" s="18"/>
      <c r="AA16" s="18">
        <f t="shared" si="6"/>
        <v>6704.0640000000003</v>
      </c>
      <c r="AB16" s="18">
        <f t="shared" si="7"/>
        <v>294297.43999999994</v>
      </c>
    </row>
    <row r="17" spans="1:28" s="19" customFormat="1" ht="30" customHeight="1">
      <c r="A17" s="8">
        <v>12</v>
      </c>
      <c r="B17" s="40">
        <v>101</v>
      </c>
      <c r="C17" s="12" t="s">
        <v>71</v>
      </c>
      <c r="D17" s="40" t="s">
        <v>87</v>
      </c>
      <c r="E17" s="9">
        <v>42419</v>
      </c>
      <c r="F17" s="10">
        <v>17</v>
      </c>
      <c r="G17" s="11">
        <v>40</v>
      </c>
      <c r="H17" s="11" t="s">
        <v>32</v>
      </c>
      <c r="I17" s="12" t="s">
        <v>72</v>
      </c>
      <c r="J17" s="12" t="s">
        <v>44</v>
      </c>
      <c r="K17" s="13" t="s">
        <v>44</v>
      </c>
      <c r="L17" s="14">
        <f>8606.4*2</f>
        <v>17212.8</v>
      </c>
      <c r="M17" s="27"/>
      <c r="N17" s="16">
        <f>623.5*2</f>
        <v>1247</v>
      </c>
      <c r="O17" s="16">
        <f>389.5*2</f>
        <v>779</v>
      </c>
      <c r="P17" s="14">
        <v>0</v>
      </c>
      <c r="Q17" s="17">
        <f>+L17*0.115</f>
        <v>1979.472</v>
      </c>
      <c r="R17" s="17">
        <f>+L17*0.05</f>
        <v>860.64</v>
      </c>
      <c r="S17" s="17">
        <v>963.14</v>
      </c>
      <c r="T17" s="18">
        <f>+L17*0.02</f>
        <v>344.25599999999997</v>
      </c>
      <c r="U17" s="23"/>
      <c r="V17" s="18"/>
      <c r="W17" s="18">
        <f>+L17/30*60</f>
        <v>34425.599999999999</v>
      </c>
      <c r="X17" s="18">
        <f>+L17/30*50</f>
        <v>28688</v>
      </c>
      <c r="Y17" s="18">
        <f>+L17/30*20*0.25</f>
        <v>2868.8</v>
      </c>
      <c r="Z17" s="18"/>
      <c r="AA17" s="18">
        <f>+L17*0.04*12</f>
        <v>8262.1440000000002</v>
      </c>
      <c r="AB17" s="18">
        <f>((+L17+N17+O17+P17+Q17+R17+S17+T17)*12)+X17+Y17+Z17+AA17+W17</f>
        <v>354880.24</v>
      </c>
    </row>
    <row r="18" spans="1:28" s="19" customFormat="1" ht="30" customHeight="1">
      <c r="A18" s="8">
        <v>13</v>
      </c>
      <c r="B18" s="40">
        <v>110</v>
      </c>
      <c r="C18" s="41" t="s">
        <v>79</v>
      </c>
      <c r="D18" s="40" t="s">
        <v>87</v>
      </c>
      <c r="E18" s="21">
        <v>42705</v>
      </c>
      <c r="F18" s="10">
        <v>1</v>
      </c>
      <c r="G18" s="11">
        <v>40</v>
      </c>
      <c r="H18" s="11" t="s">
        <v>32</v>
      </c>
      <c r="I18" s="12" t="s">
        <v>45</v>
      </c>
      <c r="J18" s="12" t="s">
        <v>44</v>
      </c>
      <c r="K18" s="13" t="s">
        <v>44</v>
      </c>
      <c r="L18" s="14">
        <f>4553.4*2</f>
        <v>9106.7999999999993</v>
      </c>
      <c r="M18" s="15"/>
      <c r="N18" s="16">
        <f>358.5*2</f>
        <v>717</v>
      </c>
      <c r="O18" s="16">
        <f>223.5*2</f>
        <v>447</v>
      </c>
      <c r="P18" s="14">
        <v>0</v>
      </c>
      <c r="Q18" s="17">
        <f>+L18*0.115</f>
        <v>1047.2819999999999</v>
      </c>
      <c r="R18" s="17">
        <f>+L18*0.05</f>
        <v>455.34</v>
      </c>
      <c r="S18" s="17">
        <v>668.98</v>
      </c>
      <c r="T18" s="18">
        <f>+L18*0.02</f>
        <v>182.136</v>
      </c>
      <c r="U18" s="23"/>
      <c r="V18" s="18"/>
      <c r="W18" s="18">
        <f>+L18/30*60</f>
        <v>18213.599999999999</v>
      </c>
      <c r="X18" s="18">
        <f>+L18/30*50</f>
        <v>15178</v>
      </c>
      <c r="Y18" s="18">
        <f>+L18/30*20*0.25</f>
        <v>1517.8</v>
      </c>
      <c r="Z18" s="18"/>
      <c r="AA18" s="18">
        <f>+L18*0.04*12</f>
        <v>4371.2640000000001</v>
      </c>
      <c r="AB18" s="18">
        <f>((+L18+N18+O18+P18+Q18+R18+S18+T18)*12)+X18+Y18+Z18+AA18+W18</f>
        <v>190775.11999999997</v>
      </c>
    </row>
    <row r="19" spans="1:28" s="19" customFormat="1" ht="30" customHeight="1">
      <c r="A19" s="8">
        <v>14</v>
      </c>
      <c r="B19" s="40">
        <v>83</v>
      </c>
      <c r="C19" s="12" t="s">
        <v>46</v>
      </c>
      <c r="D19" s="40"/>
      <c r="E19" s="24"/>
      <c r="F19" s="10">
        <v>14</v>
      </c>
      <c r="G19" s="11">
        <v>40</v>
      </c>
      <c r="H19" s="11" t="s">
        <v>32</v>
      </c>
      <c r="I19" s="12" t="s">
        <v>39</v>
      </c>
      <c r="J19" s="12" t="s">
        <v>40</v>
      </c>
      <c r="K19" s="13" t="s">
        <v>44</v>
      </c>
      <c r="L19" s="14">
        <f>6983.4*2</f>
        <v>13966.8</v>
      </c>
      <c r="M19" s="15"/>
      <c r="N19" s="16">
        <f>581.5*2</f>
        <v>1163</v>
      </c>
      <c r="O19" s="16">
        <f>361*2</f>
        <v>722</v>
      </c>
      <c r="P19" s="14">
        <v>0</v>
      </c>
      <c r="Q19" s="17">
        <f t="shared" si="0"/>
        <v>1606.182</v>
      </c>
      <c r="R19" s="17">
        <f t="shared" si="1"/>
        <v>698.34</v>
      </c>
      <c r="S19" s="17">
        <v>769.25</v>
      </c>
      <c r="T19" s="18">
        <f t="shared" si="2"/>
        <v>279.33600000000001</v>
      </c>
      <c r="U19" s="23"/>
      <c r="V19" s="18"/>
      <c r="W19" s="18">
        <f t="shared" si="3"/>
        <v>27933.599999999999</v>
      </c>
      <c r="X19" s="18">
        <f t="shared" si="4"/>
        <v>23278</v>
      </c>
      <c r="Y19" s="18">
        <f t="shared" si="5"/>
        <v>2327.8000000000002</v>
      </c>
      <c r="Z19" s="18"/>
      <c r="AA19" s="18">
        <f t="shared" si="6"/>
        <v>6704.0640000000003</v>
      </c>
      <c r="AB19" s="18">
        <f t="shared" si="7"/>
        <v>290702.36</v>
      </c>
    </row>
    <row r="20" spans="1:28" s="19" customFormat="1" ht="30" customHeight="1">
      <c r="A20" s="8">
        <v>15</v>
      </c>
      <c r="B20" s="40">
        <v>107</v>
      </c>
      <c r="C20" s="42" t="s">
        <v>80</v>
      </c>
      <c r="D20" s="40" t="s">
        <v>87</v>
      </c>
      <c r="E20" s="21">
        <v>42675</v>
      </c>
      <c r="F20" s="10">
        <v>14</v>
      </c>
      <c r="G20" s="11">
        <v>40</v>
      </c>
      <c r="H20" s="11" t="s">
        <v>32</v>
      </c>
      <c r="I20" s="12" t="s">
        <v>47</v>
      </c>
      <c r="J20" s="12" t="s">
        <v>44</v>
      </c>
      <c r="K20" s="13" t="s">
        <v>44</v>
      </c>
      <c r="L20" s="14">
        <f>6983.4*2</f>
        <v>13966.8</v>
      </c>
      <c r="M20" s="15"/>
      <c r="N20" s="16">
        <f>581.5*2</f>
        <v>1163</v>
      </c>
      <c r="O20" s="16">
        <f>361*2</f>
        <v>722</v>
      </c>
      <c r="P20" s="14">
        <v>0</v>
      </c>
      <c r="Q20" s="17">
        <f>+L20*0.115</f>
        <v>1606.182</v>
      </c>
      <c r="R20" s="17">
        <f>+L20*0.05</f>
        <v>698.34</v>
      </c>
      <c r="S20" s="17">
        <v>820</v>
      </c>
      <c r="T20" s="18">
        <f>+L20*0.02</f>
        <v>279.33600000000001</v>
      </c>
      <c r="U20" s="23"/>
      <c r="V20" s="18"/>
      <c r="W20" s="18">
        <f>+L20/30*60</f>
        <v>27933.599999999999</v>
      </c>
      <c r="X20" s="18">
        <f>+L20/30*50</f>
        <v>23278</v>
      </c>
      <c r="Y20" s="18">
        <f>+L20/30*20*0.25</f>
        <v>2327.8000000000002</v>
      </c>
      <c r="Z20" s="18"/>
      <c r="AA20" s="18">
        <f>+L20*0.04*12</f>
        <v>6704.0640000000003</v>
      </c>
      <c r="AB20" s="18">
        <f>((+L20+N20+O20+P20+Q20+R20+S20+T20)*12)+X20+Y20+Z20+AA20+W20</f>
        <v>291311.35999999999</v>
      </c>
    </row>
    <row r="21" spans="1:28" s="19" customFormat="1" ht="30" customHeight="1">
      <c r="A21" s="8">
        <v>16</v>
      </c>
      <c r="B21" s="40">
        <v>99</v>
      </c>
      <c r="C21" s="12" t="s">
        <v>69</v>
      </c>
      <c r="D21" s="40" t="s">
        <v>87</v>
      </c>
      <c r="E21" s="21">
        <v>42384</v>
      </c>
      <c r="F21" s="10">
        <v>20</v>
      </c>
      <c r="G21" s="11">
        <v>40</v>
      </c>
      <c r="H21" s="11" t="s">
        <v>32</v>
      </c>
      <c r="I21" s="12" t="s">
        <v>70</v>
      </c>
      <c r="J21" s="12" t="s">
        <v>40</v>
      </c>
      <c r="K21" s="13" t="s">
        <v>44</v>
      </c>
      <c r="L21" s="14">
        <f>13813.5*2</f>
        <v>27627</v>
      </c>
      <c r="M21" s="27"/>
      <c r="N21" s="16">
        <f>832*2</f>
        <v>1664</v>
      </c>
      <c r="O21" s="16">
        <f>559.5*2</f>
        <v>1119</v>
      </c>
      <c r="P21" s="14">
        <v>0</v>
      </c>
      <c r="Q21" s="17">
        <f>+L21*0.115</f>
        <v>3177.105</v>
      </c>
      <c r="R21" s="17">
        <f>+L21*0.05</f>
        <v>1381.3500000000001</v>
      </c>
      <c r="S21" s="17">
        <v>1278.18</v>
      </c>
      <c r="T21" s="18">
        <f>+L21*0.02</f>
        <v>552.54</v>
      </c>
      <c r="U21" s="23"/>
      <c r="V21" s="18"/>
      <c r="W21" s="18">
        <f>+L21/30*60</f>
        <v>55254</v>
      </c>
      <c r="X21" s="18">
        <f>+L21/30*50</f>
        <v>46045</v>
      </c>
      <c r="Y21" s="18">
        <f>+L21/30*20*0.25</f>
        <v>4604.5</v>
      </c>
      <c r="Z21" s="18"/>
      <c r="AA21" s="18">
        <f>+L21*0.04*12</f>
        <v>13260.96</v>
      </c>
      <c r="AB21" s="18">
        <f>((+L21+N21+O21+P21+Q21+R21+S21+T21)*12)+X21+Y21+Z21+AA21+W21</f>
        <v>560754.56000000006</v>
      </c>
    </row>
    <row r="22" spans="1:28" s="19" customFormat="1" ht="30" customHeight="1">
      <c r="A22" s="8">
        <v>17</v>
      </c>
      <c r="B22" s="43">
        <v>108</v>
      </c>
      <c r="C22" s="41" t="s">
        <v>81</v>
      </c>
      <c r="D22" s="43" t="s">
        <v>88</v>
      </c>
      <c r="E22" s="28">
        <v>42716</v>
      </c>
      <c r="F22" s="29">
        <v>12</v>
      </c>
      <c r="G22" s="11">
        <v>40</v>
      </c>
      <c r="H22" s="11" t="s">
        <v>32</v>
      </c>
      <c r="I22" s="30" t="s">
        <v>39</v>
      </c>
      <c r="J22" s="30" t="s">
        <v>40</v>
      </c>
      <c r="K22" s="13" t="s">
        <v>44</v>
      </c>
      <c r="L22" s="14">
        <f>6273.9*2</f>
        <v>12547.8</v>
      </c>
      <c r="M22" s="27"/>
      <c r="N22" s="16">
        <f>549.5*2</f>
        <v>1099</v>
      </c>
      <c r="O22" s="16">
        <f>344.5*2</f>
        <v>689</v>
      </c>
      <c r="P22" s="14">
        <v>0</v>
      </c>
      <c r="Q22" s="17">
        <f>+L22*0.115</f>
        <v>1442.9970000000001</v>
      </c>
      <c r="R22" s="17">
        <f>+L22*0.05</f>
        <v>627.39</v>
      </c>
      <c r="S22" s="17">
        <v>775.9</v>
      </c>
      <c r="T22" s="18">
        <f>+L22*0.02</f>
        <v>250.95599999999999</v>
      </c>
      <c r="U22" s="23"/>
      <c r="V22" s="18"/>
      <c r="W22" s="18">
        <f>+L22/30*60</f>
        <v>25095.599999999999</v>
      </c>
      <c r="X22" s="18">
        <f>+L22/30*50</f>
        <v>20913</v>
      </c>
      <c r="Y22" s="18">
        <f>+L22/30*20*0.25</f>
        <v>2091.3000000000002</v>
      </c>
      <c r="Z22" s="18"/>
      <c r="AA22" s="18">
        <f>+L22*0.04*12</f>
        <v>6022.9439999999995</v>
      </c>
      <c r="AB22" s="18">
        <f>((+L22+N22+O22+P22+Q22+R22+S22+T22)*12)+X22+Y22+Z22+AA22+W22</f>
        <v>263319.35999999993</v>
      </c>
    </row>
    <row r="23" spans="1:28" s="19" customFormat="1" ht="30" customHeight="1">
      <c r="A23" s="8">
        <v>18</v>
      </c>
      <c r="B23" s="40">
        <v>55</v>
      </c>
      <c r="C23" s="12" t="s">
        <v>54</v>
      </c>
      <c r="D23" s="40" t="s">
        <v>87</v>
      </c>
      <c r="E23" s="25">
        <v>39494</v>
      </c>
      <c r="F23" s="10">
        <v>2</v>
      </c>
      <c r="G23" s="11">
        <v>40</v>
      </c>
      <c r="H23" s="11" t="s">
        <v>32</v>
      </c>
      <c r="I23" s="12" t="s">
        <v>55</v>
      </c>
      <c r="J23" s="12" t="s">
        <v>44</v>
      </c>
      <c r="K23" s="13" t="s">
        <v>44</v>
      </c>
      <c r="L23" s="14">
        <f>4739.4*2</f>
        <v>9478.7999999999993</v>
      </c>
      <c r="M23" s="15"/>
      <c r="N23" s="16">
        <f>368.5*2</f>
        <v>737</v>
      </c>
      <c r="O23" s="16">
        <f>227.5*2</f>
        <v>455</v>
      </c>
      <c r="P23" s="14">
        <f>73.04*2</f>
        <v>146.08000000000001</v>
      </c>
      <c r="Q23" s="17">
        <f t="shared" si="0"/>
        <v>1090.0619999999999</v>
      </c>
      <c r="R23" s="17">
        <f t="shared" si="1"/>
        <v>473.94</v>
      </c>
      <c r="S23" s="17">
        <v>680.54</v>
      </c>
      <c r="T23" s="18">
        <f t="shared" si="2"/>
        <v>189.57599999999999</v>
      </c>
      <c r="U23" s="23"/>
      <c r="V23" s="18"/>
      <c r="W23" s="18">
        <f t="shared" si="3"/>
        <v>18957.599999999999</v>
      </c>
      <c r="X23" s="18">
        <f t="shared" si="4"/>
        <v>15797.999999999998</v>
      </c>
      <c r="Y23" s="18">
        <f t="shared" si="5"/>
        <v>1579.8</v>
      </c>
      <c r="Z23" s="18"/>
      <c r="AA23" s="18">
        <f t="shared" si="6"/>
        <v>4549.8239999999996</v>
      </c>
      <c r="AB23" s="18">
        <f t="shared" si="7"/>
        <v>199897.19999999995</v>
      </c>
    </row>
    <row r="24" spans="1:28" s="19" customFormat="1" ht="30" customHeight="1">
      <c r="A24" s="8">
        <v>19</v>
      </c>
      <c r="B24" s="40">
        <v>10</v>
      </c>
      <c r="C24" s="12" t="s">
        <v>56</v>
      </c>
      <c r="D24" s="40" t="s">
        <v>87</v>
      </c>
      <c r="E24" s="9">
        <v>35849</v>
      </c>
      <c r="F24" s="10">
        <v>13</v>
      </c>
      <c r="G24" s="11">
        <v>40</v>
      </c>
      <c r="H24" s="11" t="s">
        <v>32</v>
      </c>
      <c r="I24" s="12" t="s">
        <v>57</v>
      </c>
      <c r="J24" s="12" t="s">
        <v>44</v>
      </c>
      <c r="K24" s="13" t="s">
        <v>44</v>
      </c>
      <c r="L24" s="14">
        <f>6731.85*2</f>
        <v>13463.7</v>
      </c>
      <c r="M24" s="15"/>
      <c r="N24" s="16">
        <f>564*2</f>
        <v>1128</v>
      </c>
      <c r="O24" s="16">
        <f>351.5*2</f>
        <v>703</v>
      </c>
      <c r="P24" s="14">
        <f>146.08*2</f>
        <v>292.16000000000003</v>
      </c>
      <c r="Q24" s="17">
        <f t="shared" si="0"/>
        <v>1548.3255000000001</v>
      </c>
      <c r="R24" s="17">
        <f t="shared" si="1"/>
        <v>673.18500000000006</v>
      </c>
      <c r="S24" s="17">
        <v>809.9</v>
      </c>
      <c r="T24" s="18">
        <f t="shared" si="2"/>
        <v>269.274</v>
      </c>
      <c r="U24" s="23"/>
      <c r="V24" s="18"/>
      <c r="W24" s="18">
        <f t="shared" si="3"/>
        <v>26927.4</v>
      </c>
      <c r="X24" s="18">
        <f t="shared" si="4"/>
        <v>22439.5</v>
      </c>
      <c r="Y24" s="18">
        <f t="shared" si="5"/>
        <v>2243.9500000000003</v>
      </c>
      <c r="Z24" s="18"/>
      <c r="AA24" s="18">
        <f t="shared" si="6"/>
        <v>6462.576</v>
      </c>
      <c r="AB24" s="18">
        <f t="shared" si="7"/>
        <v>284723.96000000008</v>
      </c>
    </row>
    <row r="25" spans="1:28" s="19" customFormat="1" ht="30" customHeight="1">
      <c r="A25" s="8">
        <v>20</v>
      </c>
      <c r="B25" s="40">
        <v>35</v>
      </c>
      <c r="C25" s="12" t="s">
        <v>58</v>
      </c>
      <c r="D25" s="40" t="s">
        <v>88</v>
      </c>
      <c r="E25" s="24">
        <v>37902</v>
      </c>
      <c r="F25" s="10">
        <v>10</v>
      </c>
      <c r="G25" s="11">
        <v>40</v>
      </c>
      <c r="H25" s="11" t="s">
        <v>32</v>
      </c>
      <c r="I25" s="12" t="s">
        <v>59</v>
      </c>
      <c r="J25" s="12" t="s">
        <v>44</v>
      </c>
      <c r="K25" s="13" t="s">
        <v>44</v>
      </c>
      <c r="L25" s="14">
        <f>6452.4*2</f>
        <v>12904.8</v>
      </c>
      <c r="M25" s="15"/>
      <c r="N25" s="16">
        <f>523*2</f>
        <v>1046</v>
      </c>
      <c r="O25" s="16">
        <f>333*2</f>
        <v>666</v>
      </c>
      <c r="P25" s="14">
        <f>109.56*2</f>
        <v>219.12</v>
      </c>
      <c r="Q25" s="17">
        <f t="shared" si="0"/>
        <v>1484.0519999999999</v>
      </c>
      <c r="R25" s="17">
        <f t="shared" si="1"/>
        <v>645.24</v>
      </c>
      <c r="S25" s="17">
        <v>801.81</v>
      </c>
      <c r="T25" s="18">
        <f t="shared" si="2"/>
        <v>258.096</v>
      </c>
      <c r="U25" s="23"/>
      <c r="V25" s="18"/>
      <c r="W25" s="18">
        <f t="shared" si="3"/>
        <v>25809.599999999999</v>
      </c>
      <c r="X25" s="18">
        <f t="shared" si="4"/>
        <v>21508</v>
      </c>
      <c r="Y25" s="18">
        <f t="shared" si="5"/>
        <v>2150.7999999999997</v>
      </c>
      <c r="Z25" s="18"/>
      <c r="AA25" s="18">
        <f t="shared" si="6"/>
        <v>6194.3040000000001</v>
      </c>
      <c r="AB25" s="18">
        <f t="shared" si="7"/>
        <v>271964.12</v>
      </c>
    </row>
    <row r="26" spans="1:28" s="19" customFormat="1" ht="30" customHeight="1">
      <c r="A26" s="8">
        <v>21</v>
      </c>
      <c r="B26" s="40"/>
      <c r="C26" s="12" t="s">
        <v>46</v>
      </c>
      <c r="D26" s="40"/>
      <c r="E26" s="9"/>
      <c r="F26" s="10">
        <v>11</v>
      </c>
      <c r="G26" s="11">
        <v>40</v>
      </c>
      <c r="H26" s="11" t="s">
        <v>32</v>
      </c>
      <c r="I26" s="12" t="s">
        <v>48</v>
      </c>
      <c r="J26" s="12" t="s">
        <v>44</v>
      </c>
      <c r="K26" s="13" t="s">
        <v>44</v>
      </c>
      <c r="L26" s="14">
        <f>6816.3*2</f>
        <v>13632.6</v>
      </c>
      <c r="M26" s="15"/>
      <c r="N26" s="16">
        <f>546.5*2</f>
        <v>1093</v>
      </c>
      <c r="O26" s="16">
        <f>339.5*2</f>
        <v>679</v>
      </c>
      <c r="P26" s="14">
        <v>0</v>
      </c>
      <c r="Q26" s="17">
        <f>+L26*0.115</f>
        <v>1567.749</v>
      </c>
      <c r="R26" s="17">
        <f>+L26*0.05</f>
        <v>681.63000000000011</v>
      </c>
      <c r="S26" s="17">
        <v>826.63</v>
      </c>
      <c r="T26" s="18">
        <f>+L26*0.02</f>
        <v>272.65199999999999</v>
      </c>
      <c r="U26" s="23"/>
      <c r="V26" s="18"/>
      <c r="W26" s="18">
        <f>+L26/30*60</f>
        <v>27265.200000000001</v>
      </c>
      <c r="X26" s="18">
        <f>+L26/30*50</f>
        <v>22721</v>
      </c>
      <c r="Y26" s="18">
        <f>+L26/30*20*0.25</f>
        <v>2272.1</v>
      </c>
      <c r="Z26" s="18"/>
      <c r="AA26" s="18">
        <f>+L26*0.04*12</f>
        <v>6543.6479999999992</v>
      </c>
      <c r="AB26" s="18">
        <f>((+L26+N26+O26+P26+Q26+R26+S26+T26)*12)+X26+Y26+Z26+AA26+W26</f>
        <v>283841.08</v>
      </c>
    </row>
    <row r="27" spans="1:28" s="19" customFormat="1" ht="30" customHeight="1">
      <c r="A27" s="8">
        <v>22</v>
      </c>
      <c r="B27" s="40">
        <v>29</v>
      </c>
      <c r="C27" s="12" t="s">
        <v>60</v>
      </c>
      <c r="D27" s="40" t="s">
        <v>87</v>
      </c>
      <c r="E27" s="9">
        <v>37144</v>
      </c>
      <c r="F27" s="10">
        <v>14</v>
      </c>
      <c r="G27" s="11">
        <v>40</v>
      </c>
      <c r="H27" s="11" t="s">
        <v>32</v>
      </c>
      <c r="I27" s="12" t="s">
        <v>39</v>
      </c>
      <c r="J27" s="12" t="s">
        <v>40</v>
      </c>
      <c r="K27" s="13" t="s">
        <v>44</v>
      </c>
      <c r="L27" s="14">
        <f>6983.4*2</f>
        <v>13966.8</v>
      </c>
      <c r="M27" s="15"/>
      <c r="N27" s="16">
        <f>581.5*2</f>
        <v>1163</v>
      </c>
      <c r="O27" s="16">
        <f>361*2</f>
        <v>722</v>
      </c>
      <c r="P27" s="14">
        <f>146.08*2</f>
        <v>292.16000000000003</v>
      </c>
      <c r="Q27" s="17">
        <f t="shared" si="0"/>
        <v>1606.182</v>
      </c>
      <c r="R27" s="17">
        <f t="shared" si="1"/>
        <v>698.34</v>
      </c>
      <c r="S27" s="17">
        <v>849.72</v>
      </c>
      <c r="T27" s="18">
        <f t="shared" si="2"/>
        <v>279.33600000000001</v>
      </c>
      <c r="U27" s="23"/>
      <c r="V27" s="18"/>
      <c r="W27" s="18">
        <f t="shared" si="3"/>
        <v>27933.599999999999</v>
      </c>
      <c r="X27" s="18">
        <f t="shared" si="4"/>
        <v>23278</v>
      </c>
      <c r="Y27" s="18">
        <f t="shared" si="5"/>
        <v>2327.8000000000002</v>
      </c>
      <c r="Z27" s="18"/>
      <c r="AA27" s="18">
        <f t="shared" si="6"/>
        <v>6704.0640000000003</v>
      </c>
      <c r="AB27" s="18">
        <f t="shared" si="7"/>
        <v>295173.92</v>
      </c>
    </row>
    <row r="28" spans="1:28" s="19" customFormat="1" ht="30" customHeight="1">
      <c r="A28" s="8">
        <v>23</v>
      </c>
      <c r="B28" s="40">
        <v>52</v>
      </c>
      <c r="C28" s="12" t="s">
        <v>61</v>
      </c>
      <c r="D28" s="40" t="s">
        <v>87</v>
      </c>
      <c r="E28" s="9">
        <v>39083</v>
      </c>
      <c r="F28" s="10">
        <v>1</v>
      </c>
      <c r="G28" s="11">
        <v>40</v>
      </c>
      <c r="H28" s="11" t="s">
        <v>32</v>
      </c>
      <c r="I28" s="12" t="s">
        <v>33</v>
      </c>
      <c r="J28" s="12" t="s">
        <v>34</v>
      </c>
      <c r="K28" s="13" t="s">
        <v>44</v>
      </c>
      <c r="L28" s="14">
        <f>3840.45*2</f>
        <v>7680.9</v>
      </c>
      <c r="M28" s="15"/>
      <c r="N28" s="16">
        <f>278*2</f>
        <v>556</v>
      </c>
      <c r="O28" s="16">
        <f>171.5*2</f>
        <v>343</v>
      </c>
      <c r="P28" s="14">
        <v>219.12</v>
      </c>
      <c r="Q28" s="17">
        <f t="shared" si="0"/>
        <v>883.30349999999999</v>
      </c>
      <c r="R28" s="17">
        <f t="shared" si="1"/>
        <v>384.04500000000002</v>
      </c>
      <c r="S28" s="17">
        <v>662.53</v>
      </c>
      <c r="T28" s="18">
        <f t="shared" si="2"/>
        <v>153.61799999999999</v>
      </c>
      <c r="U28" s="23"/>
      <c r="V28" s="18"/>
      <c r="W28" s="18">
        <f t="shared" si="3"/>
        <v>15361.8</v>
      </c>
      <c r="X28" s="18">
        <f t="shared" si="4"/>
        <v>12801.499999999998</v>
      </c>
      <c r="Y28" s="18">
        <f t="shared" si="5"/>
        <v>1280.1499999999999</v>
      </c>
      <c r="Z28" s="18"/>
      <c r="AA28" s="18">
        <f t="shared" si="6"/>
        <v>3686.8319999999999</v>
      </c>
      <c r="AB28" s="18">
        <f t="shared" si="7"/>
        <v>163720.47999999998</v>
      </c>
    </row>
    <row r="29" spans="1:28" s="19" customFormat="1" ht="30" customHeight="1">
      <c r="A29" s="8">
        <v>24</v>
      </c>
      <c r="B29" s="40">
        <v>95</v>
      </c>
      <c r="C29" s="39" t="s">
        <v>62</v>
      </c>
      <c r="D29" s="40" t="s">
        <v>87</v>
      </c>
      <c r="E29" s="9">
        <v>42275</v>
      </c>
      <c r="F29" s="10">
        <v>30</v>
      </c>
      <c r="G29" s="11">
        <v>40</v>
      </c>
      <c r="H29" s="11" t="s">
        <v>32</v>
      </c>
      <c r="I29" s="12" t="s">
        <v>63</v>
      </c>
      <c r="J29" s="12" t="s">
        <v>64</v>
      </c>
      <c r="K29" s="13" t="s">
        <v>44</v>
      </c>
      <c r="L29" s="22">
        <f>38469*2</f>
        <v>76938</v>
      </c>
      <c r="M29" s="15"/>
      <c r="N29" s="16"/>
      <c r="O29" s="16"/>
      <c r="P29" s="14">
        <v>0</v>
      </c>
      <c r="Q29" s="17">
        <f t="shared" si="0"/>
        <v>8847.8700000000008</v>
      </c>
      <c r="R29" s="17">
        <f t="shared" si="1"/>
        <v>3846.9</v>
      </c>
      <c r="S29" s="17">
        <v>1494.25</v>
      </c>
      <c r="T29" s="18">
        <f t="shared" si="2"/>
        <v>1538.76</v>
      </c>
      <c r="U29" s="23"/>
      <c r="V29" s="18"/>
      <c r="W29" s="18">
        <f t="shared" si="3"/>
        <v>153876</v>
      </c>
      <c r="X29" s="18">
        <f t="shared" si="4"/>
        <v>128230</v>
      </c>
      <c r="Y29" s="18">
        <f t="shared" si="5"/>
        <v>12823</v>
      </c>
      <c r="Z29" s="18"/>
      <c r="AA29" s="18">
        <f t="shared" si="6"/>
        <v>36930.239999999998</v>
      </c>
      <c r="AB29" s="18">
        <f t="shared" si="7"/>
        <v>1443848.5999999999</v>
      </c>
    </row>
    <row r="30" spans="1:28" s="19" customFormat="1" ht="30" customHeight="1">
      <c r="A30" s="8">
        <v>25</v>
      </c>
      <c r="B30" s="40">
        <v>63</v>
      </c>
      <c r="C30" s="12" t="s">
        <v>65</v>
      </c>
      <c r="D30" s="40" t="s">
        <v>88</v>
      </c>
      <c r="E30" s="9">
        <v>39904</v>
      </c>
      <c r="F30" s="10">
        <v>11</v>
      </c>
      <c r="G30" s="11">
        <v>40</v>
      </c>
      <c r="H30" s="11" t="s">
        <v>32</v>
      </c>
      <c r="I30" s="12" t="s">
        <v>39</v>
      </c>
      <c r="J30" s="12" t="s">
        <v>40</v>
      </c>
      <c r="K30" s="13" t="s">
        <v>44</v>
      </c>
      <c r="L30" s="14">
        <f>6816.3*2</f>
        <v>13632.6</v>
      </c>
      <c r="M30" s="15"/>
      <c r="N30" s="16">
        <f>546.5*2</f>
        <v>1093</v>
      </c>
      <c r="O30" s="16">
        <f>339.5*2</f>
        <v>679</v>
      </c>
      <c r="P30" s="14">
        <f>73.04*2</f>
        <v>146.08000000000001</v>
      </c>
      <c r="Q30" s="17">
        <f t="shared" si="0"/>
        <v>1567.749</v>
      </c>
      <c r="R30" s="17">
        <f t="shared" si="1"/>
        <v>681.63000000000011</v>
      </c>
      <c r="S30" s="17">
        <v>826.63</v>
      </c>
      <c r="T30" s="18">
        <f t="shared" si="2"/>
        <v>272.65199999999999</v>
      </c>
      <c r="U30" s="23"/>
      <c r="V30" s="18"/>
      <c r="W30" s="18">
        <f t="shared" si="3"/>
        <v>27265.200000000001</v>
      </c>
      <c r="X30" s="18">
        <f t="shared" si="4"/>
        <v>22721</v>
      </c>
      <c r="Y30" s="18">
        <f t="shared" si="5"/>
        <v>2272.1</v>
      </c>
      <c r="Z30" s="18"/>
      <c r="AA30" s="18">
        <f t="shared" si="6"/>
        <v>6543.6479999999992</v>
      </c>
      <c r="AB30" s="18">
        <f t="shared" si="7"/>
        <v>285594.03999999998</v>
      </c>
    </row>
    <row r="31" spans="1:28" s="19" customFormat="1" ht="30" customHeight="1">
      <c r="A31" s="8">
        <v>26</v>
      </c>
      <c r="B31" s="40">
        <v>100</v>
      </c>
      <c r="C31" s="12" t="s">
        <v>66</v>
      </c>
      <c r="D31" s="40" t="s">
        <v>88</v>
      </c>
      <c r="E31" s="9">
        <v>42385</v>
      </c>
      <c r="F31" s="10">
        <v>20</v>
      </c>
      <c r="G31" s="11">
        <v>40</v>
      </c>
      <c r="H31" s="11" t="s">
        <v>32</v>
      </c>
      <c r="I31" s="12" t="s">
        <v>67</v>
      </c>
      <c r="J31" s="12" t="s">
        <v>44</v>
      </c>
      <c r="K31" s="13" t="s">
        <v>44</v>
      </c>
      <c r="L31" s="14">
        <f>13813.5*2</f>
        <v>27627</v>
      </c>
      <c r="M31" s="26"/>
      <c r="N31" s="16">
        <f>832*2</f>
        <v>1664</v>
      </c>
      <c r="O31" s="16">
        <f>559.5*2</f>
        <v>1119</v>
      </c>
      <c r="P31" s="14">
        <v>0</v>
      </c>
      <c r="Q31" s="17">
        <f t="shared" si="0"/>
        <v>3177.105</v>
      </c>
      <c r="R31" s="17">
        <f t="shared" si="1"/>
        <v>1381.3500000000001</v>
      </c>
      <c r="S31" s="17">
        <v>1278.18</v>
      </c>
      <c r="T31" s="18">
        <f t="shared" si="2"/>
        <v>552.54</v>
      </c>
      <c r="U31" s="23"/>
      <c r="V31" s="18"/>
      <c r="W31" s="18">
        <f t="shared" si="3"/>
        <v>55254</v>
      </c>
      <c r="X31" s="18">
        <f t="shared" si="4"/>
        <v>46045</v>
      </c>
      <c r="Y31" s="18">
        <f t="shared" si="5"/>
        <v>4604.5</v>
      </c>
      <c r="Z31" s="18"/>
      <c r="AA31" s="18">
        <f t="shared" si="6"/>
        <v>13260.96</v>
      </c>
      <c r="AB31" s="18">
        <f t="shared" si="7"/>
        <v>560754.56000000006</v>
      </c>
    </row>
    <row r="32" spans="1:28" s="19" customFormat="1" ht="30" customHeight="1">
      <c r="A32" s="8">
        <v>27</v>
      </c>
      <c r="B32" s="43">
        <v>109</v>
      </c>
      <c r="C32" s="41" t="s">
        <v>82</v>
      </c>
      <c r="D32" s="43" t="s">
        <v>88</v>
      </c>
      <c r="E32" s="28">
        <v>42689</v>
      </c>
      <c r="F32" s="29">
        <v>15</v>
      </c>
      <c r="G32" s="11">
        <v>40</v>
      </c>
      <c r="H32" s="11" t="s">
        <v>32</v>
      </c>
      <c r="I32" s="30" t="s">
        <v>76</v>
      </c>
      <c r="J32" s="30" t="s">
        <v>40</v>
      </c>
      <c r="K32" s="13" t="s">
        <v>44</v>
      </c>
      <c r="L32" s="14">
        <v>15125</v>
      </c>
      <c r="M32" s="27"/>
      <c r="N32" s="16">
        <v>1206</v>
      </c>
      <c r="O32" s="16">
        <v>756</v>
      </c>
      <c r="P32" s="14">
        <v>0</v>
      </c>
      <c r="Q32" s="17">
        <f>+L32*0.115</f>
        <v>1739.375</v>
      </c>
      <c r="R32" s="17">
        <f>+L32*0.05</f>
        <v>756.25</v>
      </c>
      <c r="S32" s="17">
        <v>856</v>
      </c>
      <c r="T32" s="18">
        <f>+L32*0.02</f>
        <v>302.5</v>
      </c>
      <c r="U32" s="23"/>
      <c r="V32" s="18"/>
      <c r="W32" s="18">
        <f>+L32/30*60</f>
        <v>30250</v>
      </c>
      <c r="X32" s="18">
        <f>+L32/30*50</f>
        <v>25208.333333333336</v>
      </c>
      <c r="Y32" s="18">
        <f>+L32/30*20*0.25</f>
        <v>2520.8333333333335</v>
      </c>
      <c r="Z32" s="18"/>
      <c r="AA32" s="18">
        <f>+L32*0.04*12</f>
        <v>7260</v>
      </c>
      <c r="AB32" s="18">
        <f>((+L32+N32+O32+P32+Q32+R32+S32+T32)*12)+X32+Y32+Z32+AA32+W32</f>
        <v>314132.66666666663</v>
      </c>
    </row>
    <row r="33" spans="1:28" s="19" customFormat="1" ht="30" customHeight="1">
      <c r="A33" s="8">
        <v>28</v>
      </c>
      <c r="B33" s="40">
        <v>64</v>
      </c>
      <c r="C33" s="12" t="s">
        <v>68</v>
      </c>
      <c r="D33" s="40" t="s">
        <v>88</v>
      </c>
      <c r="E33" s="24">
        <v>37902</v>
      </c>
      <c r="F33" s="10">
        <v>14</v>
      </c>
      <c r="G33" s="11">
        <v>40</v>
      </c>
      <c r="H33" s="11" t="s">
        <v>32</v>
      </c>
      <c r="I33" s="12" t="s">
        <v>42</v>
      </c>
      <c r="J33" s="12" t="s">
        <v>40</v>
      </c>
      <c r="K33" s="13" t="s">
        <v>44</v>
      </c>
      <c r="L33" s="14">
        <f>6983.4*2</f>
        <v>13966.8</v>
      </c>
      <c r="M33" s="27"/>
      <c r="N33" s="16">
        <f>581.5*2</f>
        <v>1163</v>
      </c>
      <c r="O33" s="16">
        <f>361*2</f>
        <v>722</v>
      </c>
      <c r="P33" s="14">
        <f>109.56*2</f>
        <v>219.12</v>
      </c>
      <c r="Q33" s="17">
        <f t="shared" si="0"/>
        <v>1606.182</v>
      </c>
      <c r="R33" s="17">
        <f t="shared" si="1"/>
        <v>698.34</v>
      </c>
      <c r="S33" s="17">
        <v>849.72</v>
      </c>
      <c r="T33" s="18">
        <f t="shared" si="2"/>
        <v>279.33600000000001</v>
      </c>
      <c r="U33" s="23"/>
      <c r="V33" s="18"/>
      <c r="W33" s="18">
        <f t="shared" si="3"/>
        <v>27933.599999999999</v>
      </c>
      <c r="X33" s="18">
        <f t="shared" si="4"/>
        <v>23278</v>
      </c>
      <c r="Y33" s="18">
        <f t="shared" si="5"/>
        <v>2327.8000000000002</v>
      </c>
      <c r="Z33" s="18"/>
      <c r="AA33" s="18">
        <f t="shared" si="6"/>
        <v>6704.0640000000003</v>
      </c>
      <c r="AB33" s="18">
        <f t="shared" si="7"/>
        <v>294297.43999999994</v>
      </c>
    </row>
    <row r="34" spans="1:28" s="19" customFormat="1" ht="30" customHeight="1">
      <c r="A34" s="8">
        <v>29</v>
      </c>
      <c r="B34" s="43">
        <v>104</v>
      </c>
      <c r="C34" s="30" t="s">
        <v>73</v>
      </c>
      <c r="D34" s="43" t="s">
        <v>87</v>
      </c>
      <c r="E34" s="28">
        <v>42675</v>
      </c>
      <c r="F34" s="29">
        <v>14</v>
      </c>
      <c r="G34" s="11">
        <v>40</v>
      </c>
      <c r="H34" s="11" t="s">
        <v>32</v>
      </c>
      <c r="I34" s="30" t="s">
        <v>74</v>
      </c>
      <c r="J34" s="30" t="s">
        <v>44</v>
      </c>
      <c r="K34" s="13" t="s">
        <v>44</v>
      </c>
      <c r="L34" s="14">
        <f>6983.4*2</f>
        <v>13966.8</v>
      </c>
      <c r="M34" s="27"/>
      <c r="N34" s="16">
        <f>361*2</f>
        <v>722</v>
      </c>
      <c r="O34" s="16">
        <f>581.5*2</f>
        <v>1163</v>
      </c>
      <c r="P34" s="14">
        <v>0</v>
      </c>
      <c r="Q34" s="17">
        <f t="shared" si="0"/>
        <v>1606.182</v>
      </c>
      <c r="R34" s="17">
        <f t="shared" si="1"/>
        <v>698.34</v>
      </c>
      <c r="S34" s="17">
        <v>932.57</v>
      </c>
      <c r="T34" s="18">
        <f t="shared" si="2"/>
        <v>279.33600000000001</v>
      </c>
      <c r="U34" s="23"/>
      <c r="V34" s="18"/>
      <c r="W34" s="18">
        <f t="shared" si="3"/>
        <v>27933.599999999999</v>
      </c>
      <c r="X34" s="18">
        <f t="shared" si="4"/>
        <v>23278</v>
      </c>
      <c r="Y34" s="18">
        <f t="shared" si="5"/>
        <v>2327.8000000000002</v>
      </c>
      <c r="Z34" s="18"/>
      <c r="AA34" s="18">
        <f t="shared" si="6"/>
        <v>6704.0640000000003</v>
      </c>
      <c r="AB34" s="18">
        <f t="shared" si="7"/>
        <v>292662.19999999995</v>
      </c>
    </row>
    <row r="35" spans="1:28" s="19" customFormat="1" ht="30" customHeight="1">
      <c r="A35" s="8">
        <v>30</v>
      </c>
      <c r="B35" s="43"/>
      <c r="C35" s="30" t="s">
        <v>46</v>
      </c>
      <c r="D35" s="43"/>
      <c r="E35" s="28"/>
      <c r="F35" s="29">
        <v>15</v>
      </c>
      <c r="G35" s="11">
        <v>40</v>
      </c>
      <c r="H35" s="11" t="s">
        <v>32</v>
      </c>
      <c r="I35" s="30" t="s">
        <v>75</v>
      </c>
      <c r="J35" s="30" t="s">
        <v>40</v>
      </c>
      <c r="K35" s="13" t="s">
        <v>44</v>
      </c>
      <c r="L35" s="14">
        <v>15125</v>
      </c>
      <c r="M35" s="27"/>
      <c r="N35" s="16">
        <v>1206</v>
      </c>
      <c r="O35" s="16">
        <v>756</v>
      </c>
      <c r="P35" s="14">
        <v>0</v>
      </c>
      <c r="Q35" s="17">
        <f t="shared" si="0"/>
        <v>1739.375</v>
      </c>
      <c r="R35" s="17">
        <f t="shared" si="1"/>
        <v>756.25</v>
      </c>
      <c r="S35" s="17">
        <v>856</v>
      </c>
      <c r="T35" s="18">
        <f t="shared" si="2"/>
        <v>302.5</v>
      </c>
      <c r="U35" s="23"/>
      <c r="V35" s="18"/>
      <c r="W35" s="18">
        <f t="shared" si="3"/>
        <v>30250</v>
      </c>
      <c r="X35" s="18">
        <f t="shared" si="4"/>
        <v>25208.333333333336</v>
      </c>
      <c r="Y35" s="18">
        <f t="shared" si="5"/>
        <v>2520.8333333333335</v>
      </c>
      <c r="Z35" s="18"/>
      <c r="AA35" s="18">
        <f t="shared" si="6"/>
        <v>7260</v>
      </c>
      <c r="AB35" s="18">
        <f t="shared" si="7"/>
        <v>314132.66666666663</v>
      </c>
    </row>
    <row r="36" spans="1:28" s="19" customFormat="1" ht="30" customHeight="1">
      <c r="A36" s="8">
        <v>31</v>
      </c>
      <c r="B36" s="43">
        <v>105</v>
      </c>
      <c r="C36" s="30" t="s">
        <v>77</v>
      </c>
      <c r="D36" s="43" t="s">
        <v>87</v>
      </c>
      <c r="E36" s="28">
        <v>42686</v>
      </c>
      <c r="F36" s="29">
        <v>1</v>
      </c>
      <c r="G36" s="11">
        <v>40</v>
      </c>
      <c r="H36" s="11" t="s">
        <v>32</v>
      </c>
      <c r="I36" s="30" t="s">
        <v>33</v>
      </c>
      <c r="J36" s="30" t="s">
        <v>34</v>
      </c>
      <c r="K36" s="13" t="s">
        <v>44</v>
      </c>
      <c r="L36" s="14">
        <f>3840.45*2</f>
        <v>7680.9</v>
      </c>
      <c r="M36" s="27"/>
      <c r="N36" s="16">
        <f>171.48*2</f>
        <v>342.96</v>
      </c>
      <c r="O36" s="16">
        <f>277.98*2</f>
        <v>555.96</v>
      </c>
      <c r="P36" s="14">
        <v>0</v>
      </c>
      <c r="Q36" s="17">
        <f>+L36*0.115</f>
        <v>883.30349999999999</v>
      </c>
      <c r="R36" s="17">
        <f>+L36*0.05</f>
        <v>384.04500000000002</v>
      </c>
      <c r="S36" s="17">
        <v>624.66</v>
      </c>
      <c r="T36" s="18">
        <f>+L36*0.02</f>
        <v>153.61799999999999</v>
      </c>
      <c r="U36" s="23"/>
      <c r="V36" s="18"/>
      <c r="W36" s="18">
        <f>+L36/30*60</f>
        <v>15361.8</v>
      </c>
      <c r="X36" s="18">
        <f>+L36/30*50</f>
        <v>12801.499999999998</v>
      </c>
      <c r="Y36" s="18">
        <f>+L36/30*20*0.25</f>
        <v>1280.1499999999999</v>
      </c>
      <c r="Z36" s="18"/>
      <c r="AA36" s="18">
        <f>+L36*0.04*12</f>
        <v>3686.8319999999999</v>
      </c>
      <c r="AB36" s="18">
        <f>((+L36+N36+O36+P36+Q36+R36+S36+T36)*12)+X36+Y36+Z36+AA36+W36</f>
        <v>160635.63999999998</v>
      </c>
    </row>
    <row r="37" spans="1:28" s="19" customFormat="1" ht="30" customHeight="1">
      <c r="A37" s="8">
        <v>32</v>
      </c>
      <c r="B37" s="40"/>
      <c r="C37" s="30" t="s">
        <v>78</v>
      </c>
      <c r="D37" s="43"/>
      <c r="E37" s="28"/>
      <c r="F37" s="29">
        <v>12</v>
      </c>
      <c r="G37" s="11">
        <v>40</v>
      </c>
      <c r="H37" s="11" t="s">
        <v>32</v>
      </c>
      <c r="I37" s="30" t="s">
        <v>39</v>
      </c>
      <c r="J37" s="30" t="s">
        <v>40</v>
      </c>
      <c r="K37" s="13" t="s">
        <v>44</v>
      </c>
      <c r="L37" s="14">
        <f>6273.9*2</f>
        <v>12547.8</v>
      </c>
      <c r="M37" s="27"/>
      <c r="N37" s="16">
        <v>1099</v>
      </c>
      <c r="O37" s="16">
        <v>689</v>
      </c>
      <c r="P37" s="14">
        <v>0</v>
      </c>
      <c r="Q37" s="17">
        <f t="shared" si="0"/>
        <v>1442.9970000000001</v>
      </c>
      <c r="R37" s="17">
        <f t="shared" si="1"/>
        <v>627.39</v>
      </c>
      <c r="S37" s="17">
        <v>775.9</v>
      </c>
      <c r="T37" s="18">
        <f t="shared" si="2"/>
        <v>250.95599999999999</v>
      </c>
      <c r="U37" s="23"/>
      <c r="V37" s="18"/>
      <c r="W37" s="18">
        <f t="shared" si="3"/>
        <v>25095.599999999999</v>
      </c>
      <c r="X37" s="18">
        <f t="shared" si="4"/>
        <v>20913</v>
      </c>
      <c r="Y37" s="18">
        <f t="shared" si="5"/>
        <v>2091.3000000000002</v>
      </c>
      <c r="Z37" s="18"/>
      <c r="AA37" s="18">
        <f t="shared" si="6"/>
        <v>6022.9439999999995</v>
      </c>
      <c r="AB37" s="18">
        <f t="shared" si="7"/>
        <v>263319.35999999993</v>
      </c>
    </row>
    <row r="38" spans="1:28" s="19" customFormat="1">
      <c r="A38" s="31"/>
      <c r="B38" s="32"/>
      <c r="C38" s="33"/>
      <c r="D38" s="33"/>
      <c r="E38" s="33"/>
      <c r="F38" s="34"/>
      <c r="G38" s="33"/>
      <c r="H38" s="33"/>
      <c r="I38" s="34"/>
      <c r="J38" s="33"/>
      <c r="K38" s="33"/>
      <c r="L38" s="55">
        <f t="shared" ref="L38:AB38" si="8">SUM(L6:L37)</f>
        <v>558683.1</v>
      </c>
      <c r="M38" s="55">
        <f t="shared" si="8"/>
        <v>0</v>
      </c>
      <c r="N38" s="55">
        <f t="shared" si="8"/>
        <v>34578.959999999999</v>
      </c>
      <c r="O38" s="55">
        <f t="shared" si="8"/>
        <v>23230.959999999999</v>
      </c>
      <c r="P38" s="55">
        <f t="shared" si="8"/>
        <v>3154.7199999999993</v>
      </c>
      <c r="Q38" s="55">
        <f t="shared" si="8"/>
        <v>64248.556500000028</v>
      </c>
      <c r="R38" s="55">
        <f t="shared" si="8"/>
        <v>27934.154999999999</v>
      </c>
      <c r="S38" s="55">
        <f t="shared" si="8"/>
        <v>29133.680000000008</v>
      </c>
      <c r="T38" s="55">
        <f t="shared" si="8"/>
        <v>11173.662</v>
      </c>
      <c r="U38" s="55">
        <f t="shared" si="8"/>
        <v>0</v>
      </c>
      <c r="V38" s="55">
        <f t="shared" si="8"/>
        <v>0</v>
      </c>
      <c r="W38" s="55">
        <f t="shared" si="8"/>
        <v>1117366.2</v>
      </c>
      <c r="X38" s="55">
        <f t="shared" si="8"/>
        <v>931138.5</v>
      </c>
      <c r="Y38" s="55">
        <f t="shared" si="8"/>
        <v>93113.85000000002</v>
      </c>
      <c r="Z38" s="55">
        <f t="shared" si="8"/>
        <v>0</v>
      </c>
      <c r="AA38" s="55">
        <f t="shared" si="8"/>
        <v>268167.88799999998</v>
      </c>
      <c r="AB38" s="55">
        <f t="shared" si="8"/>
        <v>11435439.959999999</v>
      </c>
    </row>
    <row r="39" spans="1:28" s="3" customFormat="1">
      <c r="A39" s="37"/>
      <c r="B39" s="5"/>
      <c r="C39" s="37"/>
      <c r="E39" s="37"/>
      <c r="I39" s="1"/>
      <c r="J39" s="1"/>
      <c r="K39" s="1"/>
      <c r="M39" s="5"/>
      <c r="N39" s="5"/>
      <c r="O39" s="5"/>
      <c r="P39" s="5"/>
      <c r="Q39" s="5"/>
      <c r="R39" s="5"/>
      <c r="S39" s="5"/>
      <c r="T39" s="1"/>
      <c r="U39" s="1"/>
      <c r="V39" s="1"/>
      <c r="W39" s="1"/>
      <c r="X39" s="1"/>
      <c r="AB39" s="35"/>
    </row>
    <row r="40" spans="1:28" s="3" customFormat="1">
      <c r="A40" s="37"/>
      <c r="B40" s="5"/>
      <c r="C40" s="37"/>
      <c r="E40" s="37"/>
      <c r="I40" s="1"/>
      <c r="J40" s="1"/>
      <c r="K40" s="1"/>
      <c r="L40" s="56">
        <f>SUM(L38*12)</f>
        <v>6704197.1999999993</v>
      </c>
      <c r="M40" s="56">
        <f t="shared" ref="M40:S40" si="9">SUM(M38*12)</f>
        <v>0</v>
      </c>
      <c r="N40" s="56">
        <f t="shared" si="9"/>
        <v>414947.52</v>
      </c>
      <c r="O40" s="56">
        <f t="shared" si="9"/>
        <v>278771.52</v>
      </c>
      <c r="P40" s="56">
        <f t="shared" si="9"/>
        <v>37856.639999999992</v>
      </c>
      <c r="Q40" s="56">
        <f t="shared" si="9"/>
        <v>770982.67800000031</v>
      </c>
      <c r="R40" s="56">
        <f t="shared" si="9"/>
        <v>335209.86</v>
      </c>
      <c r="S40" s="56">
        <f t="shared" si="9"/>
        <v>349604.16000000009</v>
      </c>
      <c r="T40" s="56">
        <f>SUM(T38*12)</f>
        <v>134083.94400000002</v>
      </c>
      <c r="U40" s="1"/>
      <c r="V40" s="1"/>
      <c r="W40" s="36"/>
      <c r="X40" s="1"/>
      <c r="AB40" s="35"/>
    </row>
    <row r="41" spans="1:28" s="3" customFormat="1">
      <c r="A41" s="37"/>
      <c r="B41" s="5"/>
      <c r="C41" s="37"/>
      <c r="E41" s="37"/>
      <c r="I41" s="1"/>
      <c r="J41" s="1"/>
      <c r="K41" s="1"/>
      <c r="M41" s="5"/>
      <c r="N41" s="5"/>
      <c r="O41" s="5"/>
      <c r="P41" s="5"/>
      <c r="Q41" s="5"/>
      <c r="R41" s="5"/>
      <c r="S41" s="5"/>
      <c r="T41" s="1"/>
      <c r="U41" s="1"/>
      <c r="V41" s="1"/>
      <c r="W41" s="1"/>
      <c r="X41" s="1"/>
      <c r="AB41" s="35"/>
    </row>
    <row r="42" spans="1:28" s="3" customFormat="1">
      <c r="B42" s="5"/>
      <c r="C42" s="1"/>
      <c r="E42" s="1"/>
      <c r="I42" s="1"/>
      <c r="J42" s="1"/>
      <c r="K42" s="1"/>
      <c r="M42" s="5"/>
      <c r="N42" s="5"/>
      <c r="O42" s="5"/>
      <c r="P42" s="5"/>
      <c r="Q42" s="5"/>
      <c r="R42" s="5"/>
      <c r="S42" s="5"/>
      <c r="T42" s="1"/>
      <c r="U42" s="1"/>
      <c r="V42" s="1"/>
      <c r="W42" s="1"/>
      <c r="X42" s="1"/>
      <c r="AB42" s="35"/>
    </row>
    <row r="43" spans="1:28" s="3" customFormat="1">
      <c r="B43" s="5"/>
      <c r="C43" s="1"/>
      <c r="E43" s="1"/>
      <c r="I43" s="1"/>
      <c r="J43" s="1"/>
      <c r="K43" s="1"/>
      <c r="M43" s="5"/>
      <c r="N43" s="5"/>
      <c r="O43" s="5"/>
      <c r="P43" s="5"/>
      <c r="Q43" s="5"/>
      <c r="R43" s="5"/>
      <c r="S43" s="5"/>
      <c r="T43" s="1"/>
      <c r="U43" s="1"/>
      <c r="V43" s="1"/>
      <c r="W43" s="1"/>
      <c r="X43" s="1"/>
      <c r="AB43" s="35"/>
    </row>
    <row r="44" spans="1:28" s="3" customFormat="1">
      <c r="B44" s="5"/>
      <c r="C44" s="1"/>
      <c r="E44" s="1"/>
      <c r="I44" s="1"/>
      <c r="J44" s="1"/>
      <c r="K44" s="1"/>
      <c r="M44" s="5"/>
      <c r="N44" s="5"/>
      <c r="O44" s="5"/>
      <c r="P44" s="5"/>
      <c r="Q44" s="5"/>
      <c r="R44" s="5"/>
      <c r="S44" s="5"/>
      <c r="T44" s="1"/>
      <c r="U44" s="1"/>
      <c r="V44" s="1"/>
      <c r="W44" s="1"/>
      <c r="X44" s="1"/>
      <c r="AB44" s="35"/>
    </row>
    <row r="45" spans="1:28" s="3" customFormat="1">
      <c r="B45" s="5"/>
      <c r="C45" s="1"/>
      <c r="E45" s="1"/>
      <c r="I45" s="1"/>
      <c r="J45" s="1"/>
      <c r="K45" s="1"/>
      <c r="M45" s="5"/>
      <c r="N45" s="5"/>
      <c r="O45" s="5"/>
      <c r="P45" s="5"/>
      <c r="Q45" s="5"/>
      <c r="R45" s="5"/>
      <c r="S45" s="5"/>
      <c r="T45" s="1"/>
      <c r="U45" s="1"/>
      <c r="V45" s="1"/>
      <c r="W45" s="1"/>
      <c r="X45" s="1"/>
      <c r="AB45" s="35"/>
    </row>
    <row r="46" spans="1:28" s="3" customFormat="1">
      <c r="B46" s="5"/>
      <c r="C46" s="1"/>
      <c r="E46" s="1"/>
      <c r="I46" s="1"/>
      <c r="J46" s="1"/>
      <c r="K46" s="1"/>
      <c r="M46" s="5"/>
      <c r="N46" s="5"/>
      <c r="O46" s="5"/>
      <c r="P46" s="5"/>
      <c r="Q46" s="5"/>
      <c r="R46" s="5"/>
      <c r="S46" s="5"/>
      <c r="T46" s="1"/>
      <c r="U46" s="1"/>
      <c r="V46" s="1"/>
      <c r="W46" s="1"/>
      <c r="X46" s="1"/>
      <c r="AB46" s="35"/>
    </row>
    <row r="47" spans="1:28" s="3" customFormat="1">
      <c r="B47" s="5"/>
      <c r="C47" s="1"/>
      <c r="E47" s="1"/>
      <c r="I47" s="1"/>
      <c r="J47" s="1"/>
      <c r="K47" s="1"/>
      <c r="M47" s="5"/>
      <c r="N47" s="5"/>
      <c r="O47" s="5"/>
      <c r="P47" s="5"/>
      <c r="Q47" s="5"/>
      <c r="R47" s="5"/>
      <c r="S47" s="5"/>
      <c r="T47" s="1"/>
      <c r="U47" s="1"/>
      <c r="V47" s="1"/>
      <c r="W47" s="1"/>
      <c r="X47" s="1"/>
      <c r="AB47" s="35"/>
    </row>
    <row r="48" spans="1:28" s="3" customFormat="1">
      <c r="B48" s="5"/>
      <c r="C48" s="1"/>
      <c r="E48" s="1"/>
      <c r="I48" s="1"/>
      <c r="J48" s="1"/>
      <c r="K48" s="1"/>
      <c r="M48" s="5"/>
      <c r="N48" s="5"/>
      <c r="O48" s="5"/>
      <c r="P48" s="5"/>
      <c r="Q48" s="5"/>
      <c r="R48" s="5"/>
      <c r="S48" s="5"/>
      <c r="T48" s="1"/>
      <c r="U48" s="1"/>
      <c r="V48" s="1"/>
      <c r="W48" s="1"/>
      <c r="X48" s="1"/>
      <c r="AB48" s="35"/>
    </row>
    <row r="49" spans="2:28" s="3" customFormat="1">
      <c r="B49" s="5"/>
      <c r="C49" s="1"/>
      <c r="E49" s="1"/>
      <c r="I49" s="1"/>
      <c r="J49" s="1"/>
      <c r="K49" s="1"/>
      <c r="M49" s="5"/>
      <c r="N49" s="5"/>
      <c r="O49" s="5"/>
      <c r="P49" s="5"/>
      <c r="Q49" s="5"/>
      <c r="R49" s="5"/>
      <c r="S49" s="5"/>
      <c r="T49" s="1"/>
      <c r="U49" s="1"/>
      <c r="V49" s="1"/>
      <c r="W49" s="1"/>
      <c r="X49" s="1"/>
      <c r="AB49" s="35"/>
    </row>
    <row r="50" spans="2:28" s="3" customFormat="1">
      <c r="B50" s="5"/>
      <c r="C50" s="1"/>
      <c r="E50" s="1"/>
      <c r="I50" s="1"/>
      <c r="J50" s="1"/>
      <c r="K50" s="1"/>
      <c r="M50" s="5"/>
      <c r="N50" s="5"/>
      <c r="O50" s="5"/>
      <c r="P50" s="5"/>
      <c r="Q50" s="5"/>
      <c r="R50" s="5"/>
      <c r="S50" s="5"/>
      <c r="T50" s="1"/>
      <c r="U50" s="1"/>
      <c r="V50" s="1"/>
      <c r="W50" s="1"/>
      <c r="X50" s="1"/>
      <c r="AB50" s="35"/>
    </row>
    <row r="51" spans="2:28" s="3" customFormat="1">
      <c r="B51" s="5"/>
      <c r="C51" s="1"/>
      <c r="E51" s="1"/>
      <c r="I51" s="1"/>
      <c r="J51" s="1"/>
      <c r="K51" s="1"/>
      <c r="M51" s="5"/>
      <c r="N51" s="5"/>
      <c r="O51" s="5"/>
      <c r="P51" s="5"/>
      <c r="Q51" s="5"/>
      <c r="R51" s="5"/>
      <c r="S51" s="5"/>
      <c r="T51" s="1"/>
      <c r="U51" s="1"/>
      <c r="V51" s="1"/>
      <c r="W51" s="1"/>
      <c r="X51" s="1"/>
      <c r="AB51" s="35"/>
    </row>
    <row r="52" spans="2:28" s="3" customFormat="1">
      <c r="B52" s="5"/>
      <c r="C52" s="1"/>
      <c r="E52" s="1"/>
      <c r="I52" s="1"/>
      <c r="J52" s="1"/>
      <c r="K52" s="1"/>
      <c r="M52" s="5"/>
      <c r="N52" s="5"/>
      <c r="O52" s="5"/>
      <c r="P52" s="5"/>
      <c r="Q52" s="5"/>
      <c r="R52" s="5"/>
      <c r="S52" s="5"/>
      <c r="T52" s="1"/>
      <c r="U52" s="1"/>
      <c r="V52" s="1"/>
      <c r="W52" s="1"/>
      <c r="X52" s="1"/>
      <c r="AB52" s="35"/>
    </row>
    <row r="53" spans="2:28" s="3" customFormat="1">
      <c r="B53" s="5"/>
      <c r="C53" s="1"/>
      <c r="E53" s="1"/>
      <c r="I53" s="1"/>
      <c r="J53" s="1"/>
      <c r="K53" s="1"/>
      <c r="M53" s="5"/>
      <c r="N53" s="5"/>
      <c r="O53" s="5"/>
      <c r="P53" s="5"/>
      <c r="Q53" s="5"/>
      <c r="R53" s="5"/>
      <c r="S53" s="5"/>
      <c r="T53" s="1"/>
      <c r="U53" s="1"/>
      <c r="V53" s="1"/>
      <c r="W53" s="1"/>
      <c r="X53" s="1"/>
      <c r="AB53" s="35"/>
    </row>
    <row r="54" spans="2:28" s="3" customFormat="1">
      <c r="B54" s="5"/>
      <c r="C54" s="1"/>
      <c r="E54" s="1"/>
      <c r="I54" s="1"/>
      <c r="J54" s="1"/>
      <c r="K54" s="1"/>
      <c r="M54" s="5"/>
      <c r="N54" s="5"/>
      <c r="O54" s="5"/>
      <c r="P54" s="5"/>
      <c r="Q54" s="5"/>
      <c r="R54" s="5"/>
      <c r="S54" s="5"/>
      <c r="T54" s="1"/>
      <c r="U54" s="1"/>
      <c r="V54" s="1"/>
      <c r="W54" s="1"/>
      <c r="X54" s="1"/>
      <c r="AB54" s="35"/>
    </row>
    <row r="55" spans="2:28" s="3" customFormat="1" ht="12.75" customHeight="1">
      <c r="B55" s="5"/>
      <c r="C55" s="1"/>
      <c r="E55" s="1"/>
      <c r="I55" s="1"/>
      <c r="J55" s="1"/>
      <c r="K55" s="1"/>
      <c r="M55" s="5"/>
      <c r="N55" s="5"/>
      <c r="O55" s="5"/>
      <c r="P55" s="5"/>
      <c r="Q55" s="5"/>
      <c r="R55" s="5"/>
      <c r="S55" s="5"/>
      <c r="T55" s="1"/>
      <c r="U55" s="1"/>
      <c r="V55" s="1"/>
      <c r="W55" s="1"/>
      <c r="X55" s="1"/>
      <c r="AB55" s="35"/>
    </row>
    <row r="56" spans="2:28" s="3" customFormat="1" ht="12.75" customHeight="1">
      <c r="B56" s="5"/>
      <c r="C56" s="1"/>
      <c r="E56" s="1"/>
      <c r="I56" s="1"/>
      <c r="J56" s="1"/>
      <c r="K56" s="1"/>
      <c r="M56" s="5"/>
      <c r="N56" s="5"/>
      <c r="O56" s="5"/>
      <c r="P56" s="5"/>
      <c r="Q56" s="5"/>
      <c r="R56" s="5"/>
      <c r="S56" s="5"/>
      <c r="T56" s="1"/>
      <c r="U56" s="1"/>
      <c r="V56" s="1"/>
      <c r="W56" s="1"/>
      <c r="X56" s="1"/>
      <c r="AB56" s="35"/>
    </row>
    <row r="57" spans="2:28" s="3" customFormat="1">
      <c r="B57" s="5"/>
      <c r="C57" s="1"/>
      <c r="E57" s="1"/>
      <c r="I57" s="1"/>
      <c r="J57" s="1"/>
      <c r="K57" s="1"/>
      <c r="M57" s="5"/>
      <c r="N57" s="5"/>
      <c r="O57" s="5"/>
      <c r="P57" s="5"/>
      <c r="Q57" s="5"/>
      <c r="R57" s="5"/>
      <c r="S57" s="5"/>
      <c r="T57" s="1"/>
      <c r="U57" s="1"/>
      <c r="V57" s="1"/>
      <c r="W57" s="1"/>
      <c r="X57" s="1"/>
      <c r="AB57" s="35"/>
    </row>
    <row r="58" spans="2:28" s="3" customFormat="1">
      <c r="B58" s="5"/>
      <c r="C58" s="1"/>
      <c r="E58" s="1"/>
      <c r="I58" s="1"/>
      <c r="J58" s="1"/>
      <c r="K58" s="1"/>
      <c r="M58" s="5"/>
      <c r="N58" s="5"/>
      <c r="O58" s="5"/>
      <c r="P58" s="5"/>
      <c r="Q58" s="5"/>
      <c r="R58" s="5"/>
      <c r="S58" s="5"/>
      <c r="T58" s="1"/>
      <c r="U58" s="1"/>
      <c r="V58" s="1"/>
      <c r="W58" s="1"/>
      <c r="X58" s="1"/>
      <c r="AB58" s="35"/>
    </row>
    <row r="59" spans="2:28" s="3" customFormat="1">
      <c r="B59" s="5"/>
      <c r="C59" s="1"/>
      <c r="E59" s="1"/>
      <c r="I59" s="1"/>
      <c r="J59" s="1"/>
      <c r="K59" s="1"/>
      <c r="M59" s="5"/>
      <c r="N59" s="5"/>
      <c r="O59" s="5"/>
      <c r="P59" s="5"/>
      <c r="Q59" s="5"/>
      <c r="R59" s="5"/>
      <c r="S59" s="5"/>
      <c r="T59" s="1"/>
      <c r="U59" s="1"/>
      <c r="V59" s="1"/>
      <c r="W59" s="1"/>
      <c r="X59" s="1"/>
      <c r="AB59" s="35"/>
    </row>
    <row r="60" spans="2:28" s="3" customFormat="1">
      <c r="B60" s="5"/>
      <c r="C60" s="1"/>
      <c r="E60" s="1"/>
      <c r="I60" s="1"/>
      <c r="J60" s="1"/>
      <c r="K60" s="1"/>
      <c r="M60" s="5"/>
      <c r="N60" s="5"/>
      <c r="O60" s="5"/>
      <c r="P60" s="5"/>
      <c r="Q60" s="5"/>
      <c r="R60" s="5"/>
      <c r="S60" s="5"/>
      <c r="T60" s="1"/>
      <c r="U60" s="1"/>
      <c r="V60" s="1"/>
      <c r="W60" s="1"/>
      <c r="X60" s="1"/>
      <c r="AB60" s="35"/>
    </row>
    <row r="61" spans="2:28" s="3" customFormat="1">
      <c r="B61" s="5"/>
      <c r="C61" s="1"/>
      <c r="E61" s="1"/>
      <c r="I61" s="1"/>
      <c r="J61" s="1"/>
      <c r="K61" s="1"/>
      <c r="M61" s="5"/>
      <c r="N61" s="5"/>
      <c r="O61" s="5"/>
      <c r="P61" s="5"/>
      <c r="Q61" s="5"/>
      <c r="R61" s="5"/>
      <c r="S61" s="5"/>
      <c r="T61" s="1"/>
      <c r="U61" s="1"/>
      <c r="V61" s="1"/>
      <c r="W61" s="1"/>
      <c r="X61" s="1"/>
      <c r="AB61" s="35"/>
    </row>
    <row r="62" spans="2:28" s="3" customFormat="1">
      <c r="B62" s="5"/>
      <c r="C62" s="1"/>
      <c r="E62" s="1"/>
      <c r="I62" s="1"/>
      <c r="J62" s="1"/>
      <c r="K62" s="1"/>
      <c r="M62" s="5"/>
      <c r="N62" s="5"/>
      <c r="O62" s="5"/>
      <c r="P62" s="5"/>
      <c r="Q62" s="5"/>
      <c r="R62" s="5"/>
      <c r="S62" s="5"/>
      <c r="T62" s="1"/>
      <c r="U62" s="1"/>
      <c r="V62" s="1"/>
      <c r="W62" s="1"/>
      <c r="X62" s="1"/>
      <c r="AB62" s="35"/>
    </row>
    <row r="63" spans="2:28" s="3" customFormat="1">
      <c r="B63" s="5"/>
      <c r="C63" s="1"/>
      <c r="E63" s="1"/>
      <c r="I63" s="1"/>
      <c r="J63" s="1"/>
      <c r="K63" s="1"/>
      <c r="M63" s="5"/>
      <c r="N63" s="5"/>
      <c r="O63" s="5"/>
      <c r="P63" s="5"/>
      <c r="Q63" s="5"/>
      <c r="R63" s="5"/>
      <c r="S63" s="5"/>
      <c r="T63" s="1"/>
      <c r="U63" s="1"/>
      <c r="V63" s="1"/>
      <c r="W63" s="1"/>
      <c r="X63" s="1"/>
      <c r="AB63" s="35"/>
    </row>
    <row r="64" spans="2:28" s="3" customFormat="1">
      <c r="B64" s="5"/>
      <c r="C64" s="1"/>
      <c r="E64" s="1"/>
      <c r="I64" s="1"/>
      <c r="J64" s="1"/>
      <c r="K64" s="1"/>
      <c r="M64" s="5"/>
      <c r="N64" s="5"/>
      <c r="O64" s="5"/>
      <c r="P64" s="5"/>
      <c r="Q64" s="5"/>
      <c r="R64" s="5"/>
      <c r="S64" s="5"/>
      <c r="T64" s="1"/>
      <c r="U64" s="1"/>
      <c r="V64" s="1"/>
      <c r="W64" s="1"/>
      <c r="X64" s="1"/>
      <c r="AB64" s="35"/>
    </row>
    <row r="65" spans="2:28" s="3" customFormat="1">
      <c r="B65" s="5"/>
      <c r="C65" s="1"/>
      <c r="E65" s="1"/>
      <c r="I65" s="1"/>
      <c r="J65" s="1"/>
      <c r="K65" s="1"/>
      <c r="M65" s="5"/>
      <c r="N65" s="5"/>
      <c r="O65" s="5"/>
      <c r="P65" s="5"/>
      <c r="Q65" s="5"/>
      <c r="R65" s="5"/>
      <c r="S65" s="5"/>
      <c r="T65" s="1"/>
      <c r="U65" s="1"/>
      <c r="V65" s="1"/>
      <c r="W65" s="1"/>
      <c r="X65" s="1"/>
      <c r="AB65" s="35"/>
    </row>
    <row r="66" spans="2:28" s="3" customFormat="1">
      <c r="B66" s="5"/>
      <c r="C66" s="1"/>
      <c r="E66" s="1"/>
      <c r="I66" s="1"/>
      <c r="J66" s="1"/>
      <c r="K66" s="1"/>
      <c r="M66" s="5"/>
      <c r="N66" s="5"/>
      <c r="O66" s="5"/>
      <c r="P66" s="5"/>
      <c r="Q66" s="5"/>
      <c r="R66" s="5"/>
      <c r="S66" s="5"/>
      <c r="T66" s="1"/>
      <c r="U66" s="1"/>
      <c r="V66" s="1"/>
      <c r="W66" s="1"/>
      <c r="X66" s="1"/>
      <c r="AB66" s="35"/>
    </row>
    <row r="67" spans="2:28" s="3" customFormat="1">
      <c r="B67" s="5"/>
      <c r="C67" s="1"/>
      <c r="E67" s="1"/>
      <c r="I67" s="1"/>
      <c r="J67" s="1"/>
      <c r="K67" s="1"/>
      <c r="M67" s="5"/>
      <c r="N67" s="5"/>
      <c r="O67" s="5"/>
      <c r="P67" s="5"/>
      <c r="Q67" s="5"/>
      <c r="R67" s="5"/>
      <c r="S67" s="5"/>
      <c r="T67" s="1"/>
      <c r="U67" s="1"/>
      <c r="V67" s="1"/>
      <c r="W67" s="1"/>
      <c r="X67" s="1"/>
      <c r="AB67" s="35"/>
    </row>
    <row r="68" spans="2:28" s="3" customFormat="1">
      <c r="B68" s="5"/>
      <c r="C68" s="1"/>
      <c r="E68" s="1"/>
      <c r="I68" s="1"/>
      <c r="J68" s="1"/>
      <c r="K68" s="1"/>
      <c r="M68" s="5"/>
      <c r="N68" s="5"/>
      <c r="O68" s="5"/>
      <c r="P68" s="5"/>
      <c r="Q68" s="5"/>
      <c r="R68" s="5"/>
      <c r="S68" s="5"/>
      <c r="T68" s="1"/>
      <c r="U68" s="1"/>
      <c r="V68" s="1"/>
      <c r="W68" s="1"/>
      <c r="X68" s="1"/>
      <c r="AB68" s="35"/>
    </row>
    <row r="69" spans="2:28" s="3" customFormat="1">
      <c r="B69" s="5"/>
      <c r="C69" s="1"/>
      <c r="E69" s="1"/>
      <c r="I69" s="1"/>
      <c r="J69" s="1"/>
      <c r="K69" s="1"/>
      <c r="M69" s="5"/>
      <c r="N69" s="5"/>
      <c r="O69" s="5"/>
      <c r="P69" s="5"/>
      <c r="Q69" s="5"/>
      <c r="R69" s="5"/>
      <c r="S69" s="5"/>
      <c r="T69" s="1"/>
      <c r="U69" s="1"/>
      <c r="V69" s="1"/>
      <c r="W69" s="1"/>
      <c r="X69" s="1"/>
      <c r="AB69" s="35"/>
    </row>
    <row r="70" spans="2:28" s="3" customFormat="1">
      <c r="B70" s="5"/>
      <c r="C70" s="1"/>
      <c r="E70" s="1"/>
      <c r="I70" s="1"/>
      <c r="J70" s="1"/>
      <c r="K70" s="1"/>
      <c r="M70" s="5"/>
      <c r="N70" s="5"/>
      <c r="O70" s="5"/>
      <c r="P70" s="5"/>
      <c r="Q70" s="5"/>
      <c r="R70" s="5"/>
      <c r="S70" s="5"/>
      <c r="T70" s="1"/>
      <c r="U70" s="1"/>
      <c r="V70" s="1"/>
      <c r="W70" s="1"/>
      <c r="X70" s="1"/>
      <c r="AB70" s="35"/>
    </row>
    <row r="71" spans="2:28" s="3" customFormat="1">
      <c r="B71" s="5"/>
      <c r="C71" s="1"/>
      <c r="E71" s="1"/>
      <c r="I71" s="1"/>
      <c r="J71" s="1"/>
      <c r="K71" s="1"/>
      <c r="M71" s="5"/>
      <c r="N71" s="5"/>
      <c r="O71" s="5"/>
      <c r="P71" s="5"/>
      <c r="Q71" s="5"/>
      <c r="R71" s="5"/>
      <c r="S71" s="5"/>
      <c r="T71" s="1"/>
      <c r="U71" s="1"/>
      <c r="V71" s="1"/>
      <c r="W71" s="1"/>
      <c r="X71" s="1"/>
      <c r="AB71" s="35"/>
    </row>
    <row r="72" spans="2:28" s="3" customFormat="1">
      <c r="B72" s="5"/>
      <c r="C72" s="1"/>
      <c r="E72" s="1"/>
      <c r="I72" s="1"/>
      <c r="J72" s="1"/>
      <c r="K72" s="1"/>
      <c r="M72" s="5"/>
      <c r="N72" s="5"/>
      <c r="O72" s="5"/>
      <c r="P72" s="5"/>
      <c r="Q72" s="5"/>
      <c r="R72" s="5"/>
      <c r="S72" s="5"/>
      <c r="T72" s="1"/>
      <c r="U72" s="1"/>
      <c r="V72" s="1"/>
      <c r="W72" s="1"/>
      <c r="X72" s="1"/>
      <c r="AB72" s="35"/>
    </row>
    <row r="73" spans="2:28" s="3" customFormat="1">
      <c r="B73" s="5"/>
      <c r="C73" s="1"/>
      <c r="E73" s="1"/>
      <c r="I73" s="1"/>
      <c r="J73" s="1"/>
      <c r="K73" s="1"/>
      <c r="M73" s="5"/>
      <c r="N73" s="5"/>
      <c r="O73" s="5"/>
      <c r="P73" s="5"/>
      <c r="Q73" s="5"/>
      <c r="R73" s="5"/>
      <c r="S73" s="5"/>
      <c r="T73" s="1"/>
      <c r="U73" s="1"/>
      <c r="V73" s="1"/>
      <c r="W73" s="1"/>
      <c r="X73" s="1"/>
      <c r="AB73" s="35"/>
    </row>
    <row r="74" spans="2:28" s="3" customFormat="1">
      <c r="B74" s="5"/>
      <c r="C74" s="1"/>
      <c r="E74" s="1"/>
      <c r="I74" s="1"/>
      <c r="J74" s="1"/>
      <c r="K74" s="1"/>
      <c r="M74" s="5"/>
      <c r="N74" s="5"/>
      <c r="O74" s="5"/>
      <c r="P74" s="5"/>
      <c r="Q74" s="5"/>
      <c r="R74" s="5"/>
      <c r="S74" s="5"/>
      <c r="T74" s="1"/>
      <c r="U74" s="1"/>
      <c r="V74" s="1"/>
      <c r="W74" s="1"/>
      <c r="X74" s="1"/>
      <c r="AB74" s="35"/>
    </row>
    <row r="75" spans="2:28" s="3" customFormat="1">
      <c r="B75" s="5"/>
      <c r="C75" s="1"/>
      <c r="E75" s="1"/>
      <c r="I75" s="1"/>
      <c r="J75" s="1"/>
      <c r="K75" s="1"/>
      <c r="M75" s="5"/>
      <c r="N75" s="5"/>
      <c r="O75" s="5"/>
      <c r="P75" s="5"/>
      <c r="Q75" s="5"/>
      <c r="R75" s="5"/>
      <c r="S75" s="5"/>
      <c r="T75" s="1"/>
      <c r="U75" s="1"/>
      <c r="V75" s="1"/>
      <c r="W75" s="1"/>
      <c r="X75" s="1"/>
      <c r="AB75" s="35"/>
    </row>
  </sheetData>
  <mergeCells count="5">
    <mergeCell ref="AB4:AB5"/>
    <mergeCell ref="L4:P4"/>
    <mergeCell ref="Q4:U4"/>
    <mergeCell ref="V4:W4"/>
    <mergeCell ref="X4:AA4"/>
  </mergeCells>
  <printOptions horizontalCentered="1"/>
  <pageMargins left="0.11811023622047245" right="0.11811023622047245" top="0.15748031496062992" bottom="0.15748031496062992" header="0.31496062992125984" footer="0.31496062992125984"/>
  <pageSetup paperSize="5" scale="5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HP</cp:lastModifiedBy>
  <cp:lastPrinted>2018-01-30T14:55:35Z</cp:lastPrinted>
  <dcterms:created xsi:type="dcterms:W3CDTF">2017-01-05T18:44:45Z</dcterms:created>
  <dcterms:modified xsi:type="dcterms:W3CDTF">2018-02-27T22:27:44Z</dcterms:modified>
</cp:coreProperties>
</file>