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PRESUP.TRIM.ENE-SEPT.201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localSheetId="0" hidden="1">'[1]011'!#REF!</definedName>
    <definedName name="__123Graph_DGráfico2" hidden="1">'[1]011'!#REF!</definedName>
    <definedName name="a" localSheetId="0">[2]Hoja1!#REF!</definedName>
    <definedName name="a">[2]Hoja1!#REF!</definedName>
    <definedName name="Apoyo" localSheetId="0" hidden="1">'[3]011'!#REF!</definedName>
    <definedName name="Apoyo" hidden="1">'[3]011'!#REF!</definedName>
    <definedName name="_xlnm.Print_Area" localSheetId="0">'PRESUP.TRIM.ENE-SEPT.2015'!$A$2:$P$96</definedName>
    <definedName name="BASEDATOS" localSheetId="0">[4]Hoja1!#REF!</definedName>
    <definedName name="BASEDATOS">[4]Hoja1!#REF!</definedName>
    <definedName name="BD" localSheetId="0">[4]Hoja1!#REF!</definedName>
    <definedName name="BD">[4]Hoja1!#REF!</definedName>
    <definedName name="calenda" localSheetId="0" hidden="1">'[3]011'!#REF!</definedName>
    <definedName name="calenda" hidden="1">'[3]011'!#REF!</definedName>
    <definedName name="d" localSheetId="0" hidden="1">'[3]011'!#REF!</definedName>
    <definedName name="d" hidden="1">'[3]011'!#REF!</definedName>
    <definedName name="EXPEDIENTESDJR" localSheetId="0">[4]Hoja1!#REF!</definedName>
    <definedName name="EXPEDIENTESDJR">[4]Hoja1!#REF!</definedName>
    <definedName name="febrero" localSheetId="0" hidden="1">'[3]011'!#REF!</definedName>
    <definedName name="febrero" hidden="1">'[3]011'!#REF!</definedName>
    <definedName name="hola" localSheetId="0" hidden="1">'[1]011'!#REF!</definedName>
    <definedName name="hola" hidden="1">'[1]011'!#REF!</definedName>
    <definedName name="i" localSheetId="0" hidden="1">'[3]011'!#REF!</definedName>
    <definedName name="i" hidden="1">'[3]011'!#REF!</definedName>
    <definedName name="PROGRAMA" localSheetId="0">[4]Hoja1!#REF!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'PRESUP.TRIM.ENE-SEPT.2015'!$2:$13</definedName>
    <definedName name="Transferencia" localSheetId="0" hidden="1">'[3]011'!#REF!</definedName>
    <definedName name="Transferencia" hidden="1">'[3]011'!#REF!</definedName>
  </definedNames>
  <calcPr calcId="125725"/>
</workbook>
</file>

<file path=xl/calcChain.xml><?xml version="1.0" encoding="utf-8"?>
<calcChain xmlns="http://schemas.openxmlformats.org/spreadsheetml/2006/main">
  <c r="J95" i="1"/>
  <c r="K94"/>
  <c r="P94" s="1"/>
  <c r="K93"/>
  <c r="P93" s="1"/>
  <c r="K92"/>
  <c r="P92" s="1"/>
  <c r="K91"/>
  <c r="P91" s="1"/>
  <c r="O90"/>
  <c r="N90"/>
  <c r="M90"/>
  <c r="L90"/>
  <c r="K90"/>
  <c r="K89"/>
  <c r="P89" s="1"/>
  <c r="O88"/>
  <c r="O95" s="1"/>
  <c r="N88"/>
  <c r="N95" s="1"/>
  <c r="M88"/>
  <c r="L88"/>
  <c r="L95" s="1"/>
  <c r="K88"/>
  <c r="I87"/>
  <c r="O86"/>
  <c r="N86"/>
  <c r="M86"/>
  <c r="L86"/>
  <c r="K86"/>
  <c r="O85"/>
  <c r="N85"/>
  <c r="M85"/>
  <c r="L85"/>
  <c r="J85"/>
  <c r="J87" s="1"/>
  <c r="K84"/>
  <c r="P84" s="1"/>
  <c r="O83"/>
  <c r="N83"/>
  <c r="M83"/>
  <c r="L83"/>
  <c r="K83"/>
  <c r="O81"/>
  <c r="N81"/>
  <c r="M81"/>
  <c r="L81"/>
  <c r="K81"/>
  <c r="O80"/>
  <c r="N80"/>
  <c r="M80"/>
  <c r="L80"/>
  <c r="K80"/>
  <c r="O79"/>
  <c r="N79"/>
  <c r="M79"/>
  <c r="L79"/>
  <c r="K79"/>
  <c r="O78"/>
  <c r="N78"/>
  <c r="M78"/>
  <c r="L78"/>
  <c r="J78"/>
  <c r="K78" s="1"/>
  <c r="O77"/>
  <c r="N77"/>
  <c r="M77"/>
  <c r="L77"/>
  <c r="K77"/>
  <c r="O76"/>
  <c r="N76"/>
  <c r="M76"/>
  <c r="L76"/>
  <c r="K76"/>
  <c r="P75"/>
  <c r="K75"/>
  <c r="O74"/>
  <c r="N74"/>
  <c r="M74"/>
  <c r="L74"/>
  <c r="K74"/>
  <c r="P73"/>
  <c r="K73"/>
  <c r="J73"/>
  <c r="O72"/>
  <c r="N72"/>
  <c r="M72"/>
  <c r="L72"/>
  <c r="K72"/>
  <c r="O71"/>
  <c r="N71"/>
  <c r="M71"/>
  <c r="L71"/>
  <c r="K71"/>
  <c r="O70"/>
  <c r="N70"/>
  <c r="M70"/>
  <c r="L70"/>
  <c r="K70"/>
  <c r="K69"/>
  <c r="P69" s="1"/>
  <c r="O68"/>
  <c r="N68"/>
  <c r="M68"/>
  <c r="L68"/>
  <c r="K68"/>
  <c r="O67"/>
  <c r="N67"/>
  <c r="M67"/>
  <c r="L67"/>
  <c r="K67"/>
  <c r="O66"/>
  <c r="N66"/>
  <c r="M66"/>
  <c r="L66"/>
  <c r="K66"/>
  <c r="O65"/>
  <c r="N65"/>
  <c r="M65"/>
  <c r="L65"/>
  <c r="K65"/>
  <c r="O64"/>
  <c r="N64"/>
  <c r="M64"/>
  <c r="L64"/>
  <c r="K64"/>
  <c r="P64" s="1"/>
  <c r="O63"/>
  <c r="N63"/>
  <c r="M63"/>
  <c r="L63"/>
  <c r="K63"/>
  <c r="K62"/>
  <c r="P62" s="1"/>
  <c r="K61"/>
  <c r="P61" s="1"/>
  <c r="K60"/>
  <c r="P60" s="1"/>
  <c r="O59"/>
  <c r="N59"/>
  <c r="M59"/>
  <c r="L59"/>
  <c r="K59"/>
  <c r="J59"/>
  <c r="J58"/>
  <c r="K58" s="1"/>
  <c r="P58" s="1"/>
  <c r="K57"/>
  <c r="P57" s="1"/>
  <c r="J57"/>
  <c r="K56"/>
  <c r="P56" s="1"/>
  <c r="O55"/>
  <c r="N55"/>
  <c r="M55"/>
  <c r="L55"/>
  <c r="K55"/>
  <c r="O54"/>
  <c r="N54"/>
  <c r="M54"/>
  <c r="L54"/>
  <c r="K54"/>
  <c r="O53"/>
  <c r="N53"/>
  <c r="M53"/>
  <c r="L53"/>
  <c r="P53" s="1"/>
  <c r="K53"/>
  <c r="O52"/>
  <c r="N52"/>
  <c r="M52"/>
  <c r="L52"/>
  <c r="K52"/>
  <c r="O51"/>
  <c r="N51"/>
  <c r="M51"/>
  <c r="L51"/>
  <c r="L82" s="1"/>
  <c r="K51"/>
  <c r="J50"/>
  <c r="O49"/>
  <c r="N49"/>
  <c r="M49"/>
  <c r="L49"/>
  <c r="K49"/>
  <c r="O48"/>
  <c r="N48"/>
  <c r="M48"/>
  <c r="L48"/>
  <c r="K48"/>
  <c r="K47"/>
  <c r="P47" s="1"/>
  <c r="O46"/>
  <c r="N46"/>
  <c r="M46"/>
  <c r="L46"/>
  <c r="K46"/>
  <c r="K45"/>
  <c r="P45" s="1"/>
  <c r="P44"/>
  <c r="O43"/>
  <c r="N43"/>
  <c r="M43"/>
  <c r="L43"/>
  <c r="P43" s="1"/>
  <c r="K43"/>
  <c r="O42"/>
  <c r="N42"/>
  <c r="M42"/>
  <c r="L42"/>
  <c r="K42"/>
  <c r="K41"/>
  <c r="P41" s="1"/>
  <c r="K40"/>
  <c r="P40" s="1"/>
  <c r="O39"/>
  <c r="N39"/>
  <c r="M39"/>
  <c r="L39"/>
  <c r="K39"/>
  <c r="K38"/>
  <c r="P38" s="1"/>
  <c r="O37"/>
  <c r="N37"/>
  <c r="M37"/>
  <c r="L37"/>
  <c r="P37" s="1"/>
  <c r="K37"/>
  <c r="O36"/>
  <c r="N36"/>
  <c r="M36"/>
  <c r="L36"/>
  <c r="K36"/>
  <c r="O35"/>
  <c r="N35"/>
  <c r="M35"/>
  <c r="L35"/>
  <c r="K35"/>
  <c r="O34"/>
  <c r="N34"/>
  <c r="M34"/>
  <c r="L34"/>
  <c r="K34"/>
  <c r="O33"/>
  <c r="N33"/>
  <c r="M33"/>
  <c r="L33"/>
  <c r="K33"/>
  <c r="O32"/>
  <c r="N32"/>
  <c r="M32"/>
  <c r="L32"/>
  <c r="K32"/>
  <c r="O31"/>
  <c r="N31"/>
  <c r="M31"/>
  <c r="L31"/>
  <c r="P31" s="1"/>
  <c r="K31"/>
  <c r="L30"/>
  <c r="K29"/>
  <c r="P29" s="1"/>
  <c r="J28"/>
  <c r="K28" s="1"/>
  <c r="P28" s="1"/>
  <c r="K27"/>
  <c r="P27" s="1"/>
  <c r="J27"/>
  <c r="J26"/>
  <c r="K26" s="1"/>
  <c r="P26" s="1"/>
  <c r="O25"/>
  <c r="N25"/>
  <c r="M25"/>
  <c r="K25"/>
  <c r="P25" s="1"/>
  <c r="K24"/>
  <c r="P24" s="1"/>
  <c r="P23"/>
  <c r="K23"/>
  <c r="K22"/>
  <c r="P22" s="1"/>
  <c r="P21"/>
  <c r="K21"/>
  <c r="I20"/>
  <c r="K20" s="1"/>
  <c r="P20" s="1"/>
  <c r="O19"/>
  <c r="N19"/>
  <c r="M19"/>
  <c r="K19"/>
  <c r="P19" s="1"/>
  <c r="J18"/>
  <c r="K18" s="1"/>
  <c r="P18" s="1"/>
  <c r="O17"/>
  <c r="N17"/>
  <c r="M17"/>
  <c r="K17"/>
  <c r="P17" s="1"/>
  <c r="P16"/>
  <c r="K16"/>
  <c r="O15"/>
  <c r="N15"/>
  <c r="M15"/>
  <c r="K15"/>
  <c r="P15" s="1"/>
  <c r="M50" l="1"/>
  <c r="N82"/>
  <c r="P72"/>
  <c r="P59"/>
  <c r="P76"/>
  <c r="P88"/>
  <c r="K82"/>
  <c r="P68"/>
  <c r="P63"/>
  <c r="P35"/>
  <c r="P39"/>
  <c r="P55"/>
  <c r="P49"/>
  <c r="M87"/>
  <c r="P48"/>
  <c r="M30"/>
  <c r="M96" s="1"/>
  <c r="P32"/>
  <c r="O82"/>
  <c r="N30"/>
  <c r="N96" s="1"/>
  <c r="O50"/>
  <c r="P42"/>
  <c r="J82"/>
  <c r="P65"/>
  <c r="P78"/>
  <c r="P86"/>
  <c r="M95"/>
  <c r="P36"/>
  <c r="O30"/>
  <c r="P34"/>
  <c r="P52"/>
  <c r="P71"/>
  <c r="L87"/>
  <c r="P33"/>
  <c r="M82"/>
  <c r="P74"/>
  <c r="P81"/>
  <c r="N87"/>
  <c r="O87"/>
  <c r="P66"/>
  <c r="P70"/>
  <c r="P79"/>
  <c r="N50"/>
  <c r="P46"/>
  <c r="P54"/>
  <c r="P77"/>
  <c r="P83"/>
  <c r="P90"/>
  <c r="P67"/>
  <c r="P80"/>
  <c r="P30"/>
  <c r="P95"/>
  <c r="L50"/>
  <c r="L96" s="1"/>
  <c r="K85"/>
  <c r="P85" s="1"/>
  <c r="K30"/>
  <c r="K50"/>
  <c r="J30"/>
  <c r="I30"/>
  <c r="I96" s="1"/>
  <c r="K95"/>
  <c r="P51"/>
  <c r="P87" l="1"/>
  <c r="J96"/>
  <c r="P50"/>
  <c r="O96"/>
  <c r="P82"/>
  <c r="K87"/>
  <c r="K96" s="1"/>
  <c r="P96" l="1"/>
</calcChain>
</file>

<file path=xl/comments1.xml><?xml version="1.0" encoding="utf-8"?>
<comments xmlns="http://schemas.openxmlformats.org/spreadsheetml/2006/main">
  <authors>
    <author>Claudia Angelica Velasco Espinoza</author>
  </authors>
  <commentList>
    <comment ref="J78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TRANSF.DE REMANENTES ANTERIORES 08-04/2015 VIATICOS BIENEMPLEO 2014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Claudia Angelica Velasco Espinoza:
AMPLIACIÓN DE PRESUPUESTO EN LA NOVENA SES.ORD. DEL 23 DE SEPT.2015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SE REINTEGRO REMANENTE $3,811.47  A LA SEPAF</t>
        </r>
      </text>
    </comment>
  </commentList>
</comments>
</file>

<file path=xl/sharedStrings.xml><?xml version="1.0" encoding="utf-8"?>
<sst xmlns="http://schemas.openxmlformats.org/spreadsheetml/2006/main" count="102" uniqueCount="101">
  <si>
    <t>CONSEJO ESTATAL DE PROMOCIÓN ECONÓMICA</t>
  </si>
  <si>
    <t>UP</t>
  </si>
  <si>
    <t>UR</t>
  </si>
  <si>
    <t>Prog</t>
  </si>
  <si>
    <t>Pc / Py</t>
  </si>
  <si>
    <t>UEG</t>
  </si>
  <si>
    <t>PARTIDA</t>
  </si>
  <si>
    <t>DEST.</t>
  </si>
  <si>
    <t>DESCRIPCIÓN</t>
  </si>
  <si>
    <t>PRESUPUESTO DE EGRESOS APROBADO</t>
  </si>
  <si>
    <t>AMPLIACIONES (RECURSOS PROPIOS)</t>
  </si>
  <si>
    <t>MODIFICADO</t>
  </si>
  <si>
    <t>COMPROMETIDO</t>
  </si>
  <si>
    <t>DEVENGADO</t>
  </si>
  <si>
    <t>EJERCIDO</t>
  </si>
  <si>
    <t>PAGADO</t>
  </si>
  <si>
    <t>SALDO AL 30 DE SEPTIEMBRE 2015</t>
  </si>
  <si>
    <t>Sueldo base</t>
  </si>
  <si>
    <t>Sueldo personal eventual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</si>
  <si>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</si>
  <si>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</si>
  <si>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</si>
  <si>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</si>
  <si>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</si>
  <si>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</si>
  <si>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</si>
  <si>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vida del personal (PLAN MULTIPLE DE BENEFICIOS PARA LOS TRABAJADORES DEL ESTADO)</t>
  </si>
  <si>
    <t>Indemnizaciones por separación</t>
  </si>
  <si>
    <t>Impacto al salario en el transcurso del año</t>
  </si>
  <si>
    <t>Ayuda para despensa</t>
  </si>
  <si>
    <t>Ayuda para pasajes</t>
  </si>
  <si>
    <t>Estímulo por el día del Servidor Público</t>
  </si>
  <si>
    <t>SUMA CAPÍTULO 1000 Servicios Presonales</t>
  </si>
  <si>
    <t>Materiales, útiles y equipos menores de oficina</t>
  </si>
  <si>
    <t xml:space="preserve">Materiales y útiles de impresión y reproducción                        </t>
  </si>
  <si>
    <t>Materiales, útiles y equipos menores de tecnologías de la Información y comunicaciones.</t>
  </si>
  <si>
    <t>Material impreso e información digital</t>
  </si>
  <si>
    <t>Material de limpieza</t>
  </si>
  <si>
    <t>Productos alimenticios para el personal en las instalaciones de las dependencias y entidades</t>
  </si>
  <si>
    <t>Utensilios para el servicio de la alimentación</t>
  </si>
  <si>
    <t>Vidrio y Productos de Vidrio</t>
  </si>
  <si>
    <t>Material  eléctrico y electrónico</t>
  </si>
  <si>
    <t>Materiales Complementarios</t>
  </si>
  <si>
    <t>Otros materiales y artículos de construcción y reparación</t>
  </si>
  <si>
    <t>Medicinas y productos farmacéuticos</t>
  </si>
  <si>
    <t>Combustibles, lubricantes y aditivos para vehículos terrestres, aéreos, marítimos, lacustres y fluviales destinados a servicios administrativos.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</si>
  <si>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</si>
  <si>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</si>
  <si>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</si>
  <si>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</si>
  <si>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equipo de computo y tecnologías de la información.</t>
  </si>
  <si>
    <t>Refacciones y accesorios menores de equipo de transporte</t>
  </si>
  <si>
    <t>SUMA CAPÍTULO 2000 Materiales y Suministros</t>
  </si>
  <si>
    <t>Servicio de energía eléctrica</t>
  </si>
  <si>
    <t>Telefonía celular</t>
  </si>
  <si>
    <t>Servicio de acceso de internet, redes y procesamiento de información</t>
  </si>
  <si>
    <t>Servicio postal</t>
  </si>
  <si>
    <t>Arrendamiento de equipo y bienes informáticos</t>
  </si>
  <si>
    <t>Arrendamiento de vehículos terrestres, aéreos, marítimos, lacustres y fluviales para servicios públicos y la operación de programas públicos.</t>
  </si>
  <si>
    <t>Servicios legales, de contabilidad, auditoría y relacionados</t>
  </si>
  <si>
    <t>Servicios de Diseño, Arquitectura, Ingeniería y Actividades Relacionadas.</t>
  </si>
  <si>
    <t>Servicios de consultoría administrativa e informática.</t>
  </si>
  <si>
    <t>Capacitación Institucional</t>
  </si>
  <si>
    <t>Capacitación Especializada</t>
  </si>
  <si>
    <t>Servicio de impresión de documentos y papelería oficial.</t>
  </si>
  <si>
    <t>Servicios de Vigilancia</t>
  </si>
  <si>
    <t>Servicios financieros y bancarios</t>
  </si>
  <si>
    <t xml:space="preserve">Seguros de bienes patrimoniales </t>
  </si>
  <si>
    <t>Almacenaje, embalaje y envase</t>
  </si>
  <si>
    <t xml:space="preserve">Mantenimiento y conservación de inmuebles para la prestación de servicios administrativos.  </t>
  </si>
  <si>
    <t xml:space="preserve">Mantenimiento y conservación de inmuebles para la prestación de servicios públicos. </t>
  </si>
  <si>
    <t>Mantenimiento y conservación de mobiliario y equipo de administración, educacional y recreactivo.</t>
  </si>
  <si>
    <t>Instalación, reparación y mantenimiento de equipo de computo y tecnologías de la información</t>
  </si>
  <si>
    <t>Mantenimiento y conservación de vehículos terrestres, aereos, maritimimos, lacustres y fluviales</t>
  </si>
  <si>
    <t>Servicios de limpieza y manejo de desechos</t>
  </si>
  <si>
    <t xml:space="preserve">Difusión por radio, televisión y otros medios de mensajes, sobre programas y actividades gubernamentales </t>
  </si>
  <si>
    <t xml:space="preserve">Pasajes aéreos nacionales </t>
  </si>
  <si>
    <t xml:space="preserve">Pasajes aéreos internacionales   </t>
  </si>
  <si>
    <t>Pasajes terrestres nacionales</t>
  </si>
  <si>
    <r>
      <t>Viáticos en el país</t>
    </r>
    <r>
      <rPr>
        <b/>
        <sz val="10"/>
        <color indexed="8"/>
        <rFont val="Arial"/>
        <family val="2"/>
      </rPr>
      <t xml:space="preserve"> </t>
    </r>
  </si>
  <si>
    <t>Otros servicios de traslado y hospedaje</t>
  </si>
  <si>
    <t>Congresos y convenciones</t>
  </si>
  <si>
    <t>Gastos de representación</t>
  </si>
  <si>
    <t>Otros Impuestos y derechos</t>
  </si>
  <si>
    <t>SUMA CAPÍTULO 3000 Servicios Generales</t>
  </si>
  <si>
    <t>Transferencias internas para Asignaciones, Subsidios y Otras Ayudas</t>
  </si>
  <si>
    <t>Aportación para la Promoción Económica del Estado</t>
  </si>
  <si>
    <t>Aportación para Erogaciones Contingentes</t>
  </si>
  <si>
    <t>SUMA CAPÍTULO 4000 Transferencias, Asignaciones, Subsidios y Otras Ayudas</t>
  </si>
  <si>
    <t>Muebles de Oficina y estantería</t>
  </si>
  <si>
    <t>Equipo de computo y de tecnología de la información</t>
  </si>
  <si>
    <t>Otros mobiliarios y equipos de administración</t>
  </si>
  <si>
    <t>Vehículos y equipo terrestres, destinados a servicios públicos y la operación de programas públicos.</t>
  </si>
  <si>
    <t>Equipo de comunicación y telecomunicación</t>
  </si>
  <si>
    <t>Software</t>
  </si>
  <si>
    <t>Liciencias Informáticas e Intelectuales</t>
  </si>
  <si>
    <t>SUMA CAPÍTULO 5000 Bienes Muebles e Inmuebles</t>
  </si>
  <si>
    <t>TOTAL</t>
  </si>
  <si>
    <t xml:space="preserve"> </t>
  </si>
  <si>
    <t xml:space="preserve">PROGRAMA DE FOMENTO A LA INDUSTRIA, COMERCIO Y SERVICIOS </t>
  </si>
  <si>
    <t>PRESUPUESTO TRIMESTRAL DE EGRESOS DE ENERO A SEPTIEMBRE 2015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</si>
</sst>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0000"/>
    <numFmt numFmtId="168" formatCode="_-[$€-2]* #,##0.00_-;\-[$€-2]* #,##0.00_-;_-[$€-2]* &quot;-&quot;??_-"/>
    <numFmt numFmtId="169" formatCode="[$-80A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9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3" fontId="2" fillId="0" borderId="0" xfId="2" applyFont="1"/>
    <xf numFmtId="0" fontId="4" fillId="0" borderId="0" xfId="1" applyFont="1" applyAlignment="1">
      <alignment horizontal="center"/>
    </xf>
    <xf numFmtId="0" fontId="2" fillId="0" borderId="0" xfId="1"/>
    <xf numFmtId="0" fontId="5" fillId="2" borderId="1" xfId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0" xfId="1" applyNumberFormat="1"/>
    <xf numFmtId="164" fontId="2" fillId="0" borderId="1" xfId="1" applyNumberFormat="1" applyFill="1" applyBorder="1" applyAlignment="1">
      <alignment horizontal="center" vertical="center"/>
    </xf>
    <xf numFmtId="165" fontId="2" fillId="0" borderId="1" xfId="1" applyNumberFormat="1" applyFill="1" applyBorder="1" applyAlignment="1">
      <alignment horizontal="center" vertical="center"/>
    </xf>
    <xf numFmtId="166" fontId="2" fillId="0" borderId="1" xfId="1" applyNumberForma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64" fontId="2" fillId="0" borderId="1" xfId="1" applyNumberFormat="1" applyBorder="1" applyAlignment="1">
      <alignment horizontal="center"/>
    </xf>
    <xf numFmtId="0" fontId="2" fillId="0" borderId="1" xfId="3" applyNumberFormat="1" applyFont="1" applyFill="1" applyBorder="1" applyAlignment="1">
      <alignment vertical="center" wrapText="1"/>
    </xf>
    <xf numFmtId="3" fontId="2" fillId="0" borderId="1" xfId="1" applyNumberFormat="1" applyBorder="1"/>
    <xf numFmtId="4" fontId="2" fillId="0" borderId="1" xfId="1" applyNumberFormat="1" applyBorder="1"/>
    <xf numFmtId="4" fontId="2" fillId="0" borderId="1" xfId="2" applyNumberFormat="1" applyFont="1" applyFill="1" applyBorder="1"/>
    <xf numFmtId="4" fontId="2" fillId="0" borderId="1" xfId="2" applyNumberFormat="1" applyFont="1" applyBorder="1"/>
    <xf numFmtId="3" fontId="2" fillId="0" borderId="1" xfId="1" applyNumberFormat="1" applyFill="1" applyBorder="1"/>
    <xf numFmtId="4" fontId="2" fillId="0" borderId="1" xfId="1" applyNumberFormat="1" applyFill="1" applyBorder="1"/>
    <xf numFmtId="164" fontId="2" fillId="0" borderId="3" xfId="1" applyNumberFormat="1" applyFill="1" applyBorder="1" applyAlignment="1">
      <alignment horizontal="center" vertical="center"/>
    </xf>
    <xf numFmtId="165" fontId="2" fillId="0" borderId="3" xfId="1" applyNumberForma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164" fontId="2" fillId="0" borderId="3" xfId="1" applyNumberFormat="1" applyBorder="1" applyAlignment="1">
      <alignment horizontal="center"/>
    </xf>
    <xf numFmtId="0" fontId="2" fillId="2" borderId="4" xfId="1" applyFill="1" applyBorder="1"/>
    <xf numFmtId="0" fontId="2" fillId="2" borderId="5" xfId="1" applyFill="1" applyBorder="1"/>
    <xf numFmtId="0" fontId="4" fillId="2" borderId="5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1" xfId="1" applyNumberFormat="1" applyFont="1" applyFill="1" applyBorder="1"/>
    <xf numFmtId="3" fontId="2" fillId="0" borderId="0" xfId="1" applyNumberFormat="1"/>
    <xf numFmtId="164" fontId="2" fillId="0" borderId="6" xfId="1" applyNumberFormat="1" applyFill="1" applyBorder="1" applyAlignment="1">
      <alignment horizontal="center" vertical="center"/>
    </xf>
    <xf numFmtId="165" fontId="2" fillId="0" borderId="6" xfId="1" applyNumberFormat="1" applyFill="1" applyBorder="1" applyAlignment="1">
      <alignment horizontal="center" vertical="center"/>
    </xf>
    <xf numFmtId="0" fontId="2" fillId="0" borderId="6" xfId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43" fontId="2" fillId="0" borderId="1" xfId="2" applyFont="1" applyFill="1" applyBorder="1"/>
    <xf numFmtId="43" fontId="2" fillId="0" borderId="1" xfId="2" applyFont="1" applyBorder="1"/>
    <xf numFmtId="43" fontId="2" fillId="0" borderId="0" xfId="2" applyFont="1" applyFill="1" applyBorder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6" xfId="3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2" fillId="0" borderId="1" xfId="1" applyNumberFormat="1" applyFont="1" applyFill="1" applyBorder="1"/>
    <xf numFmtId="0" fontId="2" fillId="0" borderId="1" xfId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0" fontId="2" fillId="0" borderId="1" xfId="4" applyFill="1" applyBorder="1" applyAlignment="1">
      <alignment horizontal="center"/>
    </xf>
    <xf numFmtId="0" fontId="2" fillId="0" borderId="1" xfId="4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2" fillId="2" borderId="5" xfId="1" applyFill="1" applyBorder="1" applyAlignment="1">
      <alignment horizontal="center"/>
    </xf>
    <xf numFmtId="164" fontId="2" fillId="2" borderId="2" xfId="1" applyNumberFormat="1" applyFill="1" applyBorder="1" applyAlignment="1">
      <alignment horizontal="center"/>
    </xf>
    <xf numFmtId="3" fontId="2" fillId="2" borderId="1" xfId="1" applyNumberFormat="1" applyFill="1" applyBorder="1"/>
    <xf numFmtId="0" fontId="7" fillId="0" borderId="6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7" fillId="0" borderId="1" xfId="1" applyFont="1" applyBorder="1" applyAlignment="1">
      <alignment wrapText="1"/>
    </xf>
    <xf numFmtId="3" fontId="7" fillId="0" borderId="1" xfId="1" applyNumberFormat="1" applyFont="1" applyFill="1" applyBorder="1"/>
    <xf numFmtId="164" fontId="2" fillId="0" borderId="7" xfId="1" applyNumberFormat="1" applyFill="1" applyBorder="1" applyAlignment="1">
      <alignment horizontal="center" vertical="center"/>
    </xf>
    <xf numFmtId="165" fontId="2" fillId="0" borderId="7" xfId="1" applyNumberForma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2" fillId="0" borderId="1" xfId="1" applyBorder="1"/>
    <xf numFmtId="43" fontId="2" fillId="2" borderId="4" xfId="2" applyFont="1" applyFill="1" applyBorder="1"/>
    <xf numFmtId="43" fontId="2" fillId="2" borderId="5" xfId="2" applyFont="1" applyFill="1" applyBorder="1"/>
    <xf numFmtId="43" fontId="2" fillId="2" borderId="8" xfId="2" applyFont="1" applyFill="1" applyBorder="1"/>
    <xf numFmtId="43" fontId="2" fillId="2" borderId="9" xfId="2" applyFont="1" applyFill="1" applyBorder="1"/>
    <xf numFmtId="0" fontId="2" fillId="2" borderId="9" xfId="1" applyFill="1" applyBorder="1"/>
    <xf numFmtId="164" fontId="2" fillId="2" borderId="10" xfId="1" applyNumberFormat="1" applyFill="1" applyBorder="1"/>
    <xf numFmtId="17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17" fontId="2" fillId="0" borderId="0" xfId="1" applyNumberFormat="1" applyBorder="1" applyAlignment="1">
      <alignment horizontal="left"/>
    </xf>
    <xf numFmtId="4" fontId="2" fillId="0" borderId="0" xfId="1" applyNumberFormat="1" applyBorder="1"/>
    <xf numFmtId="0" fontId="2" fillId="0" borderId="0" xfId="1" applyBorder="1"/>
    <xf numFmtId="0" fontId="4" fillId="0" borderId="0" xfId="1" applyFont="1" applyBorder="1" applyAlignment="1">
      <alignment horizontal="center"/>
    </xf>
    <xf numFmtId="4" fontId="2" fillId="0" borderId="0" xfId="1" applyNumberFormat="1"/>
    <xf numFmtId="0" fontId="3" fillId="0" borderId="0" xfId="1" applyFont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</cellXfs>
  <cellStyles count="47">
    <cellStyle name="Euro" xfId="5"/>
    <cellStyle name="Excel Built-in Normal" xfId="6"/>
    <cellStyle name="Millares 2" xfId="7"/>
    <cellStyle name="Millares 2 2" xfId="2"/>
    <cellStyle name="Millares 2 3" xfId="8"/>
    <cellStyle name="Millares 3" xfId="9"/>
    <cellStyle name="Millares 4" xfId="10"/>
    <cellStyle name="Millares 5" xfId="11"/>
    <cellStyle name="Moneda 2" xfId="12"/>
    <cellStyle name="Moneda 2 2" xfId="13"/>
    <cellStyle name="Moneda 3" xfId="14"/>
    <cellStyle name="Moneda 3 2" xfId="15"/>
    <cellStyle name="Moneda 3 2 2" xfId="16"/>
    <cellStyle name="Moneda 3 3" xfId="17"/>
    <cellStyle name="Moneda 3 3 2" xfId="18"/>
    <cellStyle name="Moneda 3 3 2 2" xfId="19"/>
    <cellStyle name="Moneda 3 3 3" xfId="20"/>
    <cellStyle name="Moneda 3 4" xfId="21"/>
    <cellStyle name="Moneda 4" xfId="22"/>
    <cellStyle name="Moneda 4 2" xfId="23"/>
    <cellStyle name="Moneda 4 2 2" xfId="24"/>
    <cellStyle name="Moneda 4 3" xfId="25"/>
    <cellStyle name="Moneda 5" xfId="26"/>
    <cellStyle name="Moneda 6" xfId="27"/>
    <cellStyle name="Normal" xfId="0" builtinId="0"/>
    <cellStyle name="Normal 10" xfId="28"/>
    <cellStyle name="Normal 10 2" xfId="29"/>
    <cellStyle name="Normal 11" xfId="30"/>
    <cellStyle name="Normal 13 2" xfId="31"/>
    <cellStyle name="Normal 2" xfId="1"/>
    <cellStyle name="Normal 2 2" xfId="32"/>
    <cellStyle name="Normal 2 3" xfId="33"/>
    <cellStyle name="Normal 2 4" xfId="34"/>
    <cellStyle name="Normal 3" xfId="35"/>
    <cellStyle name="Normal 3 2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rmal 8" xfId="43"/>
    <cellStyle name="Normal 9" xfId="4"/>
    <cellStyle name="Normal_14 Analisis Octubre 15" xfId="3"/>
    <cellStyle name="Porcentual 2" xfId="44"/>
    <cellStyle name="Porcentual 3" xfId="45"/>
    <cellStyle name="Porcentual 4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7</xdr:col>
      <xdr:colOff>2686049</xdr:colOff>
      <xdr:row>7</xdr:row>
      <xdr:rowOff>59713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3295649" cy="104078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17"/>
  <sheetViews>
    <sheetView tabSelected="1" topLeftCell="F1" zoomScaleNormal="100" workbookViewId="0">
      <selection activeCell="H34" sqref="H34"/>
    </sheetView>
  </sheetViews>
  <sheetFormatPr baseColWidth="10" defaultRowHeight="12.75"/>
  <cols>
    <col min="1" max="1" width="4.7109375" style="3" hidden="1" customWidth="1"/>
    <col min="2" max="2" width="5" style="3" hidden="1" customWidth="1"/>
    <col min="3" max="3" width="7.5703125" style="3" hidden="1" customWidth="1"/>
    <col min="4" max="4" width="7" style="3" hidden="1" customWidth="1"/>
    <col min="5" max="5" width="9.5703125" style="3" hidden="1" customWidth="1"/>
    <col min="6" max="6" width="9.140625" style="3" bestFit="1" customWidth="1"/>
    <col min="7" max="7" width="6.42578125" style="3" hidden="1" customWidth="1"/>
    <col min="8" max="8" width="60.28515625" style="3" customWidth="1"/>
    <col min="9" max="9" width="14.85546875" style="3" bestFit="1" customWidth="1"/>
    <col min="10" max="10" width="15.140625" style="3" bestFit="1" customWidth="1"/>
    <col min="11" max="11" width="14.7109375" style="3" customWidth="1"/>
    <col min="12" max="12" width="17.5703125" style="3" customWidth="1"/>
    <col min="13" max="13" width="15.7109375" style="1" customWidth="1"/>
    <col min="14" max="14" width="14.28515625" style="1" customWidth="1"/>
    <col min="15" max="15" width="14.7109375" style="3" customWidth="1"/>
    <col min="16" max="16" width="16.7109375" style="3" customWidth="1"/>
    <col min="17" max="17" width="14.28515625" style="3" customWidth="1"/>
    <col min="18" max="255" width="11.42578125" style="3"/>
    <col min="256" max="256" width="9.140625" style="3" bestFit="1" customWidth="1"/>
    <col min="257" max="257" width="0" style="3" hidden="1" customWidth="1"/>
    <col min="258" max="258" width="46.85546875" style="3" customWidth="1"/>
    <col min="259" max="259" width="14.85546875" style="3" bestFit="1" customWidth="1"/>
    <col min="260" max="260" width="15.140625" style="3" bestFit="1" customWidth="1"/>
    <col min="261" max="261" width="12.85546875" style="3" bestFit="1" customWidth="1"/>
    <col min="262" max="265" width="0" style="3" hidden="1" customWidth="1"/>
    <col min="266" max="266" width="16.140625" style="3" bestFit="1" customWidth="1"/>
    <col min="267" max="267" width="14.7109375" style="3" customWidth="1"/>
    <col min="268" max="268" width="11.7109375" style="3" bestFit="1" customWidth="1"/>
    <col min="269" max="269" width="14" style="3" customWidth="1"/>
    <col min="270" max="270" width="11.7109375" style="3" bestFit="1" customWidth="1"/>
    <col min="271" max="511" width="11.42578125" style="3"/>
    <col min="512" max="512" width="9.140625" style="3" bestFit="1" customWidth="1"/>
    <col min="513" max="513" width="0" style="3" hidden="1" customWidth="1"/>
    <col min="514" max="514" width="46.85546875" style="3" customWidth="1"/>
    <col min="515" max="515" width="14.85546875" style="3" bestFit="1" customWidth="1"/>
    <col min="516" max="516" width="15.140625" style="3" bestFit="1" customWidth="1"/>
    <col min="517" max="517" width="12.85546875" style="3" bestFit="1" customWidth="1"/>
    <col min="518" max="521" width="0" style="3" hidden="1" customWidth="1"/>
    <col min="522" max="522" width="16.140625" style="3" bestFit="1" customWidth="1"/>
    <col min="523" max="523" width="14.7109375" style="3" customWidth="1"/>
    <col min="524" max="524" width="11.7109375" style="3" bestFit="1" customWidth="1"/>
    <col min="525" max="525" width="14" style="3" customWidth="1"/>
    <col min="526" max="526" width="11.7109375" style="3" bestFit="1" customWidth="1"/>
    <col min="527" max="767" width="11.42578125" style="3"/>
    <col min="768" max="768" width="9.140625" style="3" bestFit="1" customWidth="1"/>
    <col min="769" max="769" width="0" style="3" hidden="1" customWidth="1"/>
    <col min="770" max="770" width="46.85546875" style="3" customWidth="1"/>
    <col min="771" max="771" width="14.85546875" style="3" bestFit="1" customWidth="1"/>
    <col min="772" max="772" width="15.140625" style="3" bestFit="1" customWidth="1"/>
    <col min="773" max="773" width="12.85546875" style="3" bestFit="1" customWidth="1"/>
    <col min="774" max="777" width="0" style="3" hidden="1" customWidth="1"/>
    <col min="778" max="778" width="16.140625" style="3" bestFit="1" customWidth="1"/>
    <col min="779" max="779" width="14.7109375" style="3" customWidth="1"/>
    <col min="780" max="780" width="11.7109375" style="3" bestFit="1" customWidth="1"/>
    <col min="781" max="781" width="14" style="3" customWidth="1"/>
    <col min="782" max="782" width="11.7109375" style="3" bestFit="1" customWidth="1"/>
    <col min="783" max="1023" width="11.42578125" style="3"/>
    <col min="1024" max="1024" width="9.140625" style="3" bestFit="1" customWidth="1"/>
    <col min="1025" max="1025" width="0" style="3" hidden="1" customWidth="1"/>
    <col min="1026" max="1026" width="46.85546875" style="3" customWidth="1"/>
    <col min="1027" max="1027" width="14.85546875" style="3" bestFit="1" customWidth="1"/>
    <col min="1028" max="1028" width="15.140625" style="3" bestFit="1" customWidth="1"/>
    <col min="1029" max="1029" width="12.85546875" style="3" bestFit="1" customWidth="1"/>
    <col min="1030" max="1033" width="0" style="3" hidden="1" customWidth="1"/>
    <col min="1034" max="1034" width="16.140625" style="3" bestFit="1" customWidth="1"/>
    <col min="1035" max="1035" width="14.7109375" style="3" customWidth="1"/>
    <col min="1036" max="1036" width="11.7109375" style="3" bestFit="1" customWidth="1"/>
    <col min="1037" max="1037" width="14" style="3" customWidth="1"/>
    <col min="1038" max="1038" width="11.7109375" style="3" bestFit="1" customWidth="1"/>
    <col min="1039" max="1279" width="11.42578125" style="3"/>
    <col min="1280" max="1280" width="9.140625" style="3" bestFit="1" customWidth="1"/>
    <col min="1281" max="1281" width="0" style="3" hidden="1" customWidth="1"/>
    <col min="1282" max="1282" width="46.85546875" style="3" customWidth="1"/>
    <col min="1283" max="1283" width="14.85546875" style="3" bestFit="1" customWidth="1"/>
    <col min="1284" max="1284" width="15.140625" style="3" bestFit="1" customWidth="1"/>
    <col min="1285" max="1285" width="12.85546875" style="3" bestFit="1" customWidth="1"/>
    <col min="1286" max="1289" width="0" style="3" hidden="1" customWidth="1"/>
    <col min="1290" max="1290" width="16.140625" style="3" bestFit="1" customWidth="1"/>
    <col min="1291" max="1291" width="14.7109375" style="3" customWidth="1"/>
    <col min="1292" max="1292" width="11.7109375" style="3" bestFit="1" customWidth="1"/>
    <col min="1293" max="1293" width="14" style="3" customWidth="1"/>
    <col min="1294" max="1294" width="11.7109375" style="3" bestFit="1" customWidth="1"/>
    <col min="1295" max="1535" width="11.42578125" style="3"/>
    <col min="1536" max="1536" width="9.140625" style="3" bestFit="1" customWidth="1"/>
    <col min="1537" max="1537" width="0" style="3" hidden="1" customWidth="1"/>
    <col min="1538" max="1538" width="46.85546875" style="3" customWidth="1"/>
    <col min="1539" max="1539" width="14.85546875" style="3" bestFit="1" customWidth="1"/>
    <col min="1540" max="1540" width="15.140625" style="3" bestFit="1" customWidth="1"/>
    <col min="1541" max="1541" width="12.85546875" style="3" bestFit="1" customWidth="1"/>
    <col min="1542" max="1545" width="0" style="3" hidden="1" customWidth="1"/>
    <col min="1546" max="1546" width="16.140625" style="3" bestFit="1" customWidth="1"/>
    <col min="1547" max="1547" width="14.7109375" style="3" customWidth="1"/>
    <col min="1548" max="1548" width="11.7109375" style="3" bestFit="1" customWidth="1"/>
    <col min="1549" max="1549" width="14" style="3" customWidth="1"/>
    <col min="1550" max="1550" width="11.7109375" style="3" bestFit="1" customWidth="1"/>
    <col min="1551" max="1791" width="11.42578125" style="3"/>
    <col min="1792" max="1792" width="9.140625" style="3" bestFit="1" customWidth="1"/>
    <col min="1793" max="1793" width="0" style="3" hidden="1" customWidth="1"/>
    <col min="1794" max="1794" width="46.85546875" style="3" customWidth="1"/>
    <col min="1795" max="1795" width="14.85546875" style="3" bestFit="1" customWidth="1"/>
    <col min="1796" max="1796" width="15.140625" style="3" bestFit="1" customWidth="1"/>
    <col min="1797" max="1797" width="12.85546875" style="3" bestFit="1" customWidth="1"/>
    <col min="1798" max="1801" width="0" style="3" hidden="1" customWidth="1"/>
    <col min="1802" max="1802" width="16.140625" style="3" bestFit="1" customWidth="1"/>
    <col min="1803" max="1803" width="14.7109375" style="3" customWidth="1"/>
    <col min="1804" max="1804" width="11.7109375" style="3" bestFit="1" customWidth="1"/>
    <col min="1805" max="1805" width="14" style="3" customWidth="1"/>
    <col min="1806" max="1806" width="11.7109375" style="3" bestFit="1" customWidth="1"/>
    <col min="1807" max="2047" width="11.42578125" style="3"/>
    <col min="2048" max="2048" width="9.140625" style="3" bestFit="1" customWidth="1"/>
    <col min="2049" max="2049" width="0" style="3" hidden="1" customWidth="1"/>
    <col min="2050" max="2050" width="46.85546875" style="3" customWidth="1"/>
    <col min="2051" max="2051" width="14.85546875" style="3" bestFit="1" customWidth="1"/>
    <col min="2052" max="2052" width="15.140625" style="3" bestFit="1" customWidth="1"/>
    <col min="2053" max="2053" width="12.85546875" style="3" bestFit="1" customWidth="1"/>
    <col min="2054" max="2057" width="0" style="3" hidden="1" customWidth="1"/>
    <col min="2058" max="2058" width="16.140625" style="3" bestFit="1" customWidth="1"/>
    <col min="2059" max="2059" width="14.7109375" style="3" customWidth="1"/>
    <col min="2060" max="2060" width="11.7109375" style="3" bestFit="1" customWidth="1"/>
    <col min="2061" max="2061" width="14" style="3" customWidth="1"/>
    <col min="2062" max="2062" width="11.7109375" style="3" bestFit="1" customWidth="1"/>
    <col min="2063" max="2303" width="11.42578125" style="3"/>
    <col min="2304" max="2304" width="9.140625" style="3" bestFit="1" customWidth="1"/>
    <col min="2305" max="2305" width="0" style="3" hidden="1" customWidth="1"/>
    <col min="2306" max="2306" width="46.85546875" style="3" customWidth="1"/>
    <col min="2307" max="2307" width="14.85546875" style="3" bestFit="1" customWidth="1"/>
    <col min="2308" max="2308" width="15.140625" style="3" bestFit="1" customWidth="1"/>
    <col min="2309" max="2309" width="12.85546875" style="3" bestFit="1" customWidth="1"/>
    <col min="2310" max="2313" width="0" style="3" hidden="1" customWidth="1"/>
    <col min="2314" max="2314" width="16.140625" style="3" bestFit="1" customWidth="1"/>
    <col min="2315" max="2315" width="14.7109375" style="3" customWidth="1"/>
    <col min="2316" max="2316" width="11.7109375" style="3" bestFit="1" customWidth="1"/>
    <col min="2317" max="2317" width="14" style="3" customWidth="1"/>
    <col min="2318" max="2318" width="11.7109375" style="3" bestFit="1" customWidth="1"/>
    <col min="2319" max="2559" width="11.42578125" style="3"/>
    <col min="2560" max="2560" width="9.140625" style="3" bestFit="1" customWidth="1"/>
    <col min="2561" max="2561" width="0" style="3" hidden="1" customWidth="1"/>
    <col min="2562" max="2562" width="46.85546875" style="3" customWidth="1"/>
    <col min="2563" max="2563" width="14.85546875" style="3" bestFit="1" customWidth="1"/>
    <col min="2564" max="2564" width="15.140625" style="3" bestFit="1" customWidth="1"/>
    <col min="2565" max="2565" width="12.85546875" style="3" bestFit="1" customWidth="1"/>
    <col min="2566" max="2569" width="0" style="3" hidden="1" customWidth="1"/>
    <col min="2570" max="2570" width="16.140625" style="3" bestFit="1" customWidth="1"/>
    <col min="2571" max="2571" width="14.7109375" style="3" customWidth="1"/>
    <col min="2572" max="2572" width="11.7109375" style="3" bestFit="1" customWidth="1"/>
    <col min="2573" max="2573" width="14" style="3" customWidth="1"/>
    <col min="2574" max="2574" width="11.7109375" style="3" bestFit="1" customWidth="1"/>
    <col min="2575" max="2815" width="11.42578125" style="3"/>
    <col min="2816" max="2816" width="9.140625" style="3" bestFit="1" customWidth="1"/>
    <col min="2817" max="2817" width="0" style="3" hidden="1" customWidth="1"/>
    <col min="2818" max="2818" width="46.85546875" style="3" customWidth="1"/>
    <col min="2819" max="2819" width="14.85546875" style="3" bestFit="1" customWidth="1"/>
    <col min="2820" max="2820" width="15.140625" style="3" bestFit="1" customWidth="1"/>
    <col min="2821" max="2821" width="12.85546875" style="3" bestFit="1" customWidth="1"/>
    <col min="2822" max="2825" width="0" style="3" hidden="1" customWidth="1"/>
    <col min="2826" max="2826" width="16.140625" style="3" bestFit="1" customWidth="1"/>
    <col min="2827" max="2827" width="14.7109375" style="3" customWidth="1"/>
    <col min="2828" max="2828" width="11.7109375" style="3" bestFit="1" customWidth="1"/>
    <col min="2829" max="2829" width="14" style="3" customWidth="1"/>
    <col min="2830" max="2830" width="11.7109375" style="3" bestFit="1" customWidth="1"/>
    <col min="2831" max="3071" width="11.42578125" style="3"/>
    <col min="3072" max="3072" width="9.140625" style="3" bestFit="1" customWidth="1"/>
    <col min="3073" max="3073" width="0" style="3" hidden="1" customWidth="1"/>
    <col min="3074" max="3074" width="46.85546875" style="3" customWidth="1"/>
    <col min="3075" max="3075" width="14.85546875" style="3" bestFit="1" customWidth="1"/>
    <col min="3076" max="3076" width="15.140625" style="3" bestFit="1" customWidth="1"/>
    <col min="3077" max="3077" width="12.85546875" style="3" bestFit="1" customWidth="1"/>
    <col min="3078" max="3081" width="0" style="3" hidden="1" customWidth="1"/>
    <col min="3082" max="3082" width="16.140625" style="3" bestFit="1" customWidth="1"/>
    <col min="3083" max="3083" width="14.7109375" style="3" customWidth="1"/>
    <col min="3084" max="3084" width="11.7109375" style="3" bestFit="1" customWidth="1"/>
    <col min="3085" max="3085" width="14" style="3" customWidth="1"/>
    <col min="3086" max="3086" width="11.7109375" style="3" bestFit="1" customWidth="1"/>
    <col min="3087" max="3327" width="11.42578125" style="3"/>
    <col min="3328" max="3328" width="9.140625" style="3" bestFit="1" customWidth="1"/>
    <col min="3329" max="3329" width="0" style="3" hidden="1" customWidth="1"/>
    <col min="3330" max="3330" width="46.85546875" style="3" customWidth="1"/>
    <col min="3331" max="3331" width="14.85546875" style="3" bestFit="1" customWidth="1"/>
    <col min="3332" max="3332" width="15.140625" style="3" bestFit="1" customWidth="1"/>
    <col min="3333" max="3333" width="12.85546875" style="3" bestFit="1" customWidth="1"/>
    <col min="3334" max="3337" width="0" style="3" hidden="1" customWidth="1"/>
    <col min="3338" max="3338" width="16.140625" style="3" bestFit="1" customWidth="1"/>
    <col min="3339" max="3339" width="14.7109375" style="3" customWidth="1"/>
    <col min="3340" max="3340" width="11.7109375" style="3" bestFit="1" customWidth="1"/>
    <col min="3341" max="3341" width="14" style="3" customWidth="1"/>
    <col min="3342" max="3342" width="11.7109375" style="3" bestFit="1" customWidth="1"/>
    <col min="3343" max="3583" width="11.42578125" style="3"/>
    <col min="3584" max="3584" width="9.140625" style="3" bestFit="1" customWidth="1"/>
    <col min="3585" max="3585" width="0" style="3" hidden="1" customWidth="1"/>
    <col min="3586" max="3586" width="46.85546875" style="3" customWidth="1"/>
    <col min="3587" max="3587" width="14.85546875" style="3" bestFit="1" customWidth="1"/>
    <col min="3588" max="3588" width="15.140625" style="3" bestFit="1" customWidth="1"/>
    <col min="3589" max="3589" width="12.85546875" style="3" bestFit="1" customWidth="1"/>
    <col min="3590" max="3593" width="0" style="3" hidden="1" customWidth="1"/>
    <col min="3594" max="3594" width="16.140625" style="3" bestFit="1" customWidth="1"/>
    <col min="3595" max="3595" width="14.7109375" style="3" customWidth="1"/>
    <col min="3596" max="3596" width="11.7109375" style="3" bestFit="1" customWidth="1"/>
    <col min="3597" max="3597" width="14" style="3" customWidth="1"/>
    <col min="3598" max="3598" width="11.7109375" style="3" bestFit="1" customWidth="1"/>
    <col min="3599" max="3839" width="11.42578125" style="3"/>
    <col min="3840" max="3840" width="9.140625" style="3" bestFit="1" customWidth="1"/>
    <col min="3841" max="3841" width="0" style="3" hidden="1" customWidth="1"/>
    <col min="3842" max="3842" width="46.85546875" style="3" customWidth="1"/>
    <col min="3843" max="3843" width="14.85546875" style="3" bestFit="1" customWidth="1"/>
    <col min="3844" max="3844" width="15.140625" style="3" bestFit="1" customWidth="1"/>
    <col min="3845" max="3845" width="12.85546875" style="3" bestFit="1" customWidth="1"/>
    <col min="3846" max="3849" width="0" style="3" hidden="1" customWidth="1"/>
    <col min="3850" max="3850" width="16.140625" style="3" bestFit="1" customWidth="1"/>
    <col min="3851" max="3851" width="14.7109375" style="3" customWidth="1"/>
    <col min="3852" max="3852" width="11.7109375" style="3" bestFit="1" customWidth="1"/>
    <col min="3853" max="3853" width="14" style="3" customWidth="1"/>
    <col min="3854" max="3854" width="11.7109375" style="3" bestFit="1" customWidth="1"/>
    <col min="3855" max="4095" width="11.42578125" style="3"/>
    <col min="4096" max="4096" width="9.140625" style="3" bestFit="1" customWidth="1"/>
    <col min="4097" max="4097" width="0" style="3" hidden="1" customWidth="1"/>
    <col min="4098" max="4098" width="46.85546875" style="3" customWidth="1"/>
    <col min="4099" max="4099" width="14.85546875" style="3" bestFit="1" customWidth="1"/>
    <col min="4100" max="4100" width="15.140625" style="3" bestFit="1" customWidth="1"/>
    <col min="4101" max="4101" width="12.85546875" style="3" bestFit="1" customWidth="1"/>
    <col min="4102" max="4105" width="0" style="3" hidden="1" customWidth="1"/>
    <col min="4106" max="4106" width="16.140625" style="3" bestFit="1" customWidth="1"/>
    <col min="4107" max="4107" width="14.7109375" style="3" customWidth="1"/>
    <col min="4108" max="4108" width="11.7109375" style="3" bestFit="1" customWidth="1"/>
    <col min="4109" max="4109" width="14" style="3" customWidth="1"/>
    <col min="4110" max="4110" width="11.7109375" style="3" bestFit="1" customWidth="1"/>
    <col min="4111" max="4351" width="11.42578125" style="3"/>
    <col min="4352" max="4352" width="9.140625" style="3" bestFit="1" customWidth="1"/>
    <col min="4353" max="4353" width="0" style="3" hidden="1" customWidth="1"/>
    <col min="4354" max="4354" width="46.85546875" style="3" customWidth="1"/>
    <col min="4355" max="4355" width="14.85546875" style="3" bestFit="1" customWidth="1"/>
    <col min="4356" max="4356" width="15.140625" style="3" bestFit="1" customWidth="1"/>
    <col min="4357" max="4357" width="12.85546875" style="3" bestFit="1" customWidth="1"/>
    <col min="4358" max="4361" width="0" style="3" hidden="1" customWidth="1"/>
    <col min="4362" max="4362" width="16.140625" style="3" bestFit="1" customWidth="1"/>
    <col min="4363" max="4363" width="14.7109375" style="3" customWidth="1"/>
    <col min="4364" max="4364" width="11.7109375" style="3" bestFit="1" customWidth="1"/>
    <col min="4365" max="4365" width="14" style="3" customWidth="1"/>
    <col min="4366" max="4366" width="11.7109375" style="3" bestFit="1" customWidth="1"/>
    <col min="4367" max="4607" width="11.42578125" style="3"/>
    <col min="4608" max="4608" width="9.140625" style="3" bestFit="1" customWidth="1"/>
    <col min="4609" max="4609" width="0" style="3" hidden="1" customWidth="1"/>
    <col min="4610" max="4610" width="46.85546875" style="3" customWidth="1"/>
    <col min="4611" max="4611" width="14.85546875" style="3" bestFit="1" customWidth="1"/>
    <col min="4612" max="4612" width="15.140625" style="3" bestFit="1" customWidth="1"/>
    <col min="4613" max="4613" width="12.85546875" style="3" bestFit="1" customWidth="1"/>
    <col min="4614" max="4617" width="0" style="3" hidden="1" customWidth="1"/>
    <col min="4618" max="4618" width="16.140625" style="3" bestFit="1" customWidth="1"/>
    <col min="4619" max="4619" width="14.7109375" style="3" customWidth="1"/>
    <col min="4620" max="4620" width="11.7109375" style="3" bestFit="1" customWidth="1"/>
    <col min="4621" max="4621" width="14" style="3" customWidth="1"/>
    <col min="4622" max="4622" width="11.7109375" style="3" bestFit="1" customWidth="1"/>
    <col min="4623" max="4863" width="11.42578125" style="3"/>
    <col min="4864" max="4864" width="9.140625" style="3" bestFit="1" customWidth="1"/>
    <col min="4865" max="4865" width="0" style="3" hidden="1" customWidth="1"/>
    <col min="4866" max="4866" width="46.85546875" style="3" customWidth="1"/>
    <col min="4867" max="4867" width="14.85546875" style="3" bestFit="1" customWidth="1"/>
    <col min="4868" max="4868" width="15.140625" style="3" bestFit="1" customWidth="1"/>
    <col min="4869" max="4869" width="12.85546875" style="3" bestFit="1" customWidth="1"/>
    <col min="4870" max="4873" width="0" style="3" hidden="1" customWidth="1"/>
    <col min="4874" max="4874" width="16.140625" style="3" bestFit="1" customWidth="1"/>
    <col min="4875" max="4875" width="14.7109375" style="3" customWidth="1"/>
    <col min="4876" max="4876" width="11.7109375" style="3" bestFit="1" customWidth="1"/>
    <col min="4877" max="4877" width="14" style="3" customWidth="1"/>
    <col min="4878" max="4878" width="11.7109375" style="3" bestFit="1" customWidth="1"/>
    <col min="4879" max="5119" width="11.42578125" style="3"/>
    <col min="5120" max="5120" width="9.140625" style="3" bestFit="1" customWidth="1"/>
    <col min="5121" max="5121" width="0" style="3" hidden="1" customWidth="1"/>
    <col min="5122" max="5122" width="46.85546875" style="3" customWidth="1"/>
    <col min="5123" max="5123" width="14.85546875" style="3" bestFit="1" customWidth="1"/>
    <col min="5124" max="5124" width="15.140625" style="3" bestFit="1" customWidth="1"/>
    <col min="5125" max="5125" width="12.85546875" style="3" bestFit="1" customWidth="1"/>
    <col min="5126" max="5129" width="0" style="3" hidden="1" customWidth="1"/>
    <col min="5130" max="5130" width="16.140625" style="3" bestFit="1" customWidth="1"/>
    <col min="5131" max="5131" width="14.7109375" style="3" customWidth="1"/>
    <col min="5132" max="5132" width="11.7109375" style="3" bestFit="1" customWidth="1"/>
    <col min="5133" max="5133" width="14" style="3" customWidth="1"/>
    <col min="5134" max="5134" width="11.7109375" style="3" bestFit="1" customWidth="1"/>
    <col min="5135" max="5375" width="11.42578125" style="3"/>
    <col min="5376" max="5376" width="9.140625" style="3" bestFit="1" customWidth="1"/>
    <col min="5377" max="5377" width="0" style="3" hidden="1" customWidth="1"/>
    <col min="5378" max="5378" width="46.85546875" style="3" customWidth="1"/>
    <col min="5379" max="5379" width="14.85546875" style="3" bestFit="1" customWidth="1"/>
    <col min="5380" max="5380" width="15.140625" style="3" bestFit="1" customWidth="1"/>
    <col min="5381" max="5381" width="12.85546875" style="3" bestFit="1" customWidth="1"/>
    <col min="5382" max="5385" width="0" style="3" hidden="1" customWidth="1"/>
    <col min="5386" max="5386" width="16.140625" style="3" bestFit="1" customWidth="1"/>
    <col min="5387" max="5387" width="14.7109375" style="3" customWidth="1"/>
    <col min="5388" max="5388" width="11.7109375" style="3" bestFit="1" customWidth="1"/>
    <col min="5389" max="5389" width="14" style="3" customWidth="1"/>
    <col min="5390" max="5390" width="11.7109375" style="3" bestFit="1" customWidth="1"/>
    <col min="5391" max="5631" width="11.42578125" style="3"/>
    <col min="5632" max="5632" width="9.140625" style="3" bestFit="1" customWidth="1"/>
    <col min="5633" max="5633" width="0" style="3" hidden="1" customWidth="1"/>
    <col min="5634" max="5634" width="46.85546875" style="3" customWidth="1"/>
    <col min="5635" max="5635" width="14.85546875" style="3" bestFit="1" customWidth="1"/>
    <col min="5636" max="5636" width="15.140625" style="3" bestFit="1" customWidth="1"/>
    <col min="5637" max="5637" width="12.85546875" style="3" bestFit="1" customWidth="1"/>
    <col min="5638" max="5641" width="0" style="3" hidden="1" customWidth="1"/>
    <col min="5642" max="5642" width="16.140625" style="3" bestFit="1" customWidth="1"/>
    <col min="5643" max="5643" width="14.7109375" style="3" customWidth="1"/>
    <col min="5644" max="5644" width="11.7109375" style="3" bestFit="1" customWidth="1"/>
    <col min="5645" max="5645" width="14" style="3" customWidth="1"/>
    <col min="5646" max="5646" width="11.7109375" style="3" bestFit="1" customWidth="1"/>
    <col min="5647" max="5887" width="11.42578125" style="3"/>
    <col min="5888" max="5888" width="9.140625" style="3" bestFit="1" customWidth="1"/>
    <col min="5889" max="5889" width="0" style="3" hidden="1" customWidth="1"/>
    <col min="5890" max="5890" width="46.85546875" style="3" customWidth="1"/>
    <col min="5891" max="5891" width="14.85546875" style="3" bestFit="1" customWidth="1"/>
    <col min="5892" max="5892" width="15.140625" style="3" bestFit="1" customWidth="1"/>
    <col min="5893" max="5893" width="12.85546875" style="3" bestFit="1" customWidth="1"/>
    <col min="5894" max="5897" width="0" style="3" hidden="1" customWidth="1"/>
    <col min="5898" max="5898" width="16.140625" style="3" bestFit="1" customWidth="1"/>
    <col min="5899" max="5899" width="14.7109375" style="3" customWidth="1"/>
    <col min="5900" max="5900" width="11.7109375" style="3" bestFit="1" customWidth="1"/>
    <col min="5901" max="5901" width="14" style="3" customWidth="1"/>
    <col min="5902" max="5902" width="11.7109375" style="3" bestFit="1" customWidth="1"/>
    <col min="5903" max="6143" width="11.42578125" style="3"/>
    <col min="6144" max="6144" width="9.140625" style="3" bestFit="1" customWidth="1"/>
    <col min="6145" max="6145" width="0" style="3" hidden="1" customWidth="1"/>
    <col min="6146" max="6146" width="46.85546875" style="3" customWidth="1"/>
    <col min="6147" max="6147" width="14.85546875" style="3" bestFit="1" customWidth="1"/>
    <col min="6148" max="6148" width="15.140625" style="3" bestFit="1" customWidth="1"/>
    <col min="6149" max="6149" width="12.85546875" style="3" bestFit="1" customWidth="1"/>
    <col min="6150" max="6153" width="0" style="3" hidden="1" customWidth="1"/>
    <col min="6154" max="6154" width="16.140625" style="3" bestFit="1" customWidth="1"/>
    <col min="6155" max="6155" width="14.7109375" style="3" customWidth="1"/>
    <col min="6156" max="6156" width="11.7109375" style="3" bestFit="1" customWidth="1"/>
    <col min="6157" max="6157" width="14" style="3" customWidth="1"/>
    <col min="6158" max="6158" width="11.7109375" style="3" bestFit="1" customWidth="1"/>
    <col min="6159" max="6399" width="11.42578125" style="3"/>
    <col min="6400" max="6400" width="9.140625" style="3" bestFit="1" customWidth="1"/>
    <col min="6401" max="6401" width="0" style="3" hidden="1" customWidth="1"/>
    <col min="6402" max="6402" width="46.85546875" style="3" customWidth="1"/>
    <col min="6403" max="6403" width="14.85546875" style="3" bestFit="1" customWidth="1"/>
    <col min="6404" max="6404" width="15.140625" style="3" bestFit="1" customWidth="1"/>
    <col min="6405" max="6405" width="12.85546875" style="3" bestFit="1" customWidth="1"/>
    <col min="6406" max="6409" width="0" style="3" hidden="1" customWidth="1"/>
    <col min="6410" max="6410" width="16.140625" style="3" bestFit="1" customWidth="1"/>
    <col min="6411" max="6411" width="14.7109375" style="3" customWidth="1"/>
    <col min="6412" max="6412" width="11.7109375" style="3" bestFit="1" customWidth="1"/>
    <col min="6413" max="6413" width="14" style="3" customWidth="1"/>
    <col min="6414" max="6414" width="11.7109375" style="3" bestFit="1" customWidth="1"/>
    <col min="6415" max="6655" width="11.42578125" style="3"/>
    <col min="6656" max="6656" width="9.140625" style="3" bestFit="1" customWidth="1"/>
    <col min="6657" max="6657" width="0" style="3" hidden="1" customWidth="1"/>
    <col min="6658" max="6658" width="46.85546875" style="3" customWidth="1"/>
    <col min="6659" max="6659" width="14.85546875" style="3" bestFit="1" customWidth="1"/>
    <col min="6660" max="6660" width="15.140625" style="3" bestFit="1" customWidth="1"/>
    <col min="6661" max="6661" width="12.85546875" style="3" bestFit="1" customWidth="1"/>
    <col min="6662" max="6665" width="0" style="3" hidden="1" customWidth="1"/>
    <col min="6666" max="6666" width="16.140625" style="3" bestFit="1" customWidth="1"/>
    <col min="6667" max="6667" width="14.7109375" style="3" customWidth="1"/>
    <col min="6668" max="6668" width="11.7109375" style="3" bestFit="1" customWidth="1"/>
    <col min="6669" max="6669" width="14" style="3" customWidth="1"/>
    <col min="6670" max="6670" width="11.7109375" style="3" bestFit="1" customWidth="1"/>
    <col min="6671" max="6911" width="11.42578125" style="3"/>
    <col min="6912" max="6912" width="9.140625" style="3" bestFit="1" customWidth="1"/>
    <col min="6913" max="6913" width="0" style="3" hidden="1" customWidth="1"/>
    <col min="6914" max="6914" width="46.85546875" style="3" customWidth="1"/>
    <col min="6915" max="6915" width="14.85546875" style="3" bestFit="1" customWidth="1"/>
    <col min="6916" max="6916" width="15.140625" style="3" bestFit="1" customWidth="1"/>
    <col min="6917" max="6917" width="12.85546875" style="3" bestFit="1" customWidth="1"/>
    <col min="6918" max="6921" width="0" style="3" hidden="1" customWidth="1"/>
    <col min="6922" max="6922" width="16.140625" style="3" bestFit="1" customWidth="1"/>
    <col min="6923" max="6923" width="14.7109375" style="3" customWidth="1"/>
    <col min="6924" max="6924" width="11.7109375" style="3" bestFit="1" customWidth="1"/>
    <col min="6925" max="6925" width="14" style="3" customWidth="1"/>
    <col min="6926" max="6926" width="11.7109375" style="3" bestFit="1" customWidth="1"/>
    <col min="6927" max="7167" width="11.42578125" style="3"/>
    <col min="7168" max="7168" width="9.140625" style="3" bestFit="1" customWidth="1"/>
    <col min="7169" max="7169" width="0" style="3" hidden="1" customWidth="1"/>
    <col min="7170" max="7170" width="46.85546875" style="3" customWidth="1"/>
    <col min="7171" max="7171" width="14.85546875" style="3" bestFit="1" customWidth="1"/>
    <col min="7172" max="7172" width="15.140625" style="3" bestFit="1" customWidth="1"/>
    <col min="7173" max="7173" width="12.85546875" style="3" bestFit="1" customWidth="1"/>
    <col min="7174" max="7177" width="0" style="3" hidden="1" customWidth="1"/>
    <col min="7178" max="7178" width="16.140625" style="3" bestFit="1" customWidth="1"/>
    <col min="7179" max="7179" width="14.7109375" style="3" customWidth="1"/>
    <col min="7180" max="7180" width="11.7109375" style="3" bestFit="1" customWidth="1"/>
    <col min="7181" max="7181" width="14" style="3" customWidth="1"/>
    <col min="7182" max="7182" width="11.7109375" style="3" bestFit="1" customWidth="1"/>
    <col min="7183" max="7423" width="11.42578125" style="3"/>
    <col min="7424" max="7424" width="9.140625" style="3" bestFit="1" customWidth="1"/>
    <col min="7425" max="7425" width="0" style="3" hidden="1" customWidth="1"/>
    <col min="7426" max="7426" width="46.85546875" style="3" customWidth="1"/>
    <col min="7427" max="7427" width="14.85546875" style="3" bestFit="1" customWidth="1"/>
    <col min="7428" max="7428" width="15.140625" style="3" bestFit="1" customWidth="1"/>
    <col min="7429" max="7429" width="12.85546875" style="3" bestFit="1" customWidth="1"/>
    <col min="7430" max="7433" width="0" style="3" hidden="1" customWidth="1"/>
    <col min="7434" max="7434" width="16.140625" style="3" bestFit="1" customWidth="1"/>
    <col min="7435" max="7435" width="14.7109375" style="3" customWidth="1"/>
    <col min="7436" max="7436" width="11.7109375" style="3" bestFit="1" customWidth="1"/>
    <col min="7437" max="7437" width="14" style="3" customWidth="1"/>
    <col min="7438" max="7438" width="11.7109375" style="3" bestFit="1" customWidth="1"/>
    <col min="7439" max="7679" width="11.42578125" style="3"/>
    <col min="7680" max="7680" width="9.140625" style="3" bestFit="1" customWidth="1"/>
    <col min="7681" max="7681" width="0" style="3" hidden="1" customWidth="1"/>
    <col min="7682" max="7682" width="46.85546875" style="3" customWidth="1"/>
    <col min="7683" max="7683" width="14.85546875" style="3" bestFit="1" customWidth="1"/>
    <col min="7684" max="7684" width="15.140625" style="3" bestFit="1" customWidth="1"/>
    <col min="7685" max="7685" width="12.85546875" style="3" bestFit="1" customWidth="1"/>
    <col min="7686" max="7689" width="0" style="3" hidden="1" customWidth="1"/>
    <col min="7690" max="7690" width="16.140625" style="3" bestFit="1" customWidth="1"/>
    <col min="7691" max="7691" width="14.7109375" style="3" customWidth="1"/>
    <col min="7692" max="7692" width="11.7109375" style="3" bestFit="1" customWidth="1"/>
    <col min="7693" max="7693" width="14" style="3" customWidth="1"/>
    <col min="7694" max="7694" width="11.7109375" style="3" bestFit="1" customWidth="1"/>
    <col min="7695" max="7935" width="11.42578125" style="3"/>
    <col min="7936" max="7936" width="9.140625" style="3" bestFit="1" customWidth="1"/>
    <col min="7937" max="7937" width="0" style="3" hidden="1" customWidth="1"/>
    <col min="7938" max="7938" width="46.85546875" style="3" customWidth="1"/>
    <col min="7939" max="7939" width="14.85546875" style="3" bestFit="1" customWidth="1"/>
    <col min="7940" max="7940" width="15.140625" style="3" bestFit="1" customWidth="1"/>
    <col min="7941" max="7941" width="12.85546875" style="3" bestFit="1" customWidth="1"/>
    <col min="7942" max="7945" width="0" style="3" hidden="1" customWidth="1"/>
    <col min="7946" max="7946" width="16.140625" style="3" bestFit="1" customWidth="1"/>
    <col min="7947" max="7947" width="14.7109375" style="3" customWidth="1"/>
    <col min="7948" max="7948" width="11.7109375" style="3" bestFit="1" customWidth="1"/>
    <col min="7949" max="7949" width="14" style="3" customWidth="1"/>
    <col min="7950" max="7950" width="11.7109375" style="3" bestFit="1" customWidth="1"/>
    <col min="7951" max="8191" width="11.42578125" style="3"/>
    <col min="8192" max="8192" width="9.140625" style="3" bestFit="1" customWidth="1"/>
    <col min="8193" max="8193" width="0" style="3" hidden="1" customWidth="1"/>
    <col min="8194" max="8194" width="46.85546875" style="3" customWidth="1"/>
    <col min="8195" max="8195" width="14.85546875" style="3" bestFit="1" customWidth="1"/>
    <col min="8196" max="8196" width="15.140625" style="3" bestFit="1" customWidth="1"/>
    <col min="8197" max="8197" width="12.85546875" style="3" bestFit="1" customWidth="1"/>
    <col min="8198" max="8201" width="0" style="3" hidden="1" customWidth="1"/>
    <col min="8202" max="8202" width="16.140625" style="3" bestFit="1" customWidth="1"/>
    <col min="8203" max="8203" width="14.7109375" style="3" customWidth="1"/>
    <col min="8204" max="8204" width="11.7109375" style="3" bestFit="1" customWidth="1"/>
    <col min="8205" max="8205" width="14" style="3" customWidth="1"/>
    <col min="8206" max="8206" width="11.7109375" style="3" bestFit="1" customWidth="1"/>
    <col min="8207" max="8447" width="11.42578125" style="3"/>
    <col min="8448" max="8448" width="9.140625" style="3" bestFit="1" customWidth="1"/>
    <col min="8449" max="8449" width="0" style="3" hidden="1" customWidth="1"/>
    <col min="8450" max="8450" width="46.85546875" style="3" customWidth="1"/>
    <col min="8451" max="8451" width="14.85546875" style="3" bestFit="1" customWidth="1"/>
    <col min="8452" max="8452" width="15.140625" style="3" bestFit="1" customWidth="1"/>
    <col min="8453" max="8453" width="12.85546875" style="3" bestFit="1" customWidth="1"/>
    <col min="8454" max="8457" width="0" style="3" hidden="1" customWidth="1"/>
    <col min="8458" max="8458" width="16.140625" style="3" bestFit="1" customWidth="1"/>
    <col min="8459" max="8459" width="14.7109375" style="3" customWidth="1"/>
    <col min="8460" max="8460" width="11.7109375" style="3" bestFit="1" customWidth="1"/>
    <col min="8461" max="8461" width="14" style="3" customWidth="1"/>
    <col min="8462" max="8462" width="11.7109375" style="3" bestFit="1" customWidth="1"/>
    <col min="8463" max="8703" width="11.42578125" style="3"/>
    <col min="8704" max="8704" width="9.140625" style="3" bestFit="1" customWidth="1"/>
    <col min="8705" max="8705" width="0" style="3" hidden="1" customWidth="1"/>
    <col min="8706" max="8706" width="46.85546875" style="3" customWidth="1"/>
    <col min="8707" max="8707" width="14.85546875" style="3" bestFit="1" customWidth="1"/>
    <col min="8708" max="8708" width="15.140625" style="3" bestFit="1" customWidth="1"/>
    <col min="8709" max="8709" width="12.85546875" style="3" bestFit="1" customWidth="1"/>
    <col min="8710" max="8713" width="0" style="3" hidden="1" customWidth="1"/>
    <col min="8714" max="8714" width="16.140625" style="3" bestFit="1" customWidth="1"/>
    <col min="8715" max="8715" width="14.7109375" style="3" customWidth="1"/>
    <col min="8716" max="8716" width="11.7109375" style="3" bestFit="1" customWidth="1"/>
    <col min="8717" max="8717" width="14" style="3" customWidth="1"/>
    <col min="8718" max="8718" width="11.7109375" style="3" bestFit="1" customWidth="1"/>
    <col min="8719" max="8959" width="11.42578125" style="3"/>
    <col min="8960" max="8960" width="9.140625" style="3" bestFit="1" customWidth="1"/>
    <col min="8961" max="8961" width="0" style="3" hidden="1" customWidth="1"/>
    <col min="8962" max="8962" width="46.85546875" style="3" customWidth="1"/>
    <col min="8963" max="8963" width="14.85546875" style="3" bestFit="1" customWidth="1"/>
    <col min="8964" max="8964" width="15.140625" style="3" bestFit="1" customWidth="1"/>
    <col min="8965" max="8965" width="12.85546875" style="3" bestFit="1" customWidth="1"/>
    <col min="8966" max="8969" width="0" style="3" hidden="1" customWidth="1"/>
    <col min="8970" max="8970" width="16.140625" style="3" bestFit="1" customWidth="1"/>
    <col min="8971" max="8971" width="14.7109375" style="3" customWidth="1"/>
    <col min="8972" max="8972" width="11.7109375" style="3" bestFit="1" customWidth="1"/>
    <col min="8973" max="8973" width="14" style="3" customWidth="1"/>
    <col min="8974" max="8974" width="11.7109375" style="3" bestFit="1" customWidth="1"/>
    <col min="8975" max="9215" width="11.42578125" style="3"/>
    <col min="9216" max="9216" width="9.140625" style="3" bestFit="1" customWidth="1"/>
    <col min="9217" max="9217" width="0" style="3" hidden="1" customWidth="1"/>
    <col min="9218" max="9218" width="46.85546875" style="3" customWidth="1"/>
    <col min="9219" max="9219" width="14.85546875" style="3" bestFit="1" customWidth="1"/>
    <col min="9220" max="9220" width="15.140625" style="3" bestFit="1" customWidth="1"/>
    <col min="9221" max="9221" width="12.85546875" style="3" bestFit="1" customWidth="1"/>
    <col min="9222" max="9225" width="0" style="3" hidden="1" customWidth="1"/>
    <col min="9226" max="9226" width="16.140625" style="3" bestFit="1" customWidth="1"/>
    <col min="9227" max="9227" width="14.7109375" style="3" customWidth="1"/>
    <col min="9228" max="9228" width="11.7109375" style="3" bestFit="1" customWidth="1"/>
    <col min="9229" max="9229" width="14" style="3" customWidth="1"/>
    <col min="9230" max="9230" width="11.7109375" style="3" bestFit="1" customWidth="1"/>
    <col min="9231" max="9471" width="11.42578125" style="3"/>
    <col min="9472" max="9472" width="9.140625" style="3" bestFit="1" customWidth="1"/>
    <col min="9473" max="9473" width="0" style="3" hidden="1" customWidth="1"/>
    <col min="9474" max="9474" width="46.85546875" style="3" customWidth="1"/>
    <col min="9475" max="9475" width="14.85546875" style="3" bestFit="1" customWidth="1"/>
    <col min="9476" max="9476" width="15.140625" style="3" bestFit="1" customWidth="1"/>
    <col min="9477" max="9477" width="12.85546875" style="3" bestFit="1" customWidth="1"/>
    <col min="9478" max="9481" width="0" style="3" hidden="1" customWidth="1"/>
    <col min="9482" max="9482" width="16.140625" style="3" bestFit="1" customWidth="1"/>
    <col min="9483" max="9483" width="14.7109375" style="3" customWidth="1"/>
    <col min="9484" max="9484" width="11.7109375" style="3" bestFit="1" customWidth="1"/>
    <col min="9485" max="9485" width="14" style="3" customWidth="1"/>
    <col min="9486" max="9486" width="11.7109375" style="3" bestFit="1" customWidth="1"/>
    <col min="9487" max="9727" width="11.42578125" style="3"/>
    <col min="9728" max="9728" width="9.140625" style="3" bestFit="1" customWidth="1"/>
    <col min="9729" max="9729" width="0" style="3" hidden="1" customWidth="1"/>
    <col min="9730" max="9730" width="46.85546875" style="3" customWidth="1"/>
    <col min="9731" max="9731" width="14.85546875" style="3" bestFit="1" customWidth="1"/>
    <col min="9732" max="9732" width="15.140625" style="3" bestFit="1" customWidth="1"/>
    <col min="9733" max="9733" width="12.85546875" style="3" bestFit="1" customWidth="1"/>
    <col min="9734" max="9737" width="0" style="3" hidden="1" customWidth="1"/>
    <col min="9738" max="9738" width="16.140625" style="3" bestFit="1" customWidth="1"/>
    <col min="9739" max="9739" width="14.7109375" style="3" customWidth="1"/>
    <col min="9740" max="9740" width="11.7109375" style="3" bestFit="1" customWidth="1"/>
    <col min="9741" max="9741" width="14" style="3" customWidth="1"/>
    <col min="9742" max="9742" width="11.7109375" style="3" bestFit="1" customWidth="1"/>
    <col min="9743" max="9983" width="11.42578125" style="3"/>
    <col min="9984" max="9984" width="9.140625" style="3" bestFit="1" customWidth="1"/>
    <col min="9985" max="9985" width="0" style="3" hidden="1" customWidth="1"/>
    <col min="9986" max="9986" width="46.85546875" style="3" customWidth="1"/>
    <col min="9987" max="9987" width="14.85546875" style="3" bestFit="1" customWidth="1"/>
    <col min="9988" max="9988" width="15.140625" style="3" bestFit="1" customWidth="1"/>
    <col min="9989" max="9989" width="12.85546875" style="3" bestFit="1" customWidth="1"/>
    <col min="9990" max="9993" width="0" style="3" hidden="1" customWidth="1"/>
    <col min="9994" max="9994" width="16.140625" style="3" bestFit="1" customWidth="1"/>
    <col min="9995" max="9995" width="14.7109375" style="3" customWidth="1"/>
    <col min="9996" max="9996" width="11.7109375" style="3" bestFit="1" customWidth="1"/>
    <col min="9997" max="9997" width="14" style="3" customWidth="1"/>
    <col min="9998" max="9998" width="11.7109375" style="3" bestFit="1" customWidth="1"/>
    <col min="9999" max="10239" width="11.42578125" style="3"/>
    <col min="10240" max="10240" width="9.140625" style="3" bestFit="1" customWidth="1"/>
    <col min="10241" max="10241" width="0" style="3" hidden="1" customWidth="1"/>
    <col min="10242" max="10242" width="46.85546875" style="3" customWidth="1"/>
    <col min="10243" max="10243" width="14.85546875" style="3" bestFit="1" customWidth="1"/>
    <col min="10244" max="10244" width="15.140625" style="3" bestFit="1" customWidth="1"/>
    <col min="10245" max="10245" width="12.85546875" style="3" bestFit="1" customWidth="1"/>
    <col min="10246" max="10249" width="0" style="3" hidden="1" customWidth="1"/>
    <col min="10250" max="10250" width="16.140625" style="3" bestFit="1" customWidth="1"/>
    <col min="10251" max="10251" width="14.7109375" style="3" customWidth="1"/>
    <col min="10252" max="10252" width="11.7109375" style="3" bestFit="1" customWidth="1"/>
    <col min="10253" max="10253" width="14" style="3" customWidth="1"/>
    <col min="10254" max="10254" width="11.7109375" style="3" bestFit="1" customWidth="1"/>
    <col min="10255" max="10495" width="11.42578125" style="3"/>
    <col min="10496" max="10496" width="9.140625" style="3" bestFit="1" customWidth="1"/>
    <col min="10497" max="10497" width="0" style="3" hidden="1" customWidth="1"/>
    <col min="10498" max="10498" width="46.85546875" style="3" customWidth="1"/>
    <col min="10499" max="10499" width="14.85546875" style="3" bestFit="1" customWidth="1"/>
    <col min="10500" max="10500" width="15.140625" style="3" bestFit="1" customWidth="1"/>
    <col min="10501" max="10501" width="12.85546875" style="3" bestFit="1" customWidth="1"/>
    <col min="10502" max="10505" width="0" style="3" hidden="1" customWidth="1"/>
    <col min="10506" max="10506" width="16.140625" style="3" bestFit="1" customWidth="1"/>
    <col min="10507" max="10507" width="14.7109375" style="3" customWidth="1"/>
    <col min="10508" max="10508" width="11.7109375" style="3" bestFit="1" customWidth="1"/>
    <col min="10509" max="10509" width="14" style="3" customWidth="1"/>
    <col min="10510" max="10510" width="11.7109375" style="3" bestFit="1" customWidth="1"/>
    <col min="10511" max="10751" width="11.42578125" style="3"/>
    <col min="10752" max="10752" width="9.140625" style="3" bestFit="1" customWidth="1"/>
    <col min="10753" max="10753" width="0" style="3" hidden="1" customWidth="1"/>
    <col min="10754" max="10754" width="46.85546875" style="3" customWidth="1"/>
    <col min="10755" max="10755" width="14.85546875" style="3" bestFit="1" customWidth="1"/>
    <col min="10756" max="10756" width="15.140625" style="3" bestFit="1" customWidth="1"/>
    <col min="10757" max="10757" width="12.85546875" style="3" bestFit="1" customWidth="1"/>
    <col min="10758" max="10761" width="0" style="3" hidden="1" customWidth="1"/>
    <col min="10762" max="10762" width="16.140625" style="3" bestFit="1" customWidth="1"/>
    <col min="10763" max="10763" width="14.7109375" style="3" customWidth="1"/>
    <col min="10764" max="10764" width="11.7109375" style="3" bestFit="1" customWidth="1"/>
    <col min="10765" max="10765" width="14" style="3" customWidth="1"/>
    <col min="10766" max="10766" width="11.7109375" style="3" bestFit="1" customWidth="1"/>
    <col min="10767" max="11007" width="11.42578125" style="3"/>
    <col min="11008" max="11008" width="9.140625" style="3" bestFit="1" customWidth="1"/>
    <col min="11009" max="11009" width="0" style="3" hidden="1" customWidth="1"/>
    <col min="11010" max="11010" width="46.85546875" style="3" customWidth="1"/>
    <col min="11011" max="11011" width="14.85546875" style="3" bestFit="1" customWidth="1"/>
    <col min="11012" max="11012" width="15.140625" style="3" bestFit="1" customWidth="1"/>
    <col min="11013" max="11013" width="12.85546875" style="3" bestFit="1" customWidth="1"/>
    <col min="11014" max="11017" width="0" style="3" hidden="1" customWidth="1"/>
    <col min="11018" max="11018" width="16.140625" style="3" bestFit="1" customWidth="1"/>
    <col min="11019" max="11019" width="14.7109375" style="3" customWidth="1"/>
    <col min="11020" max="11020" width="11.7109375" style="3" bestFit="1" customWidth="1"/>
    <col min="11021" max="11021" width="14" style="3" customWidth="1"/>
    <col min="11022" max="11022" width="11.7109375" style="3" bestFit="1" customWidth="1"/>
    <col min="11023" max="11263" width="11.42578125" style="3"/>
    <col min="11264" max="11264" width="9.140625" style="3" bestFit="1" customWidth="1"/>
    <col min="11265" max="11265" width="0" style="3" hidden="1" customWidth="1"/>
    <col min="11266" max="11266" width="46.85546875" style="3" customWidth="1"/>
    <col min="11267" max="11267" width="14.85546875" style="3" bestFit="1" customWidth="1"/>
    <col min="11268" max="11268" width="15.140625" style="3" bestFit="1" customWidth="1"/>
    <col min="11269" max="11269" width="12.85546875" style="3" bestFit="1" customWidth="1"/>
    <col min="11270" max="11273" width="0" style="3" hidden="1" customWidth="1"/>
    <col min="11274" max="11274" width="16.140625" style="3" bestFit="1" customWidth="1"/>
    <col min="11275" max="11275" width="14.7109375" style="3" customWidth="1"/>
    <col min="11276" max="11276" width="11.7109375" style="3" bestFit="1" customWidth="1"/>
    <col min="11277" max="11277" width="14" style="3" customWidth="1"/>
    <col min="11278" max="11278" width="11.7109375" style="3" bestFit="1" customWidth="1"/>
    <col min="11279" max="11519" width="11.42578125" style="3"/>
    <col min="11520" max="11520" width="9.140625" style="3" bestFit="1" customWidth="1"/>
    <col min="11521" max="11521" width="0" style="3" hidden="1" customWidth="1"/>
    <col min="11522" max="11522" width="46.85546875" style="3" customWidth="1"/>
    <col min="11523" max="11523" width="14.85546875" style="3" bestFit="1" customWidth="1"/>
    <col min="11524" max="11524" width="15.140625" style="3" bestFit="1" customWidth="1"/>
    <col min="11525" max="11525" width="12.85546875" style="3" bestFit="1" customWidth="1"/>
    <col min="11526" max="11529" width="0" style="3" hidden="1" customWidth="1"/>
    <col min="11530" max="11530" width="16.140625" style="3" bestFit="1" customWidth="1"/>
    <col min="11531" max="11531" width="14.7109375" style="3" customWidth="1"/>
    <col min="11532" max="11532" width="11.7109375" style="3" bestFit="1" customWidth="1"/>
    <col min="11533" max="11533" width="14" style="3" customWidth="1"/>
    <col min="11534" max="11534" width="11.7109375" style="3" bestFit="1" customWidth="1"/>
    <col min="11535" max="11775" width="11.42578125" style="3"/>
    <col min="11776" max="11776" width="9.140625" style="3" bestFit="1" customWidth="1"/>
    <col min="11777" max="11777" width="0" style="3" hidden="1" customWidth="1"/>
    <col min="11778" max="11778" width="46.85546875" style="3" customWidth="1"/>
    <col min="11779" max="11779" width="14.85546875" style="3" bestFit="1" customWidth="1"/>
    <col min="11780" max="11780" width="15.140625" style="3" bestFit="1" customWidth="1"/>
    <col min="11781" max="11781" width="12.85546875" style="3" bestFit="1" customWidth="1"/>
    <col min="11782" max="11785" width="0" style="3" hidden="1" customWidth="1"/>
    <col min="11786" max="11786" width="16.140625" style="3" bestFit="1" customWidth="1"/>
    <col min="11787" max="11787" width="14.7109375" style="3" customWidth="1"/>
    <col min="11788" max="11788" width="11.7109375" style="3" bestFit="1" customWidth="1"/>
    <col min="11789" max="11789" width="14" style="3" customWidth="1"/>
    <col min="11790" max="11790" width="11.7109375" style="3" bestFit="1" customWidth="1"/>
    <col min="11791" max="12031" width="11.42578125" style="3"/>
    <col min="12032" max="12032" width="9.140625" style="3" bestFit="1" customWidth="1"/>
    <col min="12033" max="12033" width="0" style="3" hidden="1" customWidth="1"/>
    <col min="12034" max="12034" width="46.85546875" style="3" customWidth="1"/>
    <col min="12035" max="12035" width="14.85546875" style="3" bestFit="1" customWidth="1"/>
    <col min="12036" max="12036" width="15.140625" style="3" bestFit="1" customWidth="1"/>
    <col min="12037" max="12037" width="12.85546875" style="3" bestFit="1" customWidth="1"/>
    <col min="12038" max="12041" width="0" style="3" hidden="1" customWidth="1"/>
    <col min="12042" max="12042" width="16.140625" style="3" bestFit="1" customWidth="1"/>
    <col min="12043" max="12043" width="14.7109375" style="3" customWidth="1"/>
    <col min="12044" max="12044" width="11.7109375" style="3" bestFit="1" customWidth="1"/>
    <col min="12045" max="12045" width="14" style="3" customWidth="1"/>
    <col min="12046" max="12046" width="11.7109375" style="3" bestFit="1" customWidth="1"/>
    <col min="12047" max="12287" width="11.42578125" style="3"/>
    <col min="12288" max="12288" width="9.140625" style="3" bestFit="1" customWidth="1"/>
    <col min="12289" max="12289" width="0" style="3" hidden="1" customWidth="1"/>
    <col min="12290" max="12290" width="46.85546875" style="3" customWidth="1"/>
    <col min="12291" max="12291" width="14.85546875" style="3" bestFit="1" customWidth="1"/>
    <col min="12292" max="12292" width="15.140625" style="3" bestFit="1" customWidth="1"/>
    <col min="12293" max="12293" width="12.85546875" style="3" bestFit="1" customWidth="1"/>
    <col min="12294" max="12297" width="0" style="3" hidden="1" customWidth="1"/>
    <col min="12298" max="12298" width="16.140625" style="3" bestFit="1" customWidth="1"/>
    <col min="12299" max="12299" width="14.7109375" style="3" customWidth="1"/>
    <col min="12300" max="12300" width="11.7109375" style="3" bestFit="1" customWidth="1"/>
    <col min="12301" max="12301" width="14" style="3" customWidth="1"/>
    <col min="12302" max="12302" width="11.7109375" style="3" bestFit="1" customWidth="1"/>
    <col min="12303" max="12543" width="11.42578125" style="3"/>
    <col min="12544" max="12544" width="9.140625" style="3" bestFit="1" customWidth="1"/>
    <col min="12545" max="12545" width="0" style="3" hidden="1" customWidth="1"/>
    <col min="12546" max="12546" width="46.85546875" style="3" customWidth="1"/>
    <col min="12547" max="12547" width="14.85546875" style="3" bestFit="1" customWidth="1"/>
    <col min="12548" max="12548" width="15.140625" style="3" bestFit="1" customWidth="1"/>
    <col min="12549" max="12549" width="12.85546875" style="3" bestFit="1" customWidth="1"/>
    <col min="12550" max="12553" width="0" style="3" hidden="1" customWidth="1"/>
    <col min="12554" max="12554" width="16.140625" style="3" bestFit="1" customWidth="1"/>
    <col min="12555" max="12555" width="14.7109375" style="3" customWidth="1"/>
    <col min="12556" max="12556" width="11.7109375" style="3" bestFit="1" customWidth="1"/>
    <col min="12557" max="12557" width="14" style="3" customWidth="1"/>
    <col min="12558" max="12558" width="11.7109375" style="3" bestFit="1" customWidth="1"/>
    <col min="12559" max="12799" width="11.42578125" style="3"/>
    <col min="12800" max="12800" width="9.140625" style="3" bestFit="1" customWidth="1"/>
    <col min="12801" max="12801" width="0" style="3" hidden="1" customWidth="1"/>
    <col min="12802" max="12802" width="46.85546875" style="3" customWidth="1"/>
    <col min="12803" max="12803" width="14.85546875" style="3" bestFit="1" customWidth="1"/>
    <col min="12804" max="12804" width="15.140625" style="3" bestFit="1" customWidth="1"/>
    <col min="12805" max="12805" width="12.85546875" style="3" bestFit="1" customWidth="1"/>
    <col min="12806" max="12809" width="0" style="3" hidden="1" customWidth="1"/>
    <col min="12810" max="12810" width="16.140625" style="3" bestFit="1" customWidth="1"/>
    <col min="12811" max="12811" width="14.7109375" style="3" customWidth="1"/>
    <col min="12812" max="12812" width="11.7109375" style="3" bestFit="1" customWidth="1"/>
    <col min="12813" max="12813" width="14" style="3" customWidth="1"/>
    <col min="12814" max="12814" width="11.7109375" style="3" bestFit="1" customWidth="1"/>
    <col min="12815" max="13055" width="11.42578125" style="3"/>
    <col min="13056" max="13056" width="9.140625" style="3" bestFit="1" customWidth="1"/>
    <col min="13057" max="13057" width="0" style="3" hidden="1" customWidth="1"/>
    <col min="13058" max="13058" width="46.85546875" style="3" customWidth="1"/>
    <col min="13059" max="13059" width="14.85546875" style="3" bestFit="1" customWidth="1"/>
    <col min="13060" max="13060" width="15.140625" style="3" bestFit="1" customWidth="1"/>
    <col min="13061" max="13061" width="12.85546875" style="3" bestFit="1" customWidth="1"/>
    <col min="13062" max="13065" width="0" style="3" hidden="1" customWidth="1"/>
    <col min="13066" max="13066" width="16.140625" style="3" bestFit="1" customWidth="1"/>
    <col min="13067" max="13067" width="14.7109375" style="3" customWidth="1"/>
    <col min="13068" max="13068" width="11.7109375" style="3" bestFit="1" customWidth="1"/>
    <col min="13069" max="13069" width="14" style="3" customWidth="1"/>
    <col min="13070" max="13070" width="11.7109375" style="3" bestFit="1" customWidth="1"/>
    <col min="13071" max="13311" width="11.42578125" style="3"/>
    <col min="13312" max="13312" width="9.140625" style="3" bestFit="1" customWidth="1"/>
    <col min="13313" max="13313" width="0" style="3" hidden="1" customWidth="1"/>
    <col min="13314" max="13314" width="46.85546875" style="3" customWidth="1"/>
    <col min="13315" max="13315" width="14.85546875" style="3" bestFit="1" customWidth="1"/>
    <col min="13316" max="13316" width="15.140625" style="3" bestFit="1" customWidth="1"/>
    <col min="13317" max="13317" width="12.85546875" style="3" bestFit="1" customWidth="1"/>
    <col min="13318" max="13321" width="0" style="3" hidden="1" customWidth="1"/>
    <col min="13322" max="13322" width="16.140625" style="3" bestFit="1" customWidth="1"/>
    <col min="13323" max="13323" width="14.7109375" style="3" customWidth="1"/>
    <col min="13324" max="13324" width="11.7109375" style="3" bestFit="1" customWidth="1"/>
    <col min="13325" max="13325" width="14" style="3" customWidth="1"/>
    <col min="13326" max="13326" width="11.7109375" style="3" bestFit="1" customWidth="1"/>
    <col min="13327" max="13567" width="11.42578125" style="3"/>
    <col min="13568" max="13568" width="9.140625" style="3" bestFit="1" customWidth="1"/>
    <col min="13569" max="13569" width="0" style="3" hidden="1" customWidth="1"/>
    <col min="13570" max="13570" width="46.85546875" style="3" customWidth="1"/>
    <col min="13571" max="13571" width="14.85546875" style="3" bestFit="1" customWidth="1"/>
    <col min="13572" max="13572" width="15.140625" style="3" bestFit="1" customWidth="1"/>
    <col min="13573" max="13573" width="12.85546875" style="3" bestFit="1" customWidth="1"/>
    <col min="13574" max="13577" width="0" style="3" hidden="1" customWidth="1"/>
    <col min="13578" max="13578" width="16.140625" style="3" bestFit="1" customWidth="1"/>
    <col min="13579" max="13579" width="14.7109375" style="3" customWidth="1"/>
    <col min="13580" max="13580" width="11.7109375" style="3" bestFit="1" customWidth="1"/>
    <col min="13581" max="13581" width="14" style="3" customWidth="1"/>
    <col min="13582" max="13582" width="11.7109375" style="3" bestFit="1" customWidth="1"/>
    <col min="13583" max="13823" width="11.42578125" style="3"/>
    <col min="13824" max="13824" width="9.140625" style="3" bestFit="1" customWidth="1"/>
    <col min="13825" max="13825" width="0" style="3" hidden="1" customWidth="1"/>
    <col min="13826" max="13826" width="46.85546875" style="3" customWidth="1"/>
    <col min="13827" max="13827" width="14.85546875" style="3" bestFit="1" customWidth="1"/>
    <col min="13828" max="13828" width="15.140625" style="3" bestFit="1" customWidth="1"/>
    <col min="13829" max="13829" width="12.85546875" style="3" bestFit="1" customWidth="1"/>
    <col min="13830" max="13833" width="0" style="3" hidden="1" customWidth="1"/>
    <col min="13834" max="13834" width="16.140625" style="3" bestFit="1" customWidth="1"/>
    <col min="13835" max="13835" width="14.7109375" style="3" customWidth="1"/>
    <col min="13836" max="13836" width="11.7109375" style="3" bestFit="1" customWidth="1"/>
    <col min="13837" max="13837" width="14" style="3" customWidth="1"/>
    <col min="13838" max="13838" width="11.7109375" style="3" bestFit="1" customWidth="1"/>
    <col min="13839" max="14079" width="11.42578125" style="3"/>
    <col min="14080" max="14080" width="9.140625" style="3" bestFit="1" customWidth="1"/>
    <col min="14081" max="14081" width="0" style="3" hidden="1" customWidth="1"/>
    <col min="14082" max="14082" width="46.85546875" style="3" customWidth="1"/>
    <col min="14083" max="14083" width="14.85546875" style="3" bestFit="1" customWidth="1"/>
    <col min="14084" max="14084" width="15.140625" style="3" bestFit="1" customWidth="1"/>
    <col min="14085" max="14085" width="12.85546875" style="3" bestFit="1" customWidth="1"/>
    <col min="14086" max="14089" width="0" style="3" hidden="1" customWidth="1"/>
    <col min="14090" max="14090" width="16.140625" style="3" bestFit="1" customWidth="1"/>
    <col min="14091" max="14091" width="14.7109375" style="3" customWidth="1"/>
    <col min="14092" max="14092" width="11.7109375" style="3" bestFit="1" customWidth="1"/>
    <col min="14093" max="14093" width="14" style="3" customWidth="1"/>
    <col min="14094" max="14094" width="11.7109375" style="3" bestFit="1" customWidth="1"/>
    <col min="14095" max="14335" width="11.42578125" style="3"/>
    <col min="14336" max="14336" width="9.140625" style="3" bestFit="1" customWidth="1"/>
    <col min="14337" max="14337" width="0" style="3" hidden="1" customWidth="1"/>
    <col min="14338" max="14338" width="46.85546875" style="3" customWidth="1"/>
    <col min="14339" max="14339" width="14.85546875" style="3" bestFit="1" customWidth="1"/>
    <col min="14340" max="14340" width="15.140625" style="3" bestFit="1" customWidth="1"/>
    <col min="14341" max="14341" width="12.85546875" style="3" bestFit="1" customWidth="1"/>
    <col min="14342" max="14345" width="0" style="3" hidden="1" customWidth="1"/>
    <col min="14346" max="14346" width="16.140625" style="3" bestFit="1" customWidth="1"/>
    <col min="14347" max="14347" width="14.7109375" style="3" customWidth="1"/>
    <col min="14348" max="14348" width="11.7109375" style="3" bestFit="1" customWidth="1"/>
    <col min="14349" max="14349" width="14" style="3" customWidth="1"/>
    <col min="14350" max="14350" width="11.7109375" style="3" bestFit="1" customWidth="1"/>
    <col min="14351" max="14591" width="11.42578125" style="3"/>
    <col min="14592" max="14592" width="9.140625" style="3" bestFit="1" customWidth="1"/>
    <col min="14593" max="14593" width="0" style="3" hidden="1" customWidth="1"/>
    <col min="14594" max="14594" width="46.85546875" style="3" customWidth="1"/>
    <col min="14595" max="14595" width="14.85546875" style="3" bestFit="1" customWidth="1"/>
    <col min="14596" max="14596" width="15.140625" style="3" bestFit="1" customWidth="1"/>
    <col min="14597" max="14597" width="12.85546875" style="3" bestFit="1" customWidth="1"/>
    <col min="14598" max="14601" width="0" style="3" hidden="1" customWidth="1"/>
    <col min="14602" max="14602" width="16.140625" style="3" bestFit="1" customWidth="1"/>
    <col min="14603" max="14603" width="14.7109375" style="3" customWidth="1"/>
    <col min="14604" max="14604" width="11.7109375" style="3" bestFit="1" customWidth="1"/>
    <col min="14605" max="14605" width="14" style="3" customWidth="1"/>
    <col min="14606" max="14606" width="11.7109375" style="3" bestFit="1" customWidth="1"/>
    <col min="14607" max="14847" width="11.42578125" style="3"/>
    <col min="14848" max="14848" width="9.140625" style="3" bestFit="1" customWidth="1"/>
    <col min="14849" max="14849" width="0" style="3" hidden="1" customWidth="1"/>
    <col min="14850" max="14850" width="46.85546875" style="3" customWidth="1"/>
    <col min="14851" max="14851" width="14.85546875" style="3" bestFit="1" customWidth="1"/>
    <col min="14852" max="14852" width="15.140625" style="3" bestFit="1" customWidth="1"/>
    <col min="14853" max="14853" width="12.85546875" style="3" bestFit="1" customWidth="1"/>
    <col min="14854" max="14857" width="0" style="3" hidden="1" customWidth="1"/>
    <col min="14858" max="14858" width="16.140625" style="3" bestFit="1" customWidth="1"/>
    <col min="14859" max="14859" width="14.7109375" style="3" customWidth="1"/>
    <col min="14860" max="14860" width="11.7109375" style="3" bestFit="1" customWidth="1"/>
    <col min="14861" max="14861" width="14" style="3" customWidth="1"/>
    <col min="14862" max="14862" width="11.7109375" style="3" bestFit="1" customWidth="1"/>
    <col min="14863" max="15103" width="11.42578125" style="3"/>
    <col min="15104" max="15104" width="9.140625" style="3" bestFit="1" customWidth="1"/>
    <col min="15105" max="15105" width="0" style="3" hidden="1" customWidth="1"/>
    <col min="15106" max="15106" width="46.85546875" style="3" customWidth="1"/>
    <col min="15107" max="15107" width="14.85546875" style="3" bestFit="1" customWidth="1"/>
    <col min="15108" max="15108" width="15.140625" style="3" bestFit="1" customWidth="1"/>
    <col min="15109" max="15109" width="12.85546875" style="3" bestFit="1" customWidth="1"/>
    <col min="15110" max="15113" width="0" style="3" hidden="1" customWidth="1"/>
    <col min="15114" max="15114" width="16.140625" style="3" bestFit="1" customWidth="1"/>
    <col min="15115" max="15115" width="14.7109375" style="3" customWidth="1"/>
    <col min="15116" max="15116" width="11.7109375" style="3" bestFit="1" customWidth="1"/>
    <col min="15117" max="15117" width="14" style="3" customWidth="1"/>
    <col min="15118" max="15118" width="11.7109375" style="3" bestFit="1" customWidth="1"/>
    <col min="15119" max="15359" width="11.42578125" style="3"/>
    <col min="15360" max="15360" width="9.140625" style="3" bestFit="1" customWidth="1"/>
    <col min="15361" max="15361" width="0" style="3" hidden="1" customWidth="1"/>
    <col min="15362" max="15362" width="46.85546875" style="3" customWidth="1"/>
    <col min="15363" max="15363" width="14.85546875" style="3" bestFit="1" customWidth="1"/>
    <col min="15364" max="15364" width="15.140625" style="3" bestFit="1" customWidth="1"/>
    <col min="15365" max="15365" width="12.85546875" style="3" bestFit="1" customWidth="1"/>
    <col min="15366" max="15369" width="0" style="3" hidden="1" customWidth="1"/>
    <col min="15370" max="15370" width="16.140625" style="3" bestFit="1" customWidth="1"/>
    <col min="15371" max="15371" width="14.7109375" style="3" customWidth="1"/>
    <col min="15372" max="15372" width="11.7109375" style="3" bestFit="1" customWidth="1"/>
    <col min="15373" max="15373" width="14" style="3" customWidth="1"/>
    <col min="15374" max="15374" width="11.7109375" style="3" bestFit="1" customWidth="1"/>
    <col min="15375" max="15615" width="11.42578125" style="3"/>
    <col min="15616" max="15616" width="9.140625" style="3" bestFit="1" customWidth="1"/>
    <col min="15617" max="15617" width="0" style="3" hidden="1" customWidth="1"/>
    <col min="15618" max="15618" width="46.85546875" style="3" customWidth="1"/>
    <col min="15619" max="15619" width="14.85546875" style="3" bestFit="1" customWidth="1"/>
    <col min="15620" max="15620" width="15.140625" style="3" bestFit="1" customWidth="1"/>
    <col min="15621" max="15621" width="12.85546875" style="3" bestFit="1" customWidth="1"/>
    <col min="15622" max="15625" width="0" style="3" hidden="1" customWidth="1"/>
    <col min="15626" max="15626" width="16.140625" style="3" bestFit="1" customWidth="1"/>
    <col min="15627" max="15627" width="14.7109375" style="3" customWidth="1"/>
    <col min="15628" max="15628" width="11.7109375" style="3" bestFit="1" customWidth="1"/>
    <col min="15629" max="15629" width="14" style="3" customWidth="1"/>
    <col min="15630" max="15630" width="11.7109375" style="3" bestFit="1" customWidth="1"/>
    <col min="15631" max="15871" width="11.42578125" style="3"/>
    <col min="15872" max="15872" width="9.140625" style="3" bestFit="1" customWidth="1"/>
    <col min="15873" max="15873" width="0" style="3" hidden="1" customWidth="1"/>
    <col min="15874" max="15874" width="46.85546875" style="3" customWidth="1"/>
    <col min="15875" max="15875" width="14.85546875" style="3" bestFit="1" customWidth="1"/>
    <col min="15876" max="15876" width="15.140625" style="3" bestFit="1" customWidth="1"/>
    <col min="15877" max="15877" width="12.85546875" style="3" bestFit="1" customWidth="1"/>
    <col min="15878" max="15881" width="0" style="3" hidden="1" customWidth="1"/>
    <col min="15882" max="15882" width="16.140625" style="3" bestFit="1" customWidth="1"/>
    <col min="15883" max="15883" width="14.7109375" style="3" customWidth="1"/>
    <col min="15884" max="15884" width="11.7109375" style="3" bestFit="1" customWidth="1"/>
    <col min="15885" max="15885" width="14" style="3" customWidth="1"/>
    <col min="15886" max="15886" width="11.7109375" style="3" bestFit="1" customWidth="1"/>
    <col min="15887" max="16127" width="11.42578125" style="3"/>
    <col min="16128" max="16128" width="9.140625" style="3" bestFit="1" customWidth="1"/>
    <col min="16129" max="16129" width="0" style="3" hidden="1" customWidth="1"/>
    <col min="16130" max="16130" width="46.85546875" style="3" customWidth="1"/>
    <col min="16131" max="16131" width="14.85546875" style="3" bestFit="1" customWidth="1"/>
    <col min="16132" max="16132" width="15.140625" style="3" bestFit="1" customWidth="1"/>
    <col min="16133" max="16133" width="12.85546875" style="3" bestFit="1" customWidth="1"/>
    <col min="16134" max="16137" width="0" style="3" hidden="1" customWidth="1"/>
    <col min="16138" max="16138" width="16.140625" style="3" bestFit="1" customWidth="1"/>
    <col min="16139" max="16139" width="14.7109375" style="3" customWidth="1"/>
    <col min="16140" max="16140" width="11.7109375" style="3" bestFit="1" customWidth="1"/>
    <col min="16141" max="16141" width="14" style="3" customWidth="1"/>
    <col min="16142" max="16142" width="11.7109375" style="3" bestFit="1" customWidth="1"/>
    <col min="16143" max="16384" width="11.42578125" style="3"/>
  </cols>
  <sheetData>
    <row r="7" spans="1:16" s="1" customFormat="1" ht="18">
      <c r="A7" s="79" t="s">
        <v>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9" spans="1:16" ht="18">
      <c r="F9" s="79" t="s">
        <v>99</v>
      </c>
      <c r="G9" s="79"/>
      <c r="H9" s="79"/>
      <c r="I9" s="79"/>
      <c r="J9" s="79"/>
      <c r="K9" s="79"/>
      <c r="L9" s="79"/>
      <c r="M9" s="79"/>
      <c r="N9" s="79"/>
      <c r="O9" s="79"/>
      <c r="P9" s="79"/>
    </row>
    <row r="11" spans="1:16" s="1" customFormat="1" ht="18">
      <c r="A11" s="79" t="s">
        <v>100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38.25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5" t="s">
        <v>9</v>
      </c>
      <c r="J13" s="5" t="s">
        <v>10</v>
      </c>
      <c r="K13" s="6" t="s">
        <v>11</v>
      </c>
      <c r="L13" s="7" t="s">
        <v>12</v>
      </c>
      <c r="M13" s="7" t="s">
        <v>13</v>
      </c>
      <c r="N13" s="7" t="s">
        <v>14</v>
      </c>
      <c r="O13" s="7" t="s">
        <v>15</v>
      </c>
      <c r="P13" s="7" t="s">
        <v>16</v>
      </c>
    </row>
    <row r="14" spans="1:16" s="1" customFormat="1">
      <c r="F14" s="3"/>
      <c r="G14" s="8"/>
      <c r="H14" s="3"/>
      <c r="I14" s="3"/>
      <c r="J14" s="3"/>
      <c r="K14" s="3"/>
      <c r="L14" s="3"/>
    </row>
    <row r="15" spans="1:16" s="1" customFormat="1">
      <c r="A15" s="9">
        <v>7</v>
      </c>
      <c r="B15" s="9">
        <v>1</v>
      </c>
      <c r="C15" s="9">
        <v>3</v>
      </c>
      <c r="D15" s="10">
        <v>1</v>
      </c>
      <c r="E15" s="11">
        <v>190</v>
      </c>
      <c r="F15" s="12">
        <v>1131</v>
      </c>
      <c r="G15" s="13">
        <v>1</v>
      </c>
      <c r="H15" s="14" t="s">
        <v>17</v>
      </c>
      <c r="I15" s="15">
        <v>7634148</v>
      </c>
      <c r="J15" s="15">
        <v>28400</v>
      </c>
      <c r="K15" s="15">
        <f t="shared" ref="K15:K29" si="0">I15+J15</f>
        <v>7662548</v>
      </c>
      <c r="L15" s="16">
        <v>7634148</v>
      </c>
      <c r="M15" s="17">
        <f>636179+630276.6+636179+1915434.6+1913385.8</f>
        <v>5731455</v>
      </c>
      <c r="N15" s="17">
        <f>636179+630276.6+636179+1915434.6+1913385.8</f>
        <v>5731455</v>
      </c>
      <c r="O15" s="17">
        <f>636179+630276.6+636179+1915434.6+1913385.8</f>
        <v>5731455</v>
      </c>
      <c r="P15" s="18">
        <f>K15-L15</f>
        <v>28400</v>
      </c>
    </row>
    <row r="16" spans="1:16" s="1" customFormat="1">
      <c r="A16" s="9">
        <v>7</v>
      </c>
      <c r="B16" s="9">
        <v>1</v>
      </c>
      <c r="C16" s="9">
        <v>3</v>
      </c>
      <c r="D16" s="10">
        <v>1</v>
      </c>
      <c r="E16" s="11">
        <v>190</v>
      </c>
      <c r="F16" s="12">
        <v>1221</v>
      </c>
      <c r="G16" s="13">
        <v>1</v>
      </c>
      <c r="H16" s="14" t="s">
        <v>18</v>
      </c>
      <c r="I16" s="15"/>
      <c r="J16" s="15">
        <v>101831</v>
      </c>
      <c r="K16" s="15">
        <f t="shared" si="0"/>
        <v>101831</v>
      </c>
      <c r="L16" s="16">
        <v>0</v>
      </c>
      <c r="M16" s="17">
        <v>0</v>
      </c>
      <c r="N16" s="17">
        <v>0</v>
      </c>
      <c r="O16" s="17">
        <v>0</v>
      </c>
      <c r="P16" s="18">
        <f t="shared" ref="P16:P79" si="1">K16-L16</f>
        <v>101831</v>
      </c>
    </row>
    <row r="17" spans="1:17" s="1" customFormat="1">
      <c r="A17" s="9">
        <v>7</v>
      </c>
      <c r="B17" s="9">
        <v>1</v>
      </c>
      <c r="C17" s="9">
        <v>3</v>
      </c>
      <c r="D17" s="10">
        <v>1</v>
      </c>
      <c r="E17" s="11">
        <v>190</v>
      </c>
      <c r="F17" s="12">
        <v>1311</v>
      </c>
      <c r="G17" s="13">
        <v>1</v>
      </c>
      <c r="H17" s="14" t="s">
        <v>19</v>
      </c>
      <c r="I17" s="15">
        <v>37519.72</v>
      </c>
      <c r="J17" s="15"/>
      <c r="K17" s="15">
        <f t="shared" si="0"/>
        <v>37519.72</v>
      </c>
      <c r="L17" s="16">
        <v>37519.72</v>
      </c>
      <c r="M17" s="17">
        <f>18190.95+9884.1</f>
        <v>28075.050000000003</v>
      </c>
      <c r="N17" s="17">
        <f>18190.95+9884.1</f>
        <v>28075.050000000003</v>
      </c>
      <c r="O17" s="17">
        <f>18190.95+9884.1</f>
        <v>28075.050000000003</v>
      </c>
      <c r="P17" s="18">
        <f t="shared" si="1"/>
        <v>0</v>
      </c>
    </row>
    <row r="18" spans="1:17" s="1" customFormat="1">
      <c r="A18" s="9">
        <v>7</v>
      </c>
      <c r="B18" s="9">
        <v>1</v>
      </c>
      <c r="C18" s="9">
        <v>3</v>
      </c>
      <c r="D18" s="10">
        <v>1</v>
      </c>
      <c r="E18" s="11">
        <v>190</v>
      </c>
      <c r="F18" s="12">
        <v>1321</v>
      </c>
      <c r="G18" s="13">
        <v>1</v>
      </c>
      <c r="H18" s="14" t="s">
        <v>20</v>
      </c>
      <c r="I18" s="15"/>
      <c r="J18" s="15">
        <f>110271.03+1328.96</f>
        <v>111599.99</v>
      </c>
      <c r="K18" s="15">
        <f t="shared" si="0"/>
        <v>111599.99</v>
      </c>
      <c r="L18" s="16">
        <v>111599.99</v>
      </c>
      <c r="M18" s="17">
        <v>106038.74</v>
      </c>
      <c r="N18" s="17">
        <v>106038.74</v>
      </c>
      <c r="O18" s="17">
        <v>106038.74</v>
      </c>
      <c r="P18" s="18">
        <f t="shared" si="1"/>
        <v>0</v>
      </c>
    </row>
    <row r="19" spans="1:17" s="1" customFormat="1">
      <c r="A19" s="9">
        <v>7</v>
      </c>
      <c r="B19" s="9">
        <v>1</v>
      </c>
      <c r="C19" s="9">
        <v>3</v>
      </c>
      <c r="D19" s="10">
        <v>1</v>
      </c>
      <c r="E19" s="11">
        <v>190</v>
      </c>
      <c r="F19" s="12">
        <v>1322</v>
      </c>
      <c r="G19" s="13">
        <v>1</v>
      </c>
      <c r="H19" s="14" t="s">
        <v>21</v>
      </c>
      <c r="I19" s="15">
        <v>41281</v>
      </c>
      <c r="J19" s="15">
        <v>1074719</v>
      </c>
      <c r="K19" s="15">
        <f t="shared" si="0"/>
        <v>1116000</v>
      </c>
      <c r="L19" s="16">
        <v>1116000</v>
      </c>
      <c r="M19" s="17">
        <f t="shared" ref="M19:O19" si="2">529860.42</f>
        <v>529860.42000000004</v>
      </c>
      <c r="N19" s="17">
        <f t="shared" si="2"/>
        <v>529860.42000000004</v>
      </c>
      <c r="O19" s="17">
        <f t="shared" si="2"/>
        <v>529860.42000000004</v>
      </c>
      <c r="P19" s="18">
        <f t="shared" si="1"/>
        <v>0</v>
      </c>
    </row>
    <row r="20" spans="1:17" s="1" customFormat="1">
      <c r="A20" s="9">
        <v>7</v>
      </c>
      <c r="B20" s="9">
        <v>1</v>
      </c>
      <c r="C20" s="9">
        <v>3</v>
      </c>
      <c r="D20" s="10">
        <v>1</v>
      </c>
      <c r="E20" s="11">
        <v>190</v>
      </c>
      <c r="F20" s="12">
        <v>1411</v>
      </c>
      <c r="G20" s="13">
        <v>1</v>
      </c>
      <c r="H20" s="14" t="s">
        <v>22</v>
      </c>
      <c r="I20" s="15">
        <f>346051.24+5054.67</f>
        <v>351105.91</v>
      </c>
      <c r="J20" s="15"/>
      <c r="K20" s="15">
        <f t="shared" si="0"/>
        <v>351105.91</v>
      </c>
      <c r="L20" s="16">
        <v>351105.91</v>
      </c>
      <c r="M20" s="17">
        <v>253778.88</v>
      </c>
      <c r="N20" s="17">
        <v>253778.88</v>
      </c>
      <c r="O20" s="17">
        <v>253778.88</v>
      </c>
      <c r="P20" s="18">
        <f t="shared" si="1"/>
        <v>0</v>
      </c>
    </row>
    <row r="21" spans="1:17">
      <c r="A21" s="9">
        <v>7</v>
      </c>
      <c r="B21" s="9">
        <v>1</v>
      </c>
      <c r="C21" s="9">
        <v>3</v>
      </c>
      <c r="D21" s="10">
        <v>1</v>
      </c>
      <c r="E21" s="11">
        <v>190</v>
      </c>
      <c r="F21" s="12">
        <v>1421</v>
      </c>
      <c r="G21" s="13">
        <v>1</v>
      </c>
      <c r="H21" s="14" t="s">
        <v>23</v>
      </c>
      <c r="I21" s="15">
        <v>238185.42</v>
      </c>
      <c r="J21" s="15"/>
      <c r="K21" s="15">
        <f t="shared" si="0"/>
        <v>238185.42</v>
      </c>
      <c r="L21" s="16">
        <v>238185.42</v>
      </c>
      <c r="M21" s="17">
        <v>171945.9</v>
      </c>
      <c r="N21" s="17">
        <v>171945.9</v>
      </c>
      <c r="O21" s="17">
        <v>171945.9</v>
      </c>
      <c r="P21" s="18">
        <f t="shared" si="1"/>
        <v>0</v>
      </c>
    </row>
    <row r="22" spans="1:17">
      <c r="A22" s="9">
        <v>7</v>
      </c>
      <c r="B22" s="9">
        <v>1</v>
      </c>
      <c r="C22" s="9">
        <v>3</v>
      </c>
      <c r="D22" s="10">
        <v>1</v>
      </c>
      <c r="E22" s="11">
        <v>190</v>
      </c>
      <c r="F22" s="12">
        <v>1431</v>
      </c>
      <c r="G22" s="13">
        <v>1</v>
      </c>
      <c r="H22" s="14" t="s">
        <v>24</v>
      </c>
      <c r="I22" s="15">
        <v>1071834.3799999999</v>
      </c>
      <c r="J22" s="15"/>
      <c r="K22" s="15">
        <f t="shared" si="0"/>
        <v>1071834.3799999999</v>
      </c>
      <c r="L22" s="16">
        <v>1071834.3799999999</v>
      </c>
      <c r="M22" s="17">
        <v>773746.75</v>
      </c>
      <c r="N22" s="17">
        <v>773746.75</v>
      </c>
      <c r="O22" s="17">
        <v>773746.75</v>
      </c>
      <c r="P22" s="18">
        <f t="shared" si="1"/>
        <v>0</v>
      </c>
    </row>
    <row r="23" spans="1:17">
      <c r="A23" s="9">
        <v>7</v>
      </c>
      <c r="B23" s="9">
        <v>1</v>
      </c>
      <c r="C23" s="9">
        <v>3</v>
      </c>
      <c r="D23" s="10">
        <v>1</v>
      </c>
      <c r="E23" s="11">
        <v>190</v>
      </c>
      <c r="F23" s="12">
        <v>1432</v>
      </c>
      <c r="G23" s="13">
        <v>1</v>
      </c>
      <c r="H23" s="14" t="s">
        <v>25</v>
      </c>
      <c r="I23" s="15">
        <v>155624</v>
      </c>
      <c r="J23" s="15"/>
      <c r="K23" s="15">
        <f t="shared" si="0"/>
        <v>155624</v>
      </c>
      <c r="L23" s="16">
        <v>155624</v>
      </c>
      <c r="M23" s="17">
        <v>112981.72</v>
      </c>
      <c r="N23" s="17">
        <v>112981.72</v>
      </c>
      <c r="O23" s="17">
        <v>112981.72</v>
      </c>
      <c r="P23" s="18">
        <f t="shared" si="1"/>
        <v>0</v>
      </c>
    </row>
    <row r="24" spans="1:17" ht="25.5">
      <c r="A24" s="9">
        <v>7</v>
      </c>
      <c r="B24" s="9">
        <v>1</v>
      </c>
      <c r="C24" s="9">
        <v>3</v>
      </c>
      <c r="D24" s="10">
        <v>1</v>
      </c>
      <c r="E24" s="11">
        <v>190</v>
      </c>
      <c r="F24" s="12">
        <v>1441</v>
      </c>
      <c r="G24" s="13">
        <v>1</v>
      </c>
      <c r="H24" s="14" t="s">
        <v>26</v>
      </c>
      <c r="I24" s="15">
        <v>15000</v>
      </c>
      <c r="J24" s="15"/>
      <c r="K24" s="15">
        <f t="shared" si="0"/>
        <v>15000</v>
      </c>
      <c r="L24" s="16">
        <v>15000</v>
      </c>
      <c r="M24" s="17">
        <v>6840.73</v>
      </c>
      <c r="N24" s="17">
        <v>6840.73</v>
      </c>
      <c r="O24" s="17">
        <v>6840.73</v>
      </c>
      <c r="P24" s="18">
        <f t="shared" si="1"/>
        <v>0</v>
      </c>
    </row>
    <row r="25" spans="1:17">
      <c r="A25" s="9">
        <v>7</v>
      </c>
      <c r="B25" s="9">
        <v>1</v>
      </c>
      <c r="C25" s="9">
        <v>3</v>
      </c>
      <c r="D25" s="10">
        <v>1</v>
      </c>
      <c r="E25" s="11">
        <v>190</v>
      </c>
      <c r="F25" s="12">
        <v>1521</v>
      </c>
      <c r="G25" s="13">
        <v>1</v>
      </c>
      <c r="H25" s="14" t="s">
        <v>27</v>
      </c>
      <c r="I25" s="19"/>
      <c r="J25" s="19">
        <v>485635</v>
      </c>
      <c r="K25" s="19">
        <f t="shared" si="0"/>
        <v>485635</v>
      </c>
      <c r="L25" s="20">
        <v>485635</v>
      </c>
      <c r="M25" s="17">
        <f>40469.58+40469.58+40469.58+40469.58+40469.58+40469.58+40469.58+40469.58+40469.58</f>
        <v>364226.22000000009</v>
      </c>
      <c r="N25" s="17">
        <f>40469.58+40469.58+40469.58+40469.58+40469.58+40469.58+40469.58+40469.58+40469.58</f>
        <v>364226.22000000009</v>
      </c>
      <c r="O25" s="17">
        <f>40469.58+40469.58+40469.58+40469.58+40469.58+40469.58+40469.58+40469.58+40469.58</f>
        <v>364226.22000000009</v>
      </c>
      <c r="P25" s="17">
        <f t="shared" si="1"/>
        <v>0</v>
      </c>
    </row>
    <row r="26" spans="1:17">
      <c r="A26" s="9">
        <v>7</v>
      </c>
      <c r="B26" s="9">
        <v>1</v>
      </c>
      <c r="C26" s="9">
        <v>3</v>
      </c>
      <c r="D26" s="10">
        <v>1</v>
      </c>
      <c r="E26" s="11">
        <v>190</v>
      </c>
      <c r="F26" s="12">
        <v>1611</v>
      </c>
      <c r="G26" s="13">
        <v>1</v>
      </c>
      <c r="H26" s="14" t="s">
        <v>28</v>
      </c>
      <c r="I26" s="15"/>
      <c r="J26" s="15">
        <f>395366-31400</f>
        <v>363966</v>
      </c>
      <c r="K26" s="15">
        <f t="shared" si="0"/>
        <v>363966</v>
      </c>
      <c r="L26" s="16">
        <v>0</v>
      </c>
      <c r="M26" s="17">
        <v>0</v>
      </c>
      <c r="N26" s="17">
        <v>0</v>
      </c>
      <c r="O26" s="17">
        <v>0</v>
      </c>
      <c r="P26" s="18">
        <f t="shared" si="1"/>
        <v>363966</v>
      </c>
    </row>
    <row r="27" spans="1:17">
      <c r="A27" s="9">
        <v>7</v>
      </c>
      <c r="B27" s="9">
        <v>1</v>
      </c>
      <c r="C27" s="9">
        <v>3</v>
      </c>
      <c r="D27" s="10">
        <v>1</v>
      </c>
      <c r="E27" s="11">
        <v>190</v>
      </c>
      <c r="F27" s="12">
        <v>1712</v>
      </c>
      <c r="G27" s="13">
        <v>1</v>
      </c>
      <c r="H27" s="14" t="s">
        <v>29</v>
      </c>
      <c r="I27" s="15">
        <v>399439</v>
      </c>
      <c r="J27" s="15">
        <f>85385+7359+2280</f>
        <v>95024</v>
      </c>
      <c r="K27" s="15">
        <f t="shared" si="0"/>
        <v>494463</v>
      </c>
      <c r="L27" s="16">
        <v>492183</v>
      </c>
      <c r="M27" s="17">
        <v>364659.64</v>
      </c>
      <c r="N27" s="17">
        <v>364659.64</v>
      </c>
      <c r="O27" s="17">
        <v>364659.64</v>
      </c>
      <c r="P27" s="18">
        <f t="shared" si="1"/>
        <v>2280</v>
      </c>
    </row>
    <row r="28" spans="1:17">
      <c r="A28" s="9">
        <v>7</v>
      </c>
      <c r="B28" s="9">
        <v>1</v>
      </c>
      <c r="C28" s="9">
        <v>3</v>
      </c>
      <c r="D28" s="10">
        <v>1</v>
      </c>
      <c r="E28" s="11">
        <v>190</v>
      </c>
      <c r="F28" s="12">
        <v>1713</v>
      </c>
      <c r="G28" s="13">
        <v>1</v>
      </c>
      <c r="H28" s="14" t="s">
        <v>30</v>
      </c>
      <c r="I28" s="15">
        <v>305366</v>
      </c>
      <c r="J28" s="15">
        <f>16324+720</f>
        <v>17044</v>
      </c>
      <c r="K28" s="15">
        <f t="shared" si="0"/>
        <v>322410</v>
      </c>
      <c r="L28" s="16">
        <v>321690</v>
      </c>
      <c r="M28" s="17">
        <v>237891.20000000001</v>
      </c>
      <c r="N28" s="17">
        <v>237891.20000000001</v>
      </c>
      <c r="O28" s="17">
        <v>237891.20000000001</v>
      </c>
      <c r="P28" s="18">
        <f t="shared" si="1"/>
        <v>720</v>
      </c>
    </row>
    <row r="29" spans="1:17">
      <c r="A29" s="21">
        <v>7</v>
      </c>
      <c r="B29" s="21">
        <v>1</v>
      </c>
      <c r="C29" s="21">
        <v>3</v>
      </c>
      <c r="D29" s="22">
        <v>1</v>
      </c>
      <c r="E29" s="11">
        <v>190</v>
      </c>
      <c r="F29" s="23">
        <v>1715</v>
      </c>
      <c r="G29" s="24">
        <v>1</v>
      </c>
      <c r="H29" s="14" t="s">
        <v>31</v>
      </c>
      <c r="I29" s="15">
        <v>101831</v>
      </c>
      <c r="J29" s="15">
        <v>196097</v>
      </c>
      <c r="K29" s="15">
        <f t="shared" si="0"/>
        <v>297928</v>
      </c>
      <c r="L29" s="16">
        <v>297928</v>
      </c>
      <c r="M29" s="17">
        <v>287769.5</v>
      </c>
      <c r="N29" s="17">
        <v>287769.5</v>
      </c>
      <c r="O29" s="17">
        <v>287769.5</v>
      </c>
      <c r="P29" s="18">
        <f t="shared" si="1"/>
        <v>0</v>
      </c>
    </row>
    <row r="30" spans="1:17">
      <c r="A30" s="25"/>
      <c r="B30" s="26"/>
      <c r="C30" s="26"/>
      <c r="D30" s="26"/>
      <c r="E30" s="26"/>
      <c r="F30" s="27"/>
      <c r="G30" s="28"/>
      <c r="H30" s="29" t="s">
        <v>32</v>
      </c>
      <c r="I30" s="30">
        <f t="shared" ref="I30:J30" si="3">SUM(I15:I29)</f>
        <v>10351334.43</v>
      </c>
      <c r="J30" s="30">
        <f t="shared" si="3"/>
        <v>2474315.9900000002</v>
      </c>
      <c r="K30" s="30">
        <f>SUM(K15:K29)</f>
        <v>12825650.420000002</v>
      </c>
      <c r="L30" s="30">
        <f t="shared" ref="L30:P30" si="4">SUM(L15:L29)</f>
        <v>12328453.420000002</v>
      </c>
      <c r="M30" s="30">
        <f t="shared" si="4"/>
        <v>8969269.75</v>
      </c>
      <c r="N30" s="30">
        <f t="shared" si="4"/>
        <v>8969269.75</v>
      </c>
      <c r="O30" s="30">
        <f t="shared" si="4"/>
        <v>8969269.75</v>
      </c>
      <c r="P30" s="30">
        <f t="shared" si="4"/>
        <v>497197</v>
      </c>
      <c r="Q30" s="31"/>
    </row>
    <row r="31" spans="1:17">
      <c r="A31" s="32">
        <v>7</v>
      </c>
      <c r="B31" s="32">
        <v>1</v>
      </c>
      <c r="C31" s="32">
        <v>3</v>
      </c>
      <c r="D31" s="33">
        <v>1</v>
      </c>
      <c r="E31" s="11">
        <v>190</v>
      </c>
      <c r="F31" s="34">
        <v>2111</v>
      </c>
      <c r="G31" s="35">
        <v>1</v>
      </c>
      <c r="H31" s="14" t="s">
        <v>33</v>
      </c>
      <c r="I31" s="15">
        <v>0</v>
      </c>
      <c r="J31" s="15">
        <v>55000</v>
      </c>
      <c r="K31" s="15">
        <f>I31+J31</f>
        <v>55000</v>
      </c>
      <c r="L31" s="36">
        <f>384.45+148.42+2751.57+5550.7+8167.53</f>
        <v>17002.669999999998</v>
      </c>
      <c r="M31" s="36">
        <f>384.45+148.42+2751.57+5550.7+8167.53</f>
        <v>17002.669999999998</v>
      </c>
      <c r="N31" s="36">
        <f>384.45+148.42+2751.57+5550.7+8167.53</f>
        <v>17002.669999999998</v>
      </c>
      <c r="O31" s="36">
        <f>384.45+148.42+2751.57+5550.7+8167.53</f>
        <v>17002.669999999998</v>
      </c>
      <c r="P31" s="37">
        <f t="shared" si="1"/>
        <v>37997.33</v>
      </c>
      <c r="Q31" s="38"/>
    </row>
    <row r="32" spans="1:17">
      <c r="A32" s="9">
        <v>7</v>
      </c>
      <c r="B32" s="9">
        <v>1</v>
      </c>
      <c r="C32" s="9">
        <v>3</v>
      </c>
      <c r="D32" s="10">
        <v>1</v>
      </c>
      <c r="E32" s="11">
        <v>190</v>
      </c>
      <c r="F32" s="39">
        <v>2121</v>
      </c>
      <c r="G32" s="13">
        <v>1</v>
      </c>
      <c r="H32" s="14" t="s">
        <v>34</v>
      </c>
      <c r="I32" s="15">
        <v>0</v>
      </c>
      <c r="J32" s="15">
        <v>7000</v>
      </c>
      <c r="K32" s="15">
        <f t="shared" ref="K32:K94" si="5">I32+J32</f>
        <v>7000</v>
      </c>
      <c r="L32" s="36">
        <f>44.89+289.78+104.71+472.05</f>
        <v>911.43</v>
      </c>
      <c r="M32" s="36">
        <f>44.89+289.78+104.71+472.05</f>
        <v>911.43</v>
      </c>
      <c r="N32" s="36">
        <f>44.89+289.78+104.71+472.05</f>
        <v>911.43</v>
      </c>
      <c r="O32" s="36">
        <f>44.89+289.78+104.71+472.05</f>
        <v>911.43</v>
      </c>
      <c r="P32" s="37">
        <f t="shared" si="1"/>
        <v>6088.57</v>
      </c>
      <c r="Q32" s="38"/>
    </row>
    <row r="33" spans="1:17" ht="25.5">
      <c r="A33" s="9">
        <v>7</v>
      </c>
      <c r="B33" s="9">
        <v>1</v>
      </c>
      <c r="C33" s="9">
        <v>3</v>
      </c>
      <c r="D33" s="10">
        <v>1</v>
      </c>
      <c r="E33" s="11">
        <v>190</v>
      </c>
      <c r="F33" s="39">
        <v>2141</v>
      </c>
      <c r="G33" s="13">
        <v>1</v>
      </c>
      <c r="H33" s="14" t="s">
        <v>35</v>
      </c>
      <c r="I33" s="15">
        <v>0</v>
      </c>
      <c r="J33" s="15">
        <v>195000</v>
      </c>
      <c r="K33" s="15">
        <f t="shared" si="5"/>
        <v>195000</v>
      </c>
      <c r="L33" s="36">
        <f>35174.45+1299+78856.6+72579.02</f>
        <v>187909.07</v>
      </c>
      <c r="M33" s="36">
        <f>35174.45+1299+78856.6+72579.02</f>
        <v>187909.07</v>
      </c>
      <c r="N33" s="36">
        <f>35174.45+1299+78856.6+72579.02</f>
        <v>187909.07</v>
      </c>
      <c r="O33" s="36">
        <f>35174.45+1299+78856.6+72579.02</f>
        <v>187909.07</v>
      </c>
      <c r="P33" s="37">
        <f t="shared" si="1"/>
        <v>7090.929999999993</v>
      </c>
      <c r="Q33" s="38"/>
    </row>
    <row r="34" spans="1:17">
      <c r="A34" s="9">
        <v>7</v>
      </c>
      <c r="B34" s="9">
        <v>1</v>
      </c>
      <c r="C34" s="9">
        <v>3</v>
      </c>
      <c r="D34" s="10">
        <v>1</v>
      </c>
      <c r="E34" s="11">
        <v>190</v>
      </c>
      <c r="F34" s="39">
        <v>2151</v>
      </c>
      <c r="G34" s="13">
        <v>1</v>
      </c>
      <c r="H34" s="14" t="s">
        <v>36</v>
      </c>
      <c r="I34" s="15">
        <v>0</v>
      </c>
      <c r="J34" s="15">
        <v>22000</v>
      </c>
      <c r="K34" s="15">
        <f t="shared" si="5"/>
        <v>22000</v>
      </c>
      <c r="L34" s="36">
        <f>6346.32+3076+650+3466</f>
        <v>13538.32</v>
      </c>
      <c r="M34" s="36">
        <f>6346.32+3076+650+3466</f>
        <v>13538.32</v>
      </c>
      <c r="N34" s="36">
        <f>6346.32+3076+650+3466</f>
        <v>13538.32</v>
      </c>
      <c r="O34" s="36">
        <f>6346.32+3076+650+3466</f>
        <v>13538.32</v>
      </c>
      <c r="P34" s="37">
        <f t="shared" si="1"/>
        <v>8461.68</v>
      </c>
      <c r="Q34" s="38"/>
    </row>
    <row r="35" spans="1:17">
      <c r="A35" s="9">
        <v>7</v>
      </c>
      <c r="B35" s="9">
        <v>1</v>
      </c>
      <c r="C35" s="9">
        <v>3</v>
      </c>
      <c r="D35" s="10">
        <v>1</v>
      </c>
      <c r="E35" s="11">
        <v>190</v>
      </c>
      <c r="F35" s="39">
        <v>2161</v>
      </c>
      <c r="G35" s="13">
        <v>1</v>
      </c>
      <c r="H35" s="14" t="s">
        <v>37</v>
      </c>
      <c r="I35" s="15">
        <v>0</v>
      </c>
      <c r="J35" s="15">
        <v>23000</v>
      </c>
      <c r="K35" s="15">
        <f t="shared" si="5"/>
        <v>23000</v>
      </c>
      <c r="L35" s="36">
        <f>4604.4+54.82+52.7+5027.13+127</f>
        <v>9866.0499999999993</v>
      </c>
      <c r="M35" s="36">
        <f>4604.4+54.82+52.7+5027.13+127</f>
        <v>9866.0499999999993</v>
      </c>
      <c r="N35" s="36">
        <f>4604.4+54.82+52.7+5027.13+127</f>
        <v>9866.0499999999993</v>
      </c>
      <c r="O35" s="36">
        <f>4604.4+54.82+52.7+5027.13+127</f>
        <v>9866.0499999999993</v>
      </c>
      <c r="P35" s="37">
        <f t="shared" si="1"/>
        <v>13133.95</v>
      </c>
      <c r="Q35" s="38"/>
    </row>
    <row r="36" spans="1:17" ht="25.5">
      <c r="A36" s="9">
        <v>7</v>
      </c>
      <c r="B36" s="9">
        <v>1</v>
      </c>
      <c r="C36" s="9">
        <v>3</v>
      </c>
      <c r="D36" s="10">
        <v>1</v>
      </c>
      <c r="E36" s="11">
        <v>190</v>
      </c>
      <c r="F36" s="39">
        <v>2214</v>
      </c>
      <c r="G36" s="13">
        <v>1</v>
      </c>
      <c r="H36" s="14" t="s">
        <v>38</v>
      </c>
      <c r="I36" s="15">
        <v>0</v>
      </c>
      <c r="J36" s="15">
        <v>40000</v>
      </c>
      <c r="K36" s="15">
        <f t="shared" si="5"/>
        <v>40000</v>
      </c>
      <c r="L36" s="36">
        <f>1876.2+3218+2028+6497.1+17723</f>
        <v>31342.3</v>
      </c>
      <c r="M36" s="36">
        <f>1876.2+3218+2028+6497.1+17723</f>
        <v>31342.3</v>
      </c>
      <c r="N36" s="36">
        <f>1876.2+3218+2028+6497.1+17723</f>
        <v>31342.3</v>
      </c>
      <c r="O36" s="36">
        <f>1876.2+3218+2028+6497.1+17723</f>
        <v>31342.3</v>
      </c>
      <c r="P36" s="37">
        <f t="shared" si="1"/>
        <v>8657.7000000000007</v>
      </c>
      <c r="Q36" s="38"/>
    </row>
    <row r="37" spans="1:17">
      <c r="A37" s="9">
        <v>7</v>
      </c>
      <c r="B37" s="9">
        <v>1</v>
      </c>
      <c r="C37" s="9">
        <v>3</v>
      </c>
      <c r="D37" s="10">
        <v>1</v>
      </c>
      <c r="E37" s="11">
        <v>190</v>
      </c>
      <c r="F37" s="39">
        <v>2231</v>
      </c>
      <c r="G37" s="13">
        <v>1</v>
      </c>
      <c r="H37" s="14" t="s">
        <v>39</v>
      </c>
      <c r="I37" s="15">
        <v>0</v>
      </c>
      <c r="J37" s="15">
        <v>14000</v>
      </c>
      <c r="K37" s="15">
        <f t="shared" si="5"/>
        <v>14000</v>
      </c>
      <c r="L37" s="36">
        <f t="shared" ref="L37:O37" si="6">711.1</f>
        <v>711.1</v>
      </c>
      <c r="M37" s="36">
        <f t="shared" si="6"/>
        <v>711.1</v>
      </c>
      <c r="N37" s="36">
        <f t="shared" si="6"/>
        <v>711.1</v>
      </c>
      <c r="O37" s="36">
        <f t="shared" si="6"/>
        <v>711.1</v>
      </c>
      <c r="P37" s="37">
        <f t="shared" si="1"/>
        <v>13288.9</v>
      </c>
      <c r="Q37" s="38"/>
    </row>
    <row r="38" spans="1:17">
      <c r="A38" s="9">
        <v>7</v>
      </c>
      <c r="B38" s="9">
        <v>1</v>
      </c>
      <c r="C38" s="9">
        <v>3</v>
      </c>
      <c r="D38" s="10">
        <v>1</v>
      </c>
      <c r="E38" s="11">
        <v>190</v>
      </c>
      <c r="F38" s="39">
        <v>2451</v>
      </c>
      <c r="G38" s="13">
        <v>1</v>
      </c>
      <c r="H38" s="14" t="s">
        <v>40</v>
      </c>
      <c r="I38" s="15">
        <v>0</v>
      </c>
      <c r="J38" s="15">
        <v>5000</v>
      </c>
      <c r="K38" s="15">
        <f t="shared" si="5"/>
        <v>5000</v>
      </c>
      <c r="L38" s="36">
        <v>0</v>
      </c>
      <c r="M38" s="36">
        <v>0</v>
      </c>
      <c r="N38" s="36">
        <v>0</v>
      </c>
      <c r="O38" s="36">
        <v>0</v>
      </c>
      <c r="P38" s="37">
        <f t="shared" si="1"/>
        <v>5000</v>
      </c>
      <c r="Q38" s="38"/>
    </row>
    <row r="39" spans="1:17">
      <c r="A39" s="9">
        <v>7</v>
      </c>
      <c r="B39" s="9">
        <v>1</v>
      </c>
      <c r="C39" s="9">
        <v>3</v>
      </c>
      <c r="D39" s="10">
        <v>1</v>
      </c>
      <c r="E39" s="11">
        <v>190</v>
      </c>
      <c r="F39" s="39">
        <v>2461</v>
      </c>
      <c r="G39" s="13">
        <v>1</v>
      </c>
      <c r="H39" s="14" t="s">
        <v>41</v>
      </c>
      <c r="I39" s="15"/>
      <c r="J39" s="15">
        <v>15000</v>
      </c>
      <c r="K39" s="15">
        <f t="shared" si="5"/>
        <v>15000</v>
      </c>
      <c r="L39" s="36">
        <f t="shared" ref="L39:O39" si="7">154.8+239</f>
        <v>393.8</v>
      </c>
      <c r="M39" s="36">
        <f t="shared" si="7"/>
        <v>393.8</v>
      </c>
      <c r="N39" s="36">
        <f t="shared" si="7"/>
        <v>393.8</v>
      </c>
      <c r="O39" s="36">
        <f t="shared" si="7"/>
        <v>393.8</v>
      </c>
      <c r="P39" s="37">
        <f t="shared" si="1"/>
        <v>14606.2</v>
      </c>
      <c r="Q39" s="38"/>
    </row>
    <row r="40" spans="1:17">
      <c r="A40" s="9">
        <v>7</v>
      </c>
      <c r="B40" s="9">
        <v>1</v>
      </c>
      <c r="C40" s="9">
        <v>3</v>
      </c>
      <c r="D40" s="10">
        <v>1</v>
      </c>
      <c r="E40" s="11">
        <v>190</v>
      </c>
      <c r="F40" s="39">
        <v>2481</v>
      </c>
      <c r="G40" s="13">
        <v>1</v>
      </c>
      <c r="H40" s="14" t="s">
        <v>42</v>
      </c>
      <c r="I40" s="15">
        <v>0</v>
      </c>
      <c r="J40" s="15">
        <v>20000</v>
      </c>
      <c r="K40" s="15">
        <f>+J40</f>
        <v>20000</v>
      </c>
      <c r="L40" s="36">
        <v>189</v>
      </c>
      <c r="M40" s="36">
        <v>189</v>
      </c>
      <c r="N40" s="36">
        <v>189</v>
      </c>
      <c r="O40" s="36">
        <v>189</v>
      </c>
      <c r="P40" s="37">
        <f t="shared" si="1"/>
        <v>19811</v>
      </c>
      <c r="Q40" s="38"/>
    </row>
    <row r="41" spans="1:17">
      <c r="A41" s="9">
        <v>7</v>
      </c>
      <c r="B41" s="9">
        <v>1</v>
      </c>
      <c r="C41" s="9">
        <v>3</v>
      </c>
      <c r="D41" s="10">
        <v>1</v>
      </c>
      <c r="E41" s="11">
        <v>190</v>
      </c>
      <c r="F41" s="39">
        <v>2491</v>
      </c>
      <c r="G41" s="13">
        <v>1</v>
      </c>
      <c r="H41" s="14" t="s">
        <v>43</v>
      </c>
      <c r="I41" s="15">
        <v>0</v>
      </c>
      <c r="J41" s="15">
        <v>40000</v>
      </c>
      <c r="K41" s="15">
        <f t="shared" si="5"/>
        <v>40000</v>
      </c>
      <c r="L41" s="36">
        <v>111.88</v>
      </c>
      <c r="M41" s="36">
        <v>111.88</v>
      </c>
      <c r="N41" s="36">
        <v>111.88</v>
      </c>
      <c r="O41" s="36">
        <v>111.88</v>
      </c>
      <c r="P41" s="37">
        <f t="shared" si="1"/>
        <v>39888.120000000003</v>
      </c>
      <c r="Q41" s="38"/>
    </row>
    <row r="42" spans="1:17">
      <c r="A42" s="9">
        <v>7</v>
      </c>
      <c r="B42" s="9">
        <v>1</v>
      </c>
      <c r="C42" s="9">
        <v>3</v>
      </c>
      <c r="D42" s="10">
        <v>1</v>
      </c>
      <c r="E42" s="11">
        <v>190</v>
      </c>
      <c r="F42" s="39">
        <v>2531</v>
      </c>
      <c r="G42" s="13">
        <v>1</v>
      </c>
      <c r="H42" s="14" t="s">
        <v>44</v>
      </c>
      <c r="I42" s="15">
        <v>0</v>
      </c>
      <c r="J42" s="15">
        <v>5000</v>
      </c>
      <c r="K42" s="15">
        <f t="shared" si="5"/>
        <v>5000</v>
      </c>
      <c r="L42" s="36">
        <f>390.37+328.66</f>
        <v>719.03</v>
      </c>
      <c r="M42" s="36">
        <f>390.37+328.66</f>
        <v>719.03</v>
      </c>
      <c r="N42" s="36">
        <f>390.37+328.66</f>
        <v>719.03</v>
      </c>
      <c r="O42" s="36">
        <f>390.37+328.66</f>
        <v>719.03</v>
      </c>
      <c r="P42" s="37">
        <f t="shared" si="1"/>
        <v>4280.97</v>
      </c>
      <c r="Q42" s="38"/>
    </row>
    <row r="43" spans="1:17" ht="25.5">
      <c r="A43" s="9">
        <v>7</v>
      </c>
      <c r="B43" s="9">
        <v>1</v>
      </c>
      <c r="C43" s="9">
        <v>3</v>
      </c>
      <c r="D43" s="10">
        <v>1</v>
      </c>
      <c r="E43" s="11">
        <v>190</v>
      </c>
      <c r="F43" s="39">
        <v>2612</v>
      </c>
      <c r="G43" s="13">
        <v>1</v>
      </c>
      <c r="H43" s="14" t="s">
        <v>45</v>
      </c>
      <c r="I43" s="15">
        <v>0</v>
      </c>
      <c r="J43" s="15">
        <v>280000</v>
      </c>
      <c r="K43" s="15">
        <f t="shared" si="5"/>
        <v>280000</v>
      </c>
      <c r="L43" s="36">
        <f>13220.44+25677.9+12795.4+48588+16196+16896+17296.05</f>
        <v>150669.78999999998</v>
      </c>
      <c r="M43" s="36">
        <f>13220.44+25677.9+12795.4+48588+16196+16896+17296.05</f>
        <v>150669.78999999998</v>
      </c>
      <c r="N43" s="36">
        <f>13220.44+25677.9+12795.4+48588+16196+16896+17296.05</f>
        <v>150669.78999999998</v>
      </c>
      <c r="O43" s="36">
        <f>13220.44+25677.9+12795.4+48588+16196+16896+17296.05</f>
        <v>150669.78999999998</v>
      </c>
      <c r="P43" s="37">
        <f t="shared" si="1"/>
        <v>129330.21000000002</v>
      </c>
      <c r="Q43" s="38"/>
    </row>
    <row r="44" spans="1:17">
      <c r="A44" s="9">
        <v>7</v>
      </c>
      <c r="B44" s="9">
        <v>1</v>
      </c>
      <c r="C44" s="9">
        <v>3</v>
      </c>
      <c r="D44" s="10">
        <v>1</v>
      </c>
      <c r="E44" s="11">
        <v>190</v>
      </c>
      <c r="F44" s="39">
        <v>2711</v>
      </c>
      <c r="G44" s="13">
        <v>1</v>
      </c>
      <c r="H44" s="14" t="s">
        <v>46</v>
      </c>
      <c r="I44" s="15">
        <v>0</v>
      </c>
      <c r="J44" s="15">
        <v>0</v>
      </c>
      <c r="K44" s="15">
        <v>0</v>
      </c>
      <c r="L44" s="36">
        <v>0</v>
      </c>
      <c r="M44" s="36">
        <v>0</v>
      </c>
      <c r="N44" s="36">
        <v>0</v>
      </c>
      <c r="O44" s="36">
        <v>0</v>
      </c>
      <c r="P44" s="37">
        <f t="shared" si="1"/>
        <v>0</v>
      </c>
      <c r="Q44" s="38"/>
    </row>
    <row r="45" spans="1:17">
      <c r="A45" s="9">
        <v>7</v>
      </c>
      <c r="B45" s="9">
        <v>1</v>
      </c>
      <c r="C45" s="9">
        <v>3</v>
      </c>
      <c r="D45" s="10">
        <v>1</v>
      </c>
      <c r="E45" s="11">
        <v>190</v>
      </c>
      <c r="F45" s="39">
        <v>2721</v>
      </c>
      <c r="G45" s="13">
        <v>1</v>
      </c>
      <c r="H45" s="14" t="s">
        <v>47</v>
      </c>
      <c r="I45" s="15">
        <v>0</v>
      </c>
      <c r="J45" s="15">
        <v>3000</v>
      </c>
      <c r="K45" s="15">
        <f t="shared" si="5"/>
        <v>3000</v>
      </c>
      <c r="L45" s="36">
        <v>0</v>
      </c>
      <c r="M45" s="36">
        <v>0</v>
      </c>
      <c r="N45" s="36">
        <v>0</v>
      </c>
      <c r="O45" s="36">
        <v>0</v>
      </c>
      <c r="P45" s="37">
        <f t="shared" si="1"/>
        <v>3000</v>
      </c>
      <c r="Q45" s="38"/>
    </row>
    <row r="46" spans="1:17">
      <c r="A46" s="9">
        <v>7</v>
      </c>
      <c r="B46" s="9">
        <v>1</v>
      </c>
      <c r="C46" s="9">
        <v>3</v>
      </c>
      <c r="D46" s="10">
        <v>1</v>
      </c>
      <c r="E46" s="11">
        <v>190</v>
      </c>
      <c r="F46" s="39">
        <v>2911</v>
      </c>
      <c r="G46" s="13">
        <v>1</v>
      </c>
      <c r="H46" s="14" t="s">
        <v>48</v>
      </c>
      <c r="I46" s="15">
        <v>0</v>
      </c>
      <c r="J46" s="15">
        <v>2500</v>
      </c>
      <c r="K46" s="15">
        <f t="shared" si="5"/>
        <v>2500</v>
      </c>
      <c r="L46" s="36">
        <f>137.62+524.3</f>
        <v>661.92</v>
      </c>
      <c r="M46" s="36">
        <f>137.62+524.3</f>
        <v>661.92</v>
      </c>
      <c r="N46" s="36">
        <f>137.62+524.3</f>
        <v>661.92</v>
      </c>
      <c r="O46" s="36">
        <f>137.62+524.3</f>
        <v>661.92</v>
      </c>
      <c r="P46" s="37">
        <f t="shared" si="1"/>
        <v>1838.08</v>
      </c>
      <c r="Q46" s="38"/>
    </row>
    <row r="47" spans="1:17">
      <c r="A47" s="9">
        <v>7</v>
      </c>
      <c r="B47" s="9">
        <v>1</v>
      </c>
      <c r="C47" s="9">
        <v>3</v>
      </c>
      <c r="D47" s="10">
        <v>1</v>
      </c>
      <c r="E47" s="11">
        <v>190</v>
      </c>
      <c r="F47" s="39">
        <v>2921</v>
      </c>
      <c r="G47" s="13">
        <v>1</v>
      </c>
      <c r="H47" s="14" t="s">
        <v>49</v>
      </c>
      <c r="I47" s="15">
        <v>0</v>
      </c>
      <c r="J47" s="15">
        <v>8000</v>
      </c>
      <c r="K47" s="15">
        <f t="shared" si="5"/>
        <v>8000</v>
      </c>
      <c r="L47" s="36">
        <v>0</v>
      </c>
      <c r="M47" s="36">
        <v>0</v>
      </c>
      <c r="N47" s="36">
        <v>0</v>
      </c>
      <c r="O47" s="36">
        <v>0</v>
      </c>
      <c r="P47" s="37">
        <f t="shared" si="1"/>
        <v>8000</v>
      </c>
      <c r="Q47" s="38"/>
    </row>
    <row r="48" spans="1:17" ht="25.5">
      <c r="A48" s="9">
        <v>7</v>
      </c>
      <c r="B48" s="9">
        <v>1</v>
      </c>
      <c r="C48" s="9">
        <v>3</v>
      </c>
      <c r="D48" s="10">
        <v>1</v>
      </c>
      <c r="E48" s="11">
        <v>190</v>
      </c>
      <c r="F48" s="39">
        <v>2941</v>
      </c>
      <c r="G48" s="13">
        <v>1</v>
      </c>
      <c r="H48" s="14" t="s">
        <v>50</v>
      </c>
      <c r="I48" s="15">
        <v>0</v>
      </c>
      <c r="J48" s="15">
        <v>10000</v>
      </c>
      <c r="K48" s="15">
        <f t="shared" si="5"/>
        <v>10000</v>
      </c>
      <c r="L48" s="36">
        <f>6171.2+11901.6-11901.6+1972+1107.8</f>
        <v>9250.9999999999982</v>
      </c>
      <c r="M48" s="36">
        <f>6171.2+11901.6-11901.6+1972+1107.8</f>
        <v>9250.9999999999982</v>
      </c>
      <c r="N48" s="36">
        <f>6171.2+11901.6-11901.6+1972+1107.8</f>
        <v>9250.9999999999982</v>
      </c>
      <c r="O48" s="36">
        <f>6171.2+11901.6-11901.6+1972+1107.8</f>
        <v>9250.9999999999982</v>
      </c>
      <c r="P48" s="37">
        <f t="shared" si="1"/>
        <v>749.00000000000182</v>
      </c>
      <c r="Q48" s="38"/>
    </row>
    <row r="49" spans="1:17">
      <c r="A49" s="21">
        <v>7</v>
      </c>
      <c r="B49" s="21">
        <v>1</v>
      </c>
      <c r="C49" s="21">
        <v>3</v>
      </c>
      <c r="D49" s="22">
        <v>1</v>
      </c>
      <c r="E49" s="11">
        <v>190</v>
      </c>
      <c r="F49" s="40">
        <v>2961</v>
      </c>
      <c r="G49" s="24">
        <v>1</v>
      </c>
      <c r="H49" s="14" t="s">
        <v>51</v>
      </c>
      <c r="I49" s="15">
        <v>0</v>
      </c>
      <c r="J49" s="15">
        <v>55000</v>
      </c>
      <c r="K49" s="15">
        <f t="shared" si="5"/>
        <v>55000</v>
      </c>
      <c r="L49" s="36">
        <f>188+21758.11</f>
        <v>21946.11</v>
      </c>
      <c r="M49" s="36">
        <f>188+21758.11</f>
        <v>21946.11</v>
      </c>
      <c r="N49" s="36">
        <f>188+21758.11</f>
        <v>21946.11</v>
      </c>
      <c r="O49" s="36">
        <f>188+21758.11</f>
        <v>21946.11</v>
      </c>
      <c r="P49" s="37">
        <f t="shared" si="1"/>
        <v>33053.89</v>
      </c>
      <c r="Q49" s="38"/>
    </row>
    <row r="50" spans="1:17">
      <c r="A50" s="25"/>
      <c r="B50" s="26"/>
      <c r="C50" s="26"/>
      <c r="D50" s="26"/>
      <c r="E50" s="26"/>
      <c r="F50" s="27"/>
      <c r="G50" s="28"/>
      <c r="H50" s="29" t="s">
        <v>52</v>
      </c>
      <c r="I50" s="30">
        <v>0</v>
      </c>
      <c r="J50" s="30">
        <f t="shared" ref="J50" si="8">SUM(J31:J49)</f>
        <v>799500</v>
      </c>
      <c r="K50" s="30">
        <f>SUM(K31:K49)</f>
        <v>799500</v>
      </c>
      <c r="L50" s="30">
        <f t="shared" ref="L50:P50" si="9">SUM(L31:L49)</f>
        <v>445223.47</v>
      </c>
      <c r="M50" s="30">
        <f t="shared" si="9"/>
        <v>445223.47</v>
      </c>
      <c r="N50" s="30">
        <f t="shared" si="9"/>
        <v>445223.47</v>
      </c>
      <c r="O50" s="30">
        <f t="shared" si="9"/>
        <v>445223.47</v>
      </c>
      <c r="P50" s="30">
        <f t="shared" si="9"/>
        <v>354276.53</v>
      </c>
      <c r="Q50" s="31"/>
    </row>
    <row r="51" spans="1:17">
      <c r="A51" s="32">
        <v>7</v>
      </c>
      <c r="B51" s="32">
        <v>1</v>
      </c>
      <c r="C51" s="32">
        <v>3</v>
      </c>
      <c r="D51" s="33">
        <v>1</v>
      </c>
      <c r="E51" s="11">
        <v>190</v>
      </c>
      <c r="F51" s="41">
        <v>3111</v>
      </c>
      <c r="G51" s="42">
        <v>1</v>
      </c>
      <c r="H51" s="14" t="s">
        <v>53</v>
      </c>
      <c r="I51" s="43"/>
      <c r="J51" s="44">
        <v>200000</v>
      </c>
      <c r="K51" s="15">
        <f t="shared" si="5"/>
        <v>200000</v>
      </c>
      <c r="L51" s="36">
        <f>619+1254+24698.93+74963.09</f>
        <v>101535.01999999999</v>
      </c>
      <c r="M51" s="36">
        <f>619+1254+24698.93+74963.09</f>
        <v>101535.01999999999</v>
      </c>
      <c r="N51" s="36">
        <f>619+1254+24698.93+74963.09</f>
        <v>101535.01999999999</v>
      </c>
      <c r="O51" s="36">
        <f>619+1254+24698.93+74963.09</f>
        <v>101535.01999999999</v>
      </c>
      <c r="P51" s="37">
        <f t="shared" si="1"/>
        <v>98464.98000000001</v>
      </c>
      <c r="Q51" s="38"/>
    </row>
    <row r="52" spans="1:17">
      <c r="A52" s="9">
        <v>7</v>
      </c>
      <c r="B52" s="9">
        <v>1</v>
      </c>
      <c r="C52" s="9">
        <v>3</v>
      </c>
      <c r="D52" s="10">
        <v>1</v>
      </c>
      <c r="E52" s="11">
        <v>190</v>
      </c>
      <c r="F52" s="12">
        <v>3151</v>
      </c>
      <c r="G52" s="13">
        <v>1</v>
      </c>
      <c r="H52" s="14" t="s">
        <v>54</v>
      </c>
      <c r="I52" s="15">
        <v>0</v>
      </c>
      <c r="J52" s="15">
        <v>12000</v>
      </c>
      <c r="K52" s="15">
        <f t="shared" si="5"/>
        <v>12000</v>
      </c>
      <c r="L52" s="36">
        <f>100+80+200+130</f>
        <v>510</v>
      </c>
      <c r="M52" s="36">
        <f>100+80+200+130</f>
        <v>510</v>
      </c>
      <c r="N52" s="36">
        <f>100+80+200+130</f>
        <v>510</v>
      </c>
      <c r="O52" s="36">
        <f>100+80+200+130</f>
        <v>510</v>
      </c>
      <c r="P52" s="37">
        <f t="shared" si="1"/>
        <v>11490</v>
      </c>
      <c r="Q52" s="38"/>
    </row>
    <row r="53" spans="1:17">
      <c r="A53" s="9">
        <v>7</v>
      </c>
      <c r="B53" s="9">
        <v>1</v>
      </c>
      <c r="C53" s="9">
        <v>3</v>
      </c>
      <c r="D53" s="10">
        <v>1</v>
      </c>
      <c r="E53" s="11">
        <v>190</v>
      </c>
      <c r="F53" s="12">
        <v>3171</v>
      </c>
      <c r="G53" s="13">
        <v>1</v>
      </c>
      <c r="H53" s="45" t="s">
        <v>55</v>
      </c>
      <c r="I53" s="15">
        <v>0</v>
      </c>
      <c r="J53" s="15">
        <v>120000</v>
      </c>
      <c r="K53" s="15">
        <f t="shared" si="5"/>
        <v>120000</v>
      </c>
      <c r="L53" s="36">
        <f>5811+5579+2519.72+4780+14118.2</f>
        <v>32807.919999999998</v>
      </c>
      <c r="M53" s="36">
        <f>5811+5579+2519.72+4780+14118.2</f>
        <v>32807.919999999998</v>
      </c>
      <c r="N53" s="36">
        <f>5811+5579+2519.72+4780+14118.2</f>
        <v>32807.919999999998</v>
      </c>
      <c r="O53" s="36">
        <f>5811+5579+2519.72+4780+14118.2</f>
        <v>32807.919999999998</v>
      </c>
      <c r="P53" s="37">
        <f t="shared" si="1"/>
        <v>87192.08</v>
      </c>
      <c r="Q53" s="38"/>
    </row>
    <row r="54" spans="1:17" s="1" customFormat="1">
      <c r="A54" s="9">
        <v>7</v>
      </c>
      <c r="B54" s="9">
        <v>1</v>
      </c>
      <c r="C54" s="9">
        <v>3</v>
      </c>
      <c r="D54" s="10">
        <v>1</v>
      </c>
      <c r="E54" s="11">
        <v>190</v>
      </c>
      <c r="F54" s="46">
        <v>3181</v>
      </c>
      <c r="G54" s="13">
        <v>1</v>
      </c>
      <c r="H54" s="47" t="s">
        <v>56</v>
      </c>
      <c r="I54" s="15">
        <v>0</v>
      </c>
      <c r="J54" s="15">
        <v>13000</v>
      </c>
      <c r="K54" s="15">
        <f t="shared" si="5"/>
        <v>13000</v>
      </c>
      <c r="L54" s="36">
        <f>1760+2090+5891.99</f>
        <v>9741.99</v>
      </c>
      <c r="M54" s="36">
        <f>1760+2090+5891.99</f>
        <v>9741.99</v>
      </c>
      <c r="N54" s="36">
        <f>1760+2090+5891.99</f>
        <v>9741.99</v>
      </c>
      <c r="O54" s="36">
        <f>1760+2090+5891.99</f>
        <v>9741.99</v>
      </c>
      <c r="P54" s="37">
        <f t="shared" si="1"/>
        <v>3258.01</v>
      </c>
      <c r="Q54" s="38"/>
    </row>
    <row r="55" spans="1:17" s="1" customFormat="1">
      <c r="A55" s="9">
        <v>7</v>
      </c>
      <c r="B55" s="9">
        <v>1</v>
      </c>
      <c r="C55" s="9">
        <v>3</v>
      </c>
      <c r="D55" s="10">
        <v>1</v>
      </c>
      <c r="E55" s="11">
        <v>190</v>
      </c>
      <c r="F55" s="12">
        <v>3232</v>
      </c>
      <c r="G55" s="13">
        <v>1</v>
      </c>
      <c r="H55" s="14" t="s">
        <v>57</v>
      </c>
      <c r="I55" s="15">
        <v>0</v>
      </c>
      <c r="J55" s="15">
        <v>32000</v>
      </c>
      <c r="K55" s="15">
        <f t="shared" si="5"/>
        <v>32000</v>
      </c>
      <c r="L55" s="36">
        <f>1450+1450+1450+4350+4350</f>
        <v>13050</v>
      </c>
      <c r="M55" s="36">
        <f>1450+1450+1450+4350+4350</f>
        <v>13050</v>
      </c>
      <c r="N55" s="36">
        <f>1450+1450+1450+4350+4350</f>
        <v>13050</v>
      </c>
      <c r="O55" s="36">
        <f>1450+1450+1450+4350+4350</f>
        <v>13050</v>
      </c>
      <c r="P55" s="37">
        <f t="shared" si="1"/>
        <v>18950</v>
      </c>
      <c r="Q55" s="38"/>
    </row>
    <row r="56" spans="1:17" s="1" customFormat="1" ht="25.5">
      <c r="A56" s="9">
        <v>7</v>
      </c>
      <c r="B56" s="9">
        <v>1</v>
      </c>
      <c r="C56" s="9">
        <v>3</v>
      </c>
      <c r="D56" s="10">
        <v>1</v>
      </c>
      <c r="E56" s="11">
        <v>190</v>
      </c>
      <c r="F56" s="12">
        <v>3251</v>
      </c>
      <c r="G56" s="13">
        <v>1</v>
      </c>
      <c r="H56" s="14" t="s">
        <v>58</v>
      </c>
      <c r="I56" s="19">
        <v>0</v>
      </c>
      <c r="J56" s="19">
        <v>20000</v>
      </c>
      <c r="K56" s="15">
        <f t="shared" si="5"/>
        <v>20000</v>
      </c>
      <c r="L56" s="36">
        <v>0</v>
      </c>
      <c r="M56" s="36">
        <v>0</v>
      </c>
      <c r="N56" s="36">
        <v>0</v>
      </c>
      <c r="O56" s="36">
        <v>0</v>
      </c>
      <c r="P56" s="37">
        <f t="shared" si="1"/>
        <v>20000</v>
      </c>
      <c r="Q56" s="38"/>
    </row>
    <row r="57" spans="1:17" s="1" customFormat="1">
      <c r="A57" s="9">
        <v>7</v>
      </c>
      <c r="B57" s="9">
        <v>1</v>
      </c>
      <c r="C57" s="9">
        <v>3</v>
      </c>
      <c r="D57" s="10">
        <v>1</v>
      </c>
      <c r="E57" s="11">
        <v>190</v>
      </c>
      <c r="F57" s="12">
        <v>3311</v>
      </c>
      <c r="G57" s="13">
        <v>1</v>
      </c>
      <c r="H57" s="14" t="s">
        <v>59</v>
      </c>
      <c r="I57" s="15"/>
      <c r="J57" s="15">
        <f>500000-433880</f>
        <v>66120</v>
      </c>
      <c r="K57" s="15">
        <f t="shared" si="5"/>
        <v>66120</v>
      </c>
      <c r="L57" s="36">
        <v>66120</v>
      </c>
      <c r="M57" s="36">
        <v>66120</v>
      </c>
      <c r="N57" s="36">
        <v>66120</v>
      </c>
      <c r="O57" s="36">
        <v>66120</v>
      </c>
      <c r="P57" s="37">
        <f t="shared" si="1"/>
        <v>0</v>
      </c>
      <c r="Q57" s="38"/>
    </row>
    <row r="58" spans="1:17" s="1" customFormat="1" ht="25.5">
      <c r="A58" s="9">
        <v>7</v>
      </c>
      <c r="B58" s="9">
        <v>1</v>
      </c>
      <c r="C58" s="9">
        <v>3</v>
      </c>
      <c r="D58" s="10">
        <v>1</v>
      </c>
      <c r="E58" s="11">
        <v>190</v>
      </c>
      <c r="F58" s="12">
        <v>3321</v>
      </c>
      <c r="G58" s="13">
        <v>1</v>
      </c>
      <c r="H58" s="14" t="s">
        <v>60</v>
      </c>
      <c r="I58" s="15">
        <v>0</v>
      </c>
      <c r="J58" s="15">
        <f>150000-150000</f>
        <v>0</v>
      </c>
      <c r="K58" s="15">
        <f t="shared" si="5"/>
        <v>0</v>
      </c>
      <c r="L58" s="36">
        <v>0</v>
      </c>
      <c r="M58" s="36">
        <v>0</v>
      </c>
      <c r="N58" s="36">
        <v>0</v>
      </c>
      <c r="O58" s="36">
        <v>0</v>
      </c>
      <c r="P58" s="37">
        <f t="shared" si="1"/>
        <v>0</v>
      </c>
      <c r="Q58" s="38"/>
    </row>
    <row r="59" spans="1:17" s="1" customFormat="1">
      <c r="A59" s="9">
        <v>7</v>
      </c>
      <c r="B59" s="9">
        <v>1</v>
      </c>
      <c r="C59" s="9">
        <v>3</v>
      </c>
      <c r="D59" s="10">
        <v>1</v>
      </c>
      <c r="E59" s="11">
        <v>190</v>
      </c>
      <c r="F59" s="12">
        <v>3331</v>
      </c>
      <c r="G59" s="13">
        <v>1</v>
      </c>
      <c r="H59" s="14" t="s">
        <v>61</v>
      </c>
      <c r="I59" s="15"/>
      <c r="J59" s="15">
        <f>150000-150000</f>
        <v>0</v>
      </c>
      <c r="K59" s="15">
        <f t="shared" si="5"/>
        <v>0</v>
      </c>
      <c r="L59" s="36">
        <f>319-319</f>
        <v>0</v>
      </c>
      <c r="M59" s="36">
        <f>319-319</f>
        <v>0</v>
      </c>
      <c r="N59" s="36">
        <f>319-319</f>
        <v>0</v>
      </c>
      <c r="O59" s="36">
        <f>319-319</f>
        <v>0</v>
      </c>
      <c r="P59" s="37">
        <f t="shared" si="1"/>
        <v>0</v>
      </c>
      <c r="Q59" s="38"/>
    </row>
    <row r="60" spans="1:17" s="1" customFormat="1">
      <c r="A60" s="9">
        <v>7</v>
      </c>
      <c r="B60" s="9">
        <v>1</v>
      </c>
      <c r="C60" s="9">
        <v>3</v>
      </c>
      <c r="D60" s="10">
        <v>1</v>
      </c>
      <c r="E60" s="11">
        <v>190</v>
      </c>
      <c r="F60" s="12">
        <v>3341</v>
      </c>
      <c r="G60" s="13">
        <v>1</v>
      </c>
      <c r="H60" s="14" t="s">
        <v>62</v>
      </c>
      <c r="I60" s="15">
        <v>0</v>
      </c>
      <c r="J60" s="19">
        <v>45000</v>
      </c>
      <c r="K60" s="19">
        <f t="shared" si="5"/>
        <v>45000</v>
      </c>
      <c r="L60" s="36">
        <v>48240</v>
      </c>
      <c r="M60" s="36">
        <v>48240</v>
      </c>
      <c r="N60" s="36">
        <v>48240</v>
      </c>
      <c r="O60" s="36">
        <v>48240</v>
      </c>
      <c r="P60" s="36">
        <f t="shared" si="1"/>
        <v>-3240</v>
      </c>
      <c r="Q60" s="38"/>
    </row>
    <row r="61" spans="1:17" s="1" customFormat="1">
      <c r="A61" s="9">
        <v>7</v>
      </c>
      <c r="B61" s="9">
        <v>1</v>
      </c>
      <c r="C61" s="9">
        <v>3</v>
      </c>
      <c r="D61" s="10">
        <v>1</v>
      </c>
      <c r="E61" s="11">
        <v>190</v>
      </c>
      <c r="F61" s="12">
        <v>3342</v>
      </c>
      <c r="G61" s="13">
        <v>1</v>
      </c>
      <c r="H61" s="14" t="s">
        <v>63</v>
      </c>
      <c r="I61" s="15">
        <v>0</v>
      </c>
      <c r="J61" s="19">
        <v>700000</v>
      </c>
      <c r="K61" s="19">
        <f t="shared" si="5"/>
        <v>700000</v>
      </c>
      <c r="L61" s="36">
        <v>147164.6</v>
      </c>
      <c r="M61" s="36">
        <v>147164.6</v>
      </c>
      <c r="N61" s="36">
        <v>147164.6</v>
      </c>
      <c r="O61" s="36">
        <v>147164.6</v>
      </c>
      <c r="P61" s="36">
        <f t="shared" si="1"/>
        <v>552835.4</v>
      </c>
      <c r="Q61" s="38"/>
    </row>
    <row r="62" spans="1:17" s="1" customFormat="1">
      <c r="A62" s="9">
        <v>7</v>
      </c>
      <c r="B62" s="9">
        <v>1</v>
      </c>
      <c r="C62" s="9">
        <v>3</v>
      </c>
      <c r="D62" s="10">
        <v>1</v>
      </c>
      <c r="E62" s="11">
        <v>190</v>
      </c>
      <c r="F62" s="12">
        <v>3362</v>
      </c>
      <c r="G62" s="13">
        <v>1</v>
      </c>
      <c r="H62" s="14" t="s">
        <v>64</v>
      </c>
      <c r="I62" s="15">
        <v>0</v>
      </c>
      <c r="J62" s="15">
        <v>65000</v>
      </c>
      <c r="K62" s="15">
        <f t="shared" si="5"/>
        <v>65000</v>
      </c>
      <c r="L62" s="36">
        <v>348</v>
      </c>
      <c r="M62" s="36">
        <v>348</v>
      </c>
      <c r="N62" s="36">
        <v>348</v>
      </c>
      <c r="O62" s="36">
        <v>348</v>
      </c>
      <c r="P62" s="37">
        <f t="shared" si="1"/>
        <v>64652</v>
      </c>
      <c r="Q62" s="38"/>
    </row>
    <row r="63" spans="1:17" s="1" customFormat="1">
      <c r="A63" s="9">
        <v>7</v>
      </c>
      <c r="B63" s="9">
        <v>1</v>
      </c>
      <c r="C63" s="9">
        <v>3</v>
      </c>
      <c r="D63" s="10">
        <v>1</v>
      </c>
      <c r="E63" s="11">
        <v>190</v>
      </c>
      <c r="F63" s="48">
        <v>3381</v>
      </c>
      <c r="G63" s="13">
        <v>1</v>
      </c>
      <c r="H63" s="49" t="s">
        <v>65</v>
      </c>
      <c r="I63" s="15"/>
      <c r="J63" s="15">
        <v>500000</v>
      </c>
      <c r="K63" s="15">
        <f t="shared" si="5"/>
        <v>500000</v>
      </c>
      <c r="L63" s="36">
        <f>41000.02+41000.02+41000.02+121301.16+126112.29</f>
        <v>370413.51</v>
      </c>
      <c r="M63" s="36">
        <f>41000.02+41000.02+41000.02+121301.16+126112.29</f>
        <v>370413.51</v>
      </c>
      <c r="N63" s="36">
        <f>41000.02+41000.02+41000.02+121301.16+126112.29</f>
        <v>370413.51</v>
      </c>
      <c r="O63" s="36">
        <f>41000.02+41000.02+41000.02+121301.16+126112.29</f>
        <v>370413.51</v>
      </c>
      <c r="P63" s="37">
        <f t="shared" si="1"/>
        <v>129586.48999999999</v>
      </c>
      <c r="Q63" s="38"/>
    </row>
    <row r="64" spans="1:17" s="1" customFormat="1">
      <c r="A64" s="9">
        <v>7</v>
      </c>
      <c r="B64" s="9">
        <v>1</v>
      </c>
      <c r="C64" s="9">
        <v>3</v>
      </c>
      <c r="D64" s="10">
        <v>1</v>
      </c>
      <c r="E64" s="11">
        <v>190</v>
      </c>
      <c r="F64" s="12">
        <v>3411</v>
      </c>
      <c r="G64" s="13">
        <v>1</v>
      </c>
      <c r="H64" s="14" t="s">
        <v>66</v>
      </c>
      <c r="I64" s="15">
        <v>0</v>
      </c>
      <c r="J64" s="15">
        <v>200000</v>
      </c>
      <c r="K64" s="15">
        <f t="shared" si="5"/>
        <v>200000</v>
      </c>
      <c r="L64" s="36">
        <f>8101.73+2951.61+3089.67+9739.94+9587.01</f>
        <v>33469.96</v>
      </c>
      <c r="M64" s="36">
        <f>8101.73+2951.61+3089.67+9739.94+9587.01</f>
        <v>33469.96</v>
      </c>
      <c r="N64" s="36">
        <f>8101.73+2951.61+3089.67+9739.94+9587.01</f>
        <v>33469.96</v>
      </c>
      <c r="O64" s="36">
        <f>8101.73+2951.61+3089.67+9739.94+9587.01</f>
        <v>33469.96</v>
      </c>
      <c r="P64" s="37">
        <f t="shared" si="1"/>
        <v>166530.04</v>
      </c>
      <c r="Q64" s="38"/>
    </row>
    <row r="65" spans="1:17" s="1" customFormat="1">
      <c r="A65" s="9">
        <v>7</v>
      </c>
      <c r="B65" s="9">
        <v>1</v>
      </c>
      <c r="C65" s="9">
        <v>3</v>
      </c>
      <c r="D65" s="10">
        <v>1</v>
      </c>
      <c r="E65" s="11">
        <v>190</v>
      </c>
      <c r="F65" s="50">
        <v>3451</v>
      </c>
      <c r="G65" s="13">
        <v>1</v>
      </c>
      <c r="H65" s="51" t="s">
        <v>67</v>
      </c>
      <c r="I65" s="15">
        <v>0</v>
      </c>
      <c r="J65" s="15">
        <v>150000</v>
      </c>
      <c r="K65" s="15">
        <f t="shared" si="5"/>
        <v>150000</v>
      </c>
      <c r="L65" s="36">
        <f>80281.75+6684.05+8827.6</f>
        <v>95793.400000000009</v>
      </c>
      <c r="M65" s="36">
        <f>80281.75+6684.05+8827.6</f>
        <v>95793.400000000009</v>
      </c>
      <c r="N65" s="36">
        <f>80281.75+6684.05+8827.6</f>
        <v>95793.400000000009</v>
      </c>
      <c r="O65" s="36">
        <f>80281.75+6684.05+8827.6</f>
        <v>95793.400000000009</v>
      </c>
      <c r="P65" s="37">
        <f t="shared" si="1"/>
        <v>54206.599999999991</v>
      </c>
      <c r="Q65" s="38"/>
    </row>
    <row r="66" spans="1:17" s="1" customFormat="1">
      <c r="A66" s="9">
        <v>7</v>
      </c>
      <c r="B66" s="9">
        <v>1</v>
      </c>
      <c r="C66" s="9">
        <v>3</v>
      </c>
      <c r="D66" s="10">
        <v>1</v>
      </c>
      <c r="E66" s="11">
        <v>190</v>
      </c>
      <c r="F66" s="52">
        <v>3461</v>
      </c>
      <c r="G66" s="13">
        <v>1</v>
      </c>
      <c r="H66" s="45" t="s">
        <v>68</v>
      </c>
      <c r="I66" s="15">
        <v>0</v>
      </c>
      <c r="J66" s="15">
        <v>75000</v>
      </c>
      <c r="K66" s="15">
        <f t="shared" si="5"/>
        <v>75000</v>
      </c>
      <c r="L66" s="36">
        <f>3575.24+7064.56+10456.29+6970.86</f>
        <v>28066.95</v>
      </c>
      <c r="M66" s="36">
        <f>3575.24+7064.56+10456.29+6970.86</f>
        <v>28066.95</v>
      </c>
      <c r="N66" s="36">
        <f>3575.24+7064.56+10456.29+6970.86</f>
        <v>28066.95</v>
      </c>
      <c r="O66" s="36">
        <f>3575.24+7064.56+10456.29+6970.86</f>
        <v>28066.95</v>
      </c>
      <c r="P66" s="37">
        <f t="shared" si="1"/>
        <v>46933.05</v>
      </c>
      <c r="Q66" s="38"/>
    </row>
    <row r="67" spans="1:17" s="1" customFormat="1" ht="25.5">
      <c r="A67" s="9">
        <v>7</v>
      </c>
      <c r="B67" s="9">
        <v>1</v>
      </c>
      <c r="C67" s="9">
        <v>3</v>
      </c>
      <c r="D67" s="10">
        <v>1</v>
      </c>
      <c r="E67" s="11">
        <v>190</v>
      </c>
      <c r="F67" s="12">
        <v>3511</v>
      </c>
      <c r="G67" s="13">
        <v>1</v>
      </c>
      <c r="H67" s="14" t="s">
        <v>69</v>
      </c>
      <c r="I67" s="19">
        <v>0</v>
      </c>
      <c r="J67" s="19">
        <v>190000</v>
      </c>
      <c r="K67" s="15">
        <f t="shared" si="5"/>
        <v>190000</v>
      </c>
      <c r="L67" s="36">
        <f>52200+25868+6710.03+15080</f>
        <v>99858.03</v>
      </c>
      <c r="M67" s="36">
        <f>52200+25868+6710.03+15080</f>
        <v>99858.03</v>
      </c>
      <c r="N67" s="36">
        <f>52200+25868+6710.03+15080</f>
        <v>99858.03</v>
      </c>
      <c r="O67" s="36">
        <f>52200+25868+6710.03+15080</f>
        <v>99858.03</v>
      </c>
      <c r="P67" s="37">
        <f t="shared" si="1"/>
        <v>90141.97</v>
      </c>
      <c r="Q67" s="38"/>
    </row>
    <row r="68" spans="1:17" s="1" customFormat="1" ht="25.5">
      <c r="A68" s="9">
        <v>7</v>
      </c>
      <c r="B68" s="9">
        <v>1</v>
      </c>
      <c r="C68" s="9">
        <v>3</v>
      </c>
      <c r="D68" s="10">
        <v>1</v>
      </c>
      <c r="E68" s="11">
        <v>190</v>
      </c>
      <c r="F68" s="12">
        <v>3512</v>
      </c>
      <c r="G68" s="13">
        <v>1</v>
      </c>
      <c r="H68" s="14" t="s">
        <v>70</v>
      </c>
      <c r="I68" s="19">
        <v>0</v>
      </c>
      <c r="J68" s="19">
        <v>900000</v>
      </c>
      <c r="K68" s="15">
        <f t="shared" si="5"/>
        <v>900000</v>
      </c>
      <c r="L68" s="36">
        <f>976+2274.22+1566+128406+207068</f>
        <v>340290.22</v>
      </c>
      <c r="M68" s="36">
        <f>976+2274.22+1566+128406+207068</f>
        <v>340290.22</v>
      </c>
      <c r="N68" s="36">
        <f>976+2274.22+1566+128406+207068</f>
        <v>340290.22</v>
      </c>
      <c r="O68" s="36">
        <f>976+2274.22+1566+128406+207068</f>
        <v>340290.22</v>
      </c>
      <c r="P68" s="37">
        <f t="shared" si="1"/>
        <v>559709.78</v>
      </c>
      <c r="Q68" s="38"/>
    </row>
    <row r="69" spans="1:17" ht="25.5">
      <c r="A69" s="9">
        <v>7</v>
      </c>
      <c r="B69" s="9">
        <v>1</v>
      </c>
      <c r="C69" s="9">
        <v>3</v>
      </c>
      <c r="D69" s="10">
        <v>1</v>
      </c>
      <c r="E69" s="11">
        <v>190</v>
      </c>
      <c r="F69" s="12">
        <v>3521</v>
      </c>
      <c r="G69" s="13">
        <v>1</v>
      </c>
      <c r="H69" s="14" t="s">
        <v>71</v>
      </c>
      <c r="I69" s="19">
        <v>0</v>
      </c>
      <c r="J69" s="19">
        <v>50000</v>
      </c>
      <c r="K69" s="15">
        <f t="shared" si="5"/>
        <v>50000</v>
      </c>
      <c r="L69" s="36">
        <v>0</v>
      </c>
      <c r="M69" s="36">
        <v>0</v>
      </c>
      <c r="N69" s="36">
        <v>0</v>
      </c>
      <c r="O69" s="36">
        <v>0</v>
      </c>
      <c r="P69" s="37">
        <f t="shared" si="1"/>
        <v>50000</v>
      </c>
      <c r="Q69" s="38"/>
    </row>
    <row r="70" spans="1:17" ht="25.5">
      <c r="A70" s="9">
        <v>7</v>
      </c>
      <c r="B70" s="9">
        <v>1</v>
      </c>
      <c r="C70" s="9">
        <v>3</v>
      </c>
      <c r="D70" s="10">
        <v>1</v>
      </c>
      <c r="E70" s="11">
        <v>190</v>
      </c>
      <c r="F70" s="12">
        <v>3531</v>
      </c>
      <c r="G70" s="13">
        <v>1</v>
      </c>
      <c r="H70" s="14" t="s">
        <v>72</v>
      </c>
      <c r="I70" s="19">
        <v>0</v>
      </c>
      <c r="J70" s="19">
        <v>92000</v>
      </c>
      <c r="K70" s="15">
        <f t="shared" si="5"/>
        <v>92000</v>
      </c>
      <c r="L70" s="36">
        <f>8224.4+881.6</f>
        <v>9106</v>
      </c>
      <c r="M70" s="36">
        <f>8224.4+881.6</f>
        <v>9106</v>
      </c>
      <c r="N70" s="36">
        <f>8224.4+881.6</f>
        <v>9106</v>
      </c>
      <c r="O70" s="36">
        <f>8224.4+881.6</f>
        <v>9106</v>
      </c>
      <c r="P70" s="37">
        <f t="shared" si="1"/>
        <v>82894</v>
      </c>
      <c r="Q70" s="38"/>
    </row>
    <row r="71" spans="1:17" ht="25.5">
      <c r="A71" s="9">
        <v>7</v>
      </c>
      <c r="B71" s="9">
        <v>1</v>
      </c>
      <c r="C71" s="9">
        <v>3</v>
      </c>
      <c r="D71" s="10">
        <v>1</v>
      </c>
      <c r="E71" s="11">
        <v>190</v>
      </c>
      <c r="F71" s="12">
        <v>3551</v>
      </c>
      <c r="G71" s="13">
        <v>1</v>
      </c>
      <c r="H71" s="14" t="s">
        <v>73</v>
      </c>
      <c r="I71" s="19">
        <v>0</v>
      </c>
      <c r="J71" s="19">
        <v>175000</v>
      </c>
      <c r="K71" s="15">
        <f t="shared" si="5"/>
        <v>175000</v>
      </c>
      <c r="L71" s="36">
        <f>9361.2+4451.52+5999.8+34371.66+2967.8+6485.36+5736.86</f>
        <v>69374.200000000012</v>
      </c>
      <c r="M71" s="36">
        <f>9361.2+4451.52+5999.8+34371.66+2967.8+6485.36+5736.86</f>
        <v>69374.200000000012</v>
      </c>
      <c r="N71" s="36">
        <f>9361.2+4451.52+5999.8+34371.66+2967.8+6485.36+5736.86</f>
        <v>69374.200000000012</v>
      </c>
      <c r="O71" s="36">
        <f>9361.2+4451.52+5999.8+34371.66+2967.8+6485.36+5736.86</f>
        <v>69374.200000000012</v>
      </c>
      <c r="P71" s="37">
        <f t="shared" si="1"/>
        <v>105625.79999999999</v>
      </c>
      <c r="Q71" s="38"/>
    </row>
    <row r="72" spans="1:17">
      <c r="A72" s="9">
        <v>7</v>
      </c>
      <c r="B72" s="9">
        <v>1</v>
      </c>
      <c r="C72" s="9">
        <v>3</v>
      </c>
      <c r="D72" s="10">
        <v>1</v>
      </c>
      <c r="E72" s="11">
        <v>190</v>
      </c>
      <c r="F72" s="12">
        <v>3581</v>
      </c>
      <c r="G72" s="13">
        <v>1</v>
      </c>
      <c r="H72" s="14" t="s">
        <v>74</v>
      </c>
      <c r="I72" s="19">
        <v>0</v>
      </c>
      <c r="J72" s="19">
        <v>50000</v>
      </c>
      <c r="K72" s="15">
        <f t="shared" si="5"/>
        <v>50000</v>
      </c>
      <c r="L72" s="36">
        <f>3131.76+3695.88+4085+10405.47+4295.2+3853.2+3544.4</f>
        <v>33010.910000000003</v>
      </c>
      <c r="M72" s="36">
        <f>3131.76+3695.88+4085+10405.47+4295.2+3853.2+3544.4</f>
        <v>33010.910000000003</v>
      </c>
      <c r="N72" s="36">
        <f>3131.76+3695.88+4085+10405.47+4295.2+3853.2+3544.4</f>
        <v>33010.910000000003</v>
      </c>
      <c r="O72" s="36">
        <f>3131.76+3695.88+4085+10405.47+4295.2+3853.2+3544.4</f>
        <v>33010.910000000003</v>
      </c>
      <c r="P72" s="37">
        <f t="shared" si="1"/>
        <v>16989.089999999997</v>
      </c>
      <c r="Q72" s="38"/>
    </row>
    <row r="73" spans="1:17" ht="25.5">
      <c r="A73" s="9">
        <v>7</v>
      </c>
      <c r="B73" s="9">
        <v>1</v>
      </c>
      <c r="C73" s="9">
        <v>3</v>
      </c>
      <c r="D73" s="10">
        <v>1</v>
      </c>
      <c r="E73" s="11">
        <v>190</v>
      </c>
      <c r="F73" s="12">
        <v>3611</v>
      </c>
      <c r="G73" s="13">
        <v>1</v>
      </c>
      <c r="H73" s="45" t="s">
        <v>75</v>
      </c>
      <c r="I73" s="19">
        <v>0</v>
      </c>
      <c r="J73" s="19">
        <f>600000-587562</f>
        <v>12438</v>
      </c>
      <c r="K73" s="15">
        <f t="shared" si="5"/>
        <v>12438</v>
      </c>
      <c r="L73" s="36">
        <v>0</v>
      </c>
      <c r="M73" s="36">
        <v>0</v>
      </c>
      <c r="N73" s="36">
        <v>0</v>
      </c>
      <c r="O73" s="36">
        <v>0</v>
      </c>
      <c r="P73" s="37">
        <f t="shared" si="1"/>
        <v>12438</v>
      </c>
      <c r="Q73" s="38"/>
    </row>
    <row r="74" spans="1:17">
      <c r="A74" s="9">
        <v>7</v>
      </c>
      <c r="B74" s="9">
        <v>1</v>
      </c>
      <c r="C74" s="9">
        <v>3</v>
      </c>
      <c r="D74" s="10">
        <v>1</v>
      </c>
      <c r="E74" s="11">
        <v>190</v>
      </c>
      <c r="F74" s="12">
        <v>3711</v>
      </c>
      <c r="G74" s="13">
        <v>1</v>
      </c>
      <c r="H74" s="14" t="s">
        <v>76</v>
      </c>
      <c r="I74" s="19">
        <v>0</v>
      </c>
      <c r="J74" s="19">
        <v>120000</v>
      </c>
      <c r="K74" s="15">
        <f t="shared" si="5"/>
        <v>120000</v>
      </c>
      <c r="L74" s="36">
        <f>4790+15399+6546+21473.14</f>
        <v>48208.14</v>
      </c>
      <c r="M74" s="36">
        <f>4790+15399+6546+21473.14</f>
        <v>48208.14</v>
      </c>
      <c r="N74" s="36">
        <f>4790+15399+6546+21473.14</f>
        <v>48208.14</v>
      </c>
      <c r="O74" s="36">
        <f>4790+15399+6546+21473.14</f>
        <v>48208.14</v>
      </c>
      <c r="P74" s="37">
        <f t="shared" si="1"/>
        <v>71791.86</v>
      </c>
      <c r="Q74" s="38"/>
    </row>
    <row r="75" spans="1:17">
      <c r="A75" s="9">
        <v>7</v>
      </c>
      <c r="B75" s="9">
        <v>1</v>
      </c>
      <c r="C75" s="9">
        <v>3</v>
      </c>
      <c r="D75" s="10">
        <v>1</v>
      </c>
      <c r="E75" s="11">
        <v>190</v>
      </c>
      <c r="F75" s="12">
        <v>3712</v>
      </c>
      <c r="G75" s="13">
        <v>1</v>
      </c>
      <c r="H75" s="14" t="s">
        <v>77</v>
      </c>
      <c r="I75" s="19"/>
      <c r="J75" s="19">
        <v>45000</v>
      </c>
      <c r="K75" s="15">
        <f t="shared" si="5"/>
        <v>45000</v>
      </c>
      <c r="L75" s="36">
        <v>0</v>
      </c>
      <c r="M75" s="36">
        <v>0</v>
      </c>
      <c r="N75" s="36">
        <v>0</v>
      </c>
      <c r="O75" s="36">
        <v>0</v>
      </c>
      <c r="P75" s="37">
        <f t="shared" si="1"/>
        <v>45000</v>
      </c>
      <c r="Q75" s="38"/>
    </row>
    <row r="76" spans="1:17">
      <c r="A76" s="9">
        <v>7</v>
      </c>
      <c r="B76" s="9">
        <v>1</v>
      </c>
      <c r="C76" s="9">
        <v>3</v>
      </c>
      <c r="D76" s="10">
        <v>1</v>
      </c>
      <c r="E76" s="11">
        <v>190</v>
      </c>
      <c r="F76" s="12">
        <v>3721</v>
      </c>
      <c r="G76" s="13">
        <v>1</v>
      </c>
      <c r="H76" s="14" t="s">
        <v>78</v>
      </c>
      <c r="I76" s="19">
        <v>0</v>
      </c>
      <c r="J76" s="19">
        <v>22000</v>
      </c>
      <c r="K76" s="15">
        <f t="shared" si="5"/>
        <v>22000</v>
      </c>
      <c r="L76" s="36">
        <f>820+430+115+3624</f>
        <v>4989</v>
      </c>
      <c r="M76" s="36">
        <f>820+430+115+3624</f>
        <v>4989</v>
      </c>
      <c r="N76" s="36">
        <f>820+430+115+3624</f>
        <v>4989</v>
      </c>
      <c r="O76" s="36">
        <f>820+430+115+3624</f>
        <v>4989</v>
      </c>
      <c r="P76" s="37">
        <f t="shared" si="1"/>
        <v>17011</v>
      </c>
      <c r="Q76" s="38"/>
    </row>
    <row r="77" spans="1:17">
      <c r="A77" s="9">
        <v>7</v>
      </c>
      <c r="B77" s="9">
        <v>1</v>
      </c>
      <c r="C77" s="9">
        <v>3</v>
      </c>
      <c r="D77" s="10">
        <v>1</v>
      </c>
      <c r="E77" s="11">
        <v>190</v>
      </c>
      <c r="F77" s="12">
        <v>3751</v>
      </c>
      <c r="G77" s="13">
        <v>1</v>
      </c>
      <c r="H77" s="45" t="s">
        <v>79</v>
      </c>
      <c r="I77" s="15">
        <v>0</v>
      </c>
      <c r="J77" s="15">
        <v>105000</v>
      </c>
      <c r="K77" s="15">
        <f t="shared" si="5"/>
        <v>105000</v>
      </c>
      <c r="L77" s="36">
        <f>2670.68+3720+2628.5+5906.9+6341.9+23713.65+1328.4</f>
        <v>46310.030000000006</v>
      </c>
      <c r="M77" s="36">
        <f>2670.68+3720+2628.5+5906.9+6341.9+23713.65+1328.4</f>
        <v>46310.030000000006</v>
      </c>
      <c r="N77" s="36">
        <f>2670.68+3720+2628.5+5906.9+6341.9+23713.65+1328.4</f>
        <v>46310.030000000006</v>
      </c>
      <c r="O77" s="36">
        <f>2670.68+3720+2628.5+5906.9+6341.9+23713.65+1328.4</f>
        <v>46310.030000000006</v>
      </c>
      <c r="P77" s="37">
        <f t="shared" si="1"/>
        <v>58689.969999999994</v>
      </c>
      <c r="Q77" s="38"/>
    </row>
    <row r="78" spans="1:17">
      <c r="A78" s="9">
        <v>7</v>
      </c>
      <c r="B78" s="9">
        <v>1</v>
      </c>
      <c r="C78" s="9">
        <v>3</v>
      </c>
      <c r="D78" s="10">
        <v>1</v>
      </c>
      <c r="E78" s="11">
        <v>190</v>
      </c>
      <c r="F78" s="12">
        <v>3791</v>
      </c>
      <c r="G78" s="13">
        <v>1</v>
      </c>
      <c r="H78" s="53" t="s">
        <v>80</v>
      </c>
      <c r="I78" s="15">
        <v>0</v>
      </c>
      <c r="J78" s="15">
        <f>150000+147500</f>
        <v>297500</v>
      </c>
      <c r="K78" s="15">
        <f t="shared" si="5"/>
        <v>297500</v>
      </c>
      <c r="L78" s="36">
        <f>10907+12379.99+12103.99+35660.97+209594.97</f>
        <v>280646.92</v>
      </c>
      <c r="M78" s="36">
        <f>10907+12379.99+12103.99+35660.97+209594.97</f>
        <v>280646.92</v>
      </c>
      <c r="N78" s="36">
        <f>10907+12379.99+12103.99+35660.97+209594.97</f>
        <v>280646.92</v>
      </c>
      <c r="O78" s="36">
        <f>10907+12379.99+12103.99+35660.97+209594.97</f>
        <v>280646.92</v>
      </c>
      <c r="P78" s="37">
        <f t="shared" si="1"/>
        <v>16853.080000000016</v>
      </c>
      <c r="Q78" s="38"/>
    </row>
    <row r="79" spans="1:17">
      <c r="A79" s="9">
        <v>7</v>
      </c>
      <c r="B79" s="9">
        <v>1</v>
      </c>
      <c r="C79" s="9">
        <v>3</v>
      </c>
      <c r="D79" s="10">
        <v>1</v>
      </c>
      <c r="E79" s="11">
        <v>190</v>
      </c>
      <c r="F79" s="12">
        <v>3831</v>
      </c>
      <c r="G79" s="13">
        <v>1</v>
      </c>
      <c r="H79" s="14" t="s">
        <v>81</v>
      </c>
      <c r="I79" s="15">
        <v>0</v>
      </c>
      <c r="J79" s="15">
        <v>190000</v>
      </c>
      <c r="K79" s="15">
        <f t="shared" si="5"/>
        <v>190000</v>
      </c>
      <c r="L79" s="36">
        <f>11645.99+6394.7+6002.6+18793.23+14593</f>
        <v>57429.520000000004</v>
      </c>
      <c r="M79" s="36">
        <f>11645.99+6394.7+6002.6+18793.23+14593</f>
        <v>57429.520000000004</v>
      </c>
      <c r="N79" s="36">
        <f>11645.99+6394.7+6002.6+18793.23+14593</f>
        <v>57429.520000000004</v>
      </c>
      <c r="O79" s="36">
        <f>11645.99+6394.7+6002.6+18793.23+14593</f>
        <v>57429.520000000004</v>
      </c>
      <c r="P79" s="37">
        <f t="shared" si="1"/>
        <v>132570.47999999998</v>
      </c>
      <c r="Q79" s="38"/>
    </row>
    <row r="80" spans="1:17">
      <c r="A80" s="9">
        <v>7</v>
      </c>
      <c r="B80" s="9">
        <v>1</v>
      </c>
      <c r="C80" s="9">
        <v>3</v>
      </c>
      <c r="D80" s="10">
        <v>1</v>
      </c>
      <c r="E80" s="11">
        <v>190</v>
      </c>
      <c r="F80" s="12">
        <v>3851</v>
      </c>
      <c r="G80" s="13">
        <v>1</v>
      </c>
      <c r="H80" s="14" t="s">
        <v>82</v>
      </c>
      <c r="I80" s="15">
        <v>0</v>
      </c>
      <c r="J80" s="15">
        <v>120000</v>
      </c>
      <c r="K80" s="15">
        <f t="shared" si="5"/>
        <v>120000</v>
      </c>
      <c r="L80" s="36">
        <f>4541.05+5553.73+8277.51+30134.27+2827.71+5524.49+17916.9</f>
        <v>74775.66</v>
      </c>
      <c r="M80" s="36">
        <f>4541.05+5553.73+8277.51+30134.27+2827.71+5524.49+17916.9</f>
        <v>74775.66</v>
      </c>
      <c r="N80" s="36">
        <f>4541.05+5553.73+8277.51+30134.27+2827.71+5524.49+17916.9</f>
        <v>74775.66</v>
      </c>
      <c r="O80" s="36">
        <f>4541.05+5553.73+8277.51+30134.27+2827.71+5524.49+17916.9</f>
        <v>74775.66</v>
      </c>
      <c r="P80" s="37">
        <f t="shared" ref="P80:P94" si="10">K80-L80</f>
        <v>45224.34</v>
      </c>
      <c r="Q80" s="38"/>
    </row>
    <row r="81" spans="1:17">
      <c r="A81" s="21">
        <v>7</v>
      </c>
      <c r="B81" s="21">
        <v>1</v>
      </c>
      <c r="C81" s="21">
        <v>3</v>
      </c>
      <c r="D81" s="22">
        <v>1</v>
      </c>
      <c r="E81" s="11">
        <v>190</v>
      </c>
      <c r="F81" s="23">
        <v>3921</v>
      </c>
      <c r="G81" s="24">
        <v>1</v>
      </c>
      <c r="H81" s="14" t="s">
        <v>83</v>
      </c>
      <c r="I81" s="15">
        <v>0</v>
      </c>
      <c r="J81" s="15">
        <v>600000</v>
      </c>
      <c r="K81" s="15">
        <f t="shared" si="5"/>
        <v>600000</v>
      </c>
      <c r="L81" s="36">
        <f>3218+10579+150664.07+14493+30517.75+73611.22</f>
        <v>283083.04000000004</v>
      </c>
      <c r="M81" s="36">
        <f>3218+10579+150664.07+14493+30517.75+73611.22</f>
        <v>283083.04000000004</v>
      </c>
      <c r="N81" s="36">
        <f>3218+10579+150664.07+14493+30517.75+73611.22</f>
        <v>283083.04000000004</v>
      </c>
      <c r="O81" s="36">
        <f>3218+10579+150664.07+14493+30517.75+73611.22</f>
        <v>283083.04000000004</v>
      </c>
      <c r="P81" s="37">
        <f t="shared" si="10"/>
        <v>316916.95999999996</v>
      </c>
      <c r="Q81" s="38"/>
    </row>
    <row r="82" spans="1:17">
      <c r="A82" s="25"/>
      <c r="B82" s="26"/>
      <c r="C82" s="26"/>
      <c r="D82" s="26"/>
      <c r="E82" s="26"/>
      <c r="F82" s="54"/>
      <c r="G82" s="55"/>
      <c r="H82" s="29" t="s">
        <v>84</v>
      </c>
      <c r="I82" s="56">
        <v>0</v>
      </c>
      <c r="J82" s="30">
        <f t="shared" ref="J82" si="11">SUM(J51:J81)</f>
        <v>5167058</v>
      </c>
      <c r="K82" s="30">
        <f>SUM(K51:K81)</f>
        <v>5167058</v>
      </c>
      <c r="L82" s="30">
        <f t="shared" ref="L82:P82" si="12">SUM(L51:L81)</f>
        <v>2294343.0199999996</v>
      </c>
      <c r="M82" s="30">
        <f t="shared" si="12"/>
        <v>2294343.0199999996</v>
      </c>
      <c r="N82" s="30">
        <f t="shared" si="12"/>
        <v>2294343.0199999996</v>
      </c>
      <c r="O82" s="30">
        <f t="shared" si="12"/>
        <v>2294343.0199999996</v>
      </c>
      <c r="P82" s="30">
        <f t="shared" si="12"/>
        <v>2872714.98</v>
      </c>
      <c r="Q82" s="31"/>
    </row>
    <row r="83" spans="1:17">
      <c r="A83" s="32">
        <v>7</v>
      </c>
      <c r="B83" s="32">
        <v>1</v>
      </c>
      <c r="C83" s="32">
        <v>3</v>
      </c>
      <c r="D83" s="33">
        <v>1</v>
      </c>
      <c r="E83" s="11">
        <v>190</v>
      </c>
      <c r="F83" s="57">
        <v>4154</v>
      </c>
      <c r="G83" s="58">
        <v>2</v>
      </c>
      <c r="H83" s="59" t="s">
        <v>85</v>
      </c>
      <c r="I83" s="60">
        <v>31110000</v>
      </c>
      <c r="J83" s="60">
        <v>2938551</v>
      </c>
      <c r="K83" s="19">
        <f t="shared" si="5"/>
        <v>34048551</v>
      </c>
      <c r="L83" s="19">
        <f>690000+1998152+105235.2+198485.09+1895953.13+5000000+341940.61+8000000+382599.99+1389189.5+783000+827585.3+144287.48+160000+850000+1825474.6+295000+420000+798019.28+234126.16+270000+207444.77+1300000+249015+750000+180000+400000+200000+242602.01+323830.26+214833.86</f>
        <v>30676774.240000006</v>
      </c>
      <c r="M83" s="36">
        <f>105235.2+1895953.13+690000+2380751.99+2500000+341940.61+255560+783000+827585.3+144287.48+99232.59+850000+1825474.6+295000+3838125.65+1250000+526714.84+1389189.5+234126.16+270000+249015+2818206.29+4814747.04</f>
        <v>28384145.379999999</v>
      </c>
      <c r="N83" s="36">
        <f t="shared" ref="N83:O83" si="13">105235.2+1895953.13+690000+2380751.99+2500000+341940.61+255560+783000+827585.3+144287.48+99232.59+850000+1825474.6+295000+3838125.65+1250000+526714.84+1389189.5+234126.16+270000+249015+2818206.29+4814747.04</f>
        <v>28384145.379999999</v>
      </c>
      <c r="O83" s="36">
        <f t="shared" si="13"/>
        <v>28384145.379999999</v>
      </c>
      <c r="P83" s="36">
        <f t="shared" si="10"/>
        <v>3371776.7599999942</v>
      </c>
    </row>
    <row r="84" spans="1:17">
      <c r="A84" s="61"/>
      <c r="B84" s="61"/>
      <c r="C84" s="61"/>
      <c r="D84" s="62"/>
      <c r="E84" s="11"/>
      <c r="F84" s="57">
        <v>4154</v>
      </c>
      <c r="G84" s="58">
        <v>2</v>
      </c>
      <c r="H84" s="59" t="s">
        <v>85</v>
      </c>
      <c r="I84" s="60"/>
      <c r="J84" s="60">
        <v>31674473.32</v>
      </c>
      <c r="K84" s="19">
        <f t="shared" si="5"/>
        <v>31674473.32</v>
      </c>
      <c r="L84" s="19">
        <v>0</v>
      </c>
      <c r="M84" s="19">
        <v>0</v>
      </c>
      <c r="N84" s="19">
        <v>0</v>
      </c>
      <c r="O84" s="19">
        <v>0</v>
      </c>
      <c r="P84" s="36">
        <f t="shared" si="10"/>
        <v>31674473.32</v>
      </c>
    </row>
    <row r="85" spans="1:17">
      <c r="A85" s="61"/>
      <c r="B85" s="61"/>
      <c r="C85" s="61"/>
      <c r="D85" s="62"/>
      <c r="E85" s="11"/>
      <c r="F85" s="63">
        <v>4331</v>
      </c>
      <c r="G85" s="64">
        <v>2</v>
      </c>
      <c r="H85" s="59" t="s">
        <v>86</v>
      </c>
      <c r="I85" s="60"/>
      <c r="J85" s="60">
        <f>2300000-3811.47</f>
        <v>2296188.5299999998</v>
      </c>
      <c r="K85" s="19">
        <f t="shared" si="5"/>
        <v>2296188.5299999998</v>
      </c>
      <c r="L85" s="19">
        <f>2300000-3811.47</f>
        <v>2296188.5299999998</v>
      </c>
      <c r="M85" s="19">
        <f t="shared" ref="M85:O85" si="14">2300000-3811.47</f>
        <v>2296188.5299999998</v>
      </c>
      <c r="N85" s="19">
        <f t="shared" si="14"/>
        <v>2296188.5299999998</v>
      </c>
      <c r="O85" s="19">
        <f t="shared" si="14"/>
        <v>2296188.5299999998</v>
      </c>
      <c r="P85" s="36">
        <f t="shared" si="10"/>
        <v>0</v>
      </c>
    </row>
    <row r="86" spans="1:17" s="1" customFormat="1">
      <c r="A86" s="21">
        <v>7</v>
      </c>
      <c r="B86" s="21">
        <v>1</v>
      </c>
      <c r="C86" s="21">
        <v>3</v>
      </c>
      <c r="D86" s="22">
        <v>1</v>
      </c>
      <c r="E86" s="11">
        <v>190</v>
      </c>
      <c r="F86" s="40">
        <v>4419</v>
      </c>
      <c r="G86" s="24">
        <v>1</v>
      </c>
      <c r="H86" s="65" t="s">
        <v>87</v>
      </c>
      <c r="I86" s="15"/>
      <c r="J86" s="15">
        <v>200000</v>
      </c>
      <c r="K86" s="15">
        <f t="shared" si="5"/>
        <v>200000</v>
      </c>
      <c r="L86" s="36">
        <f>6482+319+2615+17499+7248.14</f>
        <v>34163.14</v>
      </c>
      <c r="M86" s="36">
        <f>6482+319+2615+17499+7248.14</f>
        <v>34163.14</v>
      </c>
      <c r="N86" s="36">
        <f>6482+319+2615+17499+7248.14</f>
        <v>34163.14</v>
      </c>
      <c r="O86" s="36">
        <f>6482+319+2615+17499+7248.14</f>
        <v>34163.14</v>
      </c>
      <c r="P86" s="37">
        <f t="shared" si="10"/>
        <v>165836.85999999999</v>
      </c>
    </row>
    <row r="87" spans="1:17" s="1" customFormat="1">
      <c r="A87" s="66"/>
      <c r="B87" s="67"/>
      <c r="C87" s="67"/>
      <c r="D87" s="67"/>
      <c r="E87" s="67"/>
      <c r="F87" s="54"/>
      <c r="G87" s="55"/>
      <c r="H87" s="29" t="s">
        <v>88</v>
      </c>
      <c r="I87" s="30">
        <f>SUM(I83:I86)</f>
        <v>31110000</v>
      </c>
      <c r="J87" s="30">
        <f>SUM(J83:J86)</f>
        <v>37109212.850000001</v>
      </c>
      <c r="K87" s="30">
        <f>SUM(K83:K86)</f>
        <v>68219212.849999994</v>
      </c>
      <c r="L87" s="30">
        <f t="shared" ref="L87:P87" si="15">SUM(L83:L86)</f>
        <v>33007125.910000008</v>
      </c>
      <c r="M87" s="30">
        <f t="shared" si="15"/>
        <v>30714497.050000001</v>
      </c>
      <c r="N87" s="30">
        <f t="shared" si="15"/>
        <v>30714497.050000001</v>
      </c>
      <c r="O87" s="30">
        <f t="shared" si="15"/>
        <v>30714497.050000001</v>
      </c>
      <c r="P87" s="30">
        <f t="shared" si="15"/>
        <v>35212086.939999998</v>
      </c>
      <c r="Q87" s="31"/>
    </row>
    <row r="88" spans="1:17" s="1" customFormat="1">
      <c r="A88" s="32">
        <v>7</v>
      </c>
      <c r="B88" s="32">
        <v>1</v>
      </c>
      <c r="C88" s="32">
        <v>3</v>
      </c>
      <c r="D88" s="33">
        <v>1</v>
      </c>
      <c r="E88" s="11">
        <v>190</v>
      </c>
      <c r="F88" s="41">
        <v>5111</v>
      </c>
      <c r="G88" s="35">
        <v>1</v>
      </c>
      <c r="H88" s="14" t="s">
        <v>89</v>
      </c>
      <c r="I88" s="15">
        <v>0</v>
      </c>
      <c r="J88" s="15">
        <v>200000</v>
      </c>
      <c r="K88" s="15">
        <f t="shared" si="5"/>
        <v>200000</v>
      </c>
      <c r="L88" s="36">
        <f t="shared" ref="L88:M88" si="16">58066.02+1890.8</f>
        <v>59956.82</v>
      </c>
      <c r="M88" s="36">
        <f t="shared" si="16"/>
        <v>59956.82</v>
      </c>
      <c r="N88" s="36">
        <f>58066.02+1890.8</f>
        <v>59956.82</v>
      </c>
      <c r="O88" s="36">
        <f>58066.02+1890.8</f>
        <v>59956.82</v>
      </c>
      <c r="P88" s="37">
        <f t="shared" si="10"/>
        <v>140043.18</v>
      </c>
    </row>
    <row r="89" spans="1:17" s="1" customFormat="1">
      <c r="A89" s="9">
        <v>7</v>
      </c>
      <c r="B89" s="9">
        <v>1</v>
      </c>
      <c r="C89" s="9">
        <v>3</v>
      </c>
      <c r="D89" s="10">
        <v>1</v>
      </c>
      <c r="E89" s="11">
        <v>190</v>
      </c>
      <c r="F89" s="12">
        <v>5151</v>
      </c>
      <c r="G89" s="13">
        <v>1</v>
      </c>
      <c r="H89" s="14" t="s">
        <v>90</v>
      </c>
      <c r="I89" s="15">
        <v>0</v>
      </c>
      <c r="J89" s="15">
        <v>180000</v>
      </c>
      <c r="K89" s="15">
        <f t="shared" si="5"/>
        <v>180000</v>
      </c>
      <c r="L89" s="36">
        <v>149606.94</v>
      </c>
      <c r="M89" s="36">
        <v>149606.94</v>
      </c>
      <c r="N89" s="36">
        <v>149606.94</v>
      </c>
      <c r="O89" s="36">
        <v>149606.94</v>
      </c>
      <c r="P89" s="37">
        <f t="shared" si="10"/>
        <v>30393.059999999998</v>
      </c>
    </row>
    <row r="90" spans="1:17" s="1" customFormat="1">
      <c r="A90" s="9">
        <v>7</v>
      </c>
      <c r="B90" s="9">
        <v>1</v>
      </c>
      <c r="C90" s="9">
        <v>3</v>
      </c>
      <c r="D90" s="10">
        <v>1</v>
      </c>
      <c r="E90" s="11">
        <v>190</v>
      </c>
      <c r="F90" s="12">
        <v>5191</v>
      </c>
      <c r="G90" s="13">
        <v>1</v>
      </c>
      <c r="H90" s="14" t="s">
        <v>91</v>
      </c>
      <c r="I90" s="15">
        <v>0</v>
      </c>
      <c r="J90" s="15">
        <v>180000</v>
      </c>
      <c r="K90" s="15">
        <f t="shared" si="5"/>
        <v>180000</v>
      </c>
      <c r="L90" s="36">
        <f t="shared" ref="L90:M90" si="17">3399+714+725+1299+15998+1869.15</f>
        <v>24004.15</v>
      </c>
      <c r="M90" s="36">
        <f t="shared" si="17"/>
        <v>24004.15</v>
      </c>
      <c r="N90" s="36">
        <f>3399+714+725+1299+15998+1869.15</f>
        <v>24004.15</v>
      </c>
      <c r="O90" s="36">
        <f>3399+714+725+1299+15998+1869.15</f>
        <v>24004.15</v>
      </c>
      <c r="P90" s="37">
        <f t="shared" si="10"/>
        <v>155995.85</v>
      </c>
    </row>
    <row r="91" spans="1:17" s="1" customFormat="1" ht="25.5">
      <c r="A91" s="9">
        <v>7</v>
      </c>
      <c r="B91" s="9">
        <v>1</v>
      </c>
      <c r="C91" s="9">
        <v>3</v>
      </c>
      <c r="D91" s="10">
        <v>1</v>
      </c>
      <c r="E91" s="11">
        <v>190</v>
      </c>
      <c r="F91" s="12">
        <v>5411</v>
      </c>
      <c r="G91" s="13">
        <v>1</v>
      </c>
      <c r="H91" s="14" t="s">
        <v>92</v>
      </c>
      <c r="I91" s="15">
        <v>0</v>
      </c>
      <c r="J91" s="15">
        <v>1000000</v>
      </c>
      <c r="K91" s="15">
        <f>+J91</f>
        <v>1000000</v>
      </c>
      <c r="L91" s="36">
        <v>529999.99</v>
      </c>
      <c r="M91" s="36">
        <v>529999.99</v>
      </c>
      <c r="N91" s="36">
        <v>529999.99</v>
      </c>
      <c r="O91" s="36">
        <v>529999.99</v>
      </c>
      <c r="P91" s="37">
        <f t="shared" si="10"/>
        <v>470000.01</v>
      </c>
    </row>
    <row r="92" spans="1:17" s="1" customFormat="1">
      <c r="A92" s="9">
        <v>7</v>
      </c>
      <c r="B92" s="9">
        <v>1</v>
      </c>
      <c r="C92" s="9">
        <v>3</v>
      </c>
      <c r="D92" s="10">
        <v>1</v>
      </c>
      <c r="E92" s="11">
        <v>190</v>
      </c>
      <c r="F92" s="12">
        <v>5651</v>
      </c>
      <c r="G92" s="13">
        <v>1</v>
      </c>
      <c r="H92" s="14" t="s">
        <v>93</v>
      </c>
      <c r="I92" s="15">
        <v>0</v>
      </c>
      <c r="J92" s="15">
        <v>30000</v>
      </c>
      <c r="K92" s="15">
        <f t="shared" si="5"/>
        <v>30000</v>
      </c>
      <c r="L92" s="36">
        <v>0</v>
      </c>
      <c r="M92" s="36">
        <v>0</v>
      </c>
      <c r="N92" s="36">
        <v>0</v>
      </c>
      <c r="O92" s="36">
        <v>0</v>
      </c>
      <c r="P92" s="37">
        <f t="shared" si="10"/>
        <v>30000</v>
      </c>
    </row>
    <row r="93" spans="1:17" s="1" customFormat="1">
      <c r="A93" s="9">
        <v>7</v>
      </c>
      <c r="B93" s="9">
        <v>1</v>
      </c>
      <c r="C93" s="9">
        <v>3</v>
      </c>
      <c r="D93" s="10">
        <v>1</v>
      </c>
      <c r="E93" s="11">
        <v>190</v>
      </c>
      <c r="F93" s="12">
        <v>5911</v>
      </c>
      <c r="G93" s="13">
        <v>1</v>
      </c>
      <c r="H93" s="14" t="s">
        <v>94</v>
      </c>
      <c r="I93" s="15">
        <v>0</v>
      </c>
      <c r="J93" s="15">
        <v>300000</v>
      </c>
      <c r="K93" s="15">
        <f t="shared" si="5"/>
        <v>300000</v>
      </c>
      <c r="L93" s="36">
        <v>0</v>
      </c>
      <c r="M93" s="36">
        <v>0</v>
      </c>
      <c r="N93" s="36">
        <v>0</v>
      </c>
      <c r="O93" s="36">
        <v>0</v>
      </c>
      <c r="P93" s="37">
        <f t="shared" si="10"/>
        <v>300000</v>
      </c>
    </row>
    <row r="94" spans="1:17" s="1" customFormat="1">
      <c r="A94" s="21">
        <v>7</v>
      </c>
      <c r="B94" s="21">
        <v>1</v>
      </c>
      <c r="C94" s="21">
        <v>3</v>
      </c>
      <c r="D94" s="22">
        <v>1</v>
      </c>
      <c r="E94" s="11">
        <v>190</v>
      </c>
      <c r="F94" s="23">
        <v>5971</v>
      </c>
      <c r="G94" s="24">
        <v>1</v>
      </c>
      <c r="H94" s="14" t="s">
        <v>95</v>
      </c>
      <c r="I94" s="15">
        <v>0</v>
      </c>
      <c r="J94" s="15">
        <v>100000</v>
      </c>
      <c r="K94" s="15">
        <f t="shared" si="5"/>
        <v>100000</v>
      </c>
      <c r="L94" s="36">
        <v>0</v>
      </c>
      <c r="M94" s="36">
        <v>0</v>
      </c>
      <c r="N94" s="36">
        <v>0</v>
      </c>
      <c r="O94" s="36">
        <v>0</v>
      </c>
      <c r="P94" s="37">
        <f t="shared" si="10"/>
        <v>100000</v>
      </c>
    </row>
    <row r="95" spans="1:17" s="1" customFormat="1">
      <c r="A95" s="68"/>
      <c r="B95" s="69"/>
      <c r="C95" s="69"/>
      <c r="D95" s="69"/>
      <c r="E95" s="69"/>
      <c r="F95" s="70"/>
      <c r="G95" s="71"/>
      <c r="H95" s="29" t="s">
        <v>96</v>
      </c>
      <c r="I95" s="30">
        <v>0</v>
      </c>
      <c r="J95" s="30">
        <f>SUM(J88:J94)</f>
        <v>1990000</v>
      </c>
      <c r="K95" s="30">
        <f>SUM(K88:K94)</f>
        <v>1990000</v>
      </c>
      <c r="L95" s="30">
        <f t="shared" ref="L95:P95" si="18">SUM(L88:L94)</f>
        <v>763567.9</v>
      </c>
      <c r="M95" s="30">
        <f t="shared" si="18"/>
        <v>763567.9</v>
      </c>
      <c r="N95" s="30">
        <f t="shared" si="18"/>
        <v>763567.9</v>
      </c>
      <c r="O95" s="30">
        <f t="shared" si="18"/>
        <v>763567.9</v>
      </c>
      <c r="P95" s="30">
        <f t="shared" si="18"/>
        <v>1226432.1000000001</v>
      </c>
      <c r="Q95" s="31"/>
    </row>
    <row r="96" spans="1:17" s="1" customFormat="1">
      <c r="A96" s="80" t="s">
        <v>97</v>
      </c>
      <c r="B96" s="81"/>
      <c r="C96" s="81"/>
      <c r="D96" s="81"/>
      <c r="E96" s="81"/>
      <c r="F96" s="81"/>
      <c r="G96" s="82"/>
      <c r="H96" s="29"/>
      <c r="I96" s="30">
        <f>I30+I50+I82+I87+I95</f>
        <v>41461334.43</v>
      </c>
      <c r="J96" s="30">
        <f>J30+J50+J82+J87+J95</f>
        <v>47540086.840000004</v>
      </c>
      <c r="K96" s="30">
        <f>K30+K50+K82+K87+K95</f>
        <v>89001421.269999996</v>
      </c>
      <c r="L96" s="30">
        <f t="shared" ref="L96:P96" si="19">L30+L50+L82+L87+L95</f>
        <v>48838713.720000006</v>
      </c>
      <c r="M96" s="30">
        <f t="shared" si="19"/>
        <v>43186901.189999998</v>
      </c>
      <c r="N96" s="30">
        <f t="shared" si="19"/>
        <v>43186901.189999998</v>
      </c>
      <c r="O96" s="30">
        <f t="shared" si="19"/>
        <v>43186901.189999998</v>
      </c>
      <c r="P96" s="30">
        <f t="shared" si="19"/>
        <v>40162707.549999997</v>
      </c>
    </row>
    <row r="97" spans="1:17" s="1" customFormat="1">
      <c r="F97" s="3"/>
      <c r="G97" s="3"/>
      <c r="H97" s="3"/>
      <c r="I97" s="3"/>
      <c r="J97" s="3"/>
      <c r="K97" s="3"/>
      <c r="L97" s="3"/>
    </row>
    <row r="98" spans="1:17" s="1" customFormat="1">
      <c r="F98" s="3"/>
      <c r="G98" s="3"/>
      <c r="H98" s="3"/>
      <c r="I98" s="3"/>
      <c r="J98" s="3"/>
      <c r="K98" s="31"/>
      <c r="L98" s="3"/>
    </row>
    <row r="99" spans="1:17" s="1" customFormat="1">
      <c r="F99" s="3"/>
      <c r="G99" s="3"/>
      <c r="H99" s="3"/>
      <c r="I99" s="3"/>
      <c r="J99" s="3"/>
      <c r="K99" s="3"/>
      <c r="L99" s="3"/>
    </row>
    <row r="100" spans="1:17" s="1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1"/>
      <c r="L100" s="3"/>
      <c r="O100" s="3"/>
      <c r="P100" s="3"/>
      <c r="Q100" s="3"/>
    </row>
    <row r="102" spans="1:17" s="1" customFormat="1">
      <c r="A102" s="3"/>
      <c r="B102" s="3"/>
      <c r="C102" s="3"/>
      <c r="D102" s="3"/>
      <c r="E102" s="3"/>
      <c r="F102" s="3"/>
      <c r="G102" s="3"/>
      <c r="H102" s="3"/>
      <c r="I102" s="72"/>
      <c r="J102" s="73"/>
      <c r="K102" s="31"/>
      <c r="L102" s="3"/>
      <c r="O102" s="3"/>
      <c r="P102" s="3"/>
      <c r="Q102" s="3"/>
    </row>
    <row r="103" spans="1:17" s="1" customFormat="1">
      <c r="A103" s="3"/>
      <c r="B103" s="3"/>
      <c r="C103" s="3"/>
      <c r="D103" s="3"/>
      <c r="E103" s="3"/>
      <c r="F103" s="3"/>
      <c r="G103" s="3"/>
      <c r="H103" s="74"/>
      <c r="I103" s="75"/>
      <c r="J103" s="76"/>
      <c r="K103" s="3"/>
      <c r="L103" s="3"/>
      <c r="O103" s="3"/>
      <c r="P103" s="3"/>
      <c r="Q103" s="3"/>
    </row>
    <row r="104" spans="1:17" s="1" customFormat="1">
      <c r="A104" s="3"/>
      <c r="B104" s="3"/>
      <c r="C104" s="3"/>
      <c r="D104" s="3"/>
      <c r="E104" s="3"/>
      <c r="F104" s="3"/>
      <c r="G104" s="3"/>
      <c r="H104" s="76"/>
      <c r="I104" s="75"/>
      <c r="J104" s="76"/>
      <c r="K104" s="3"/>
      <c r="L104" s="3"/>
      <c r="O104" s="3"/>
      <c r="P104" s="3"/>
      <c r="Q104" s="3"/>
    </row>
    <row r="105" spans="1:17" s="1" customFormat="1">
      <c r="A105" s="3"/>
      <c r="B105" s="3"/>
      <c r="C105" s="3"/>
      <c r="D105" s="3"/>
      <c r="E105" s="3"/>
      <c r="F105" s="3"/>
      <c r="G105" s="3"/>
      <c r="H105" s="76"/>
      <c r="I105" s="75"/>
      <c r="J105" s="76"/>
      <c r="K105" s="3"/>
      <c r="L105" s="3"/>
      <c r="O105" s="3"/>
      <c r="P105" s="3"/>
      <c r="Q105" s="3"/>
    </row>
    <row r="106" spans="1:17" s="1" customFormat="1">
      <c r="A106" s="3"/>
      <c r="B106" s="3"/>
      <c r="C106" s="3"/>
      <c r="D106" s="3"/>
      <c r="E106" s="3"/>
      <c r="F106" s="3"/>
      <c r="G106" s="3"/>
      <c r="H106" s="77"/>
      <c r="I106" s="75"/>
      <c r="J106" s="76"/>
      <c r="K106" s="3"/>
      <c r="L106" s="3"/>
      <c r="O106" s="3"/>
      <c r="P106" s="3"/>
      <c r="Q106" s="3"/>
    </row>
    <row r="107" spans="1:17" s="1" customFormat="1">
      <c r="A107" s="3"/>
      <c r="B107" s="3"/>
      <c r="C107" s="3"/>
      <c r="D107" s="3"/>
      <c r="E107" s="3"/>
      <c r="F107" s="3"/>
      <c r="G107" s="3"/>
      <c r="H107" s="77"/>
      <c r="I107" s="75"/>
      <c r="J107" s="76"/>
      <c r="K107" s="3"/>
      <c r="L107" s="3"/>
      <c r="O107" s="3"/>
      <c r="P107" s="3"/>
      <c r="Q107" s="3"/>
    </row>
    <row r="108" spans="1:17" s="1" customFormat="1">
      <c r="A108" s="3"/>
      <c r="B108" s="3"/>
      <c r="C108" s="3"/>
      <c r="D108" s="3"/>
      <c r="E108" s="3"/>
      <c r="F108" s="3"/>
      <c r="G108" s="3"/>
      <c r="H108" s="77"/>
      <c r="I108" s="75"/>
      <c r="J108" s="76"/>
      <c r="K108" s="3"/>
      <c r="L108" s="3"/>
      <c r="O108" s="3"/>
      <c r="P108" s="3"/>
      <c r="Q108" s="3"/>
    </row>
    <row r="109" spans="1:17" s="1" customFormat="1">
      <c r="A109" s="3"/>
      <c r="B109" s="3"/>
      <c r="C109" s="3"/>
      <c r="D109" s="3"/>
      <c r="E109" s="3"/>
      <c r="F109" s="3"/>
      <c r="G109" s="3"/>
      <c r="H109" s="76"/>
      <c r="I109" s="75"/>
      <c r="J109" s="76"/>
      <c r="K109" s="3"/>
      <c r="L109" s="3"/>
      <c r="O109" s="3"/>
      <c r="P109" s="3"/>
      <c r="Q109" s="3"/>
    </row>
    <row r="110" spans="1:17" s="1" customFormat="1">
      <c r="A110" s="3"/>
      <c r="B110" s="3"/>
      <c r="C110" s="3"/>
      <c r="D110" s="3"/>
      <c r="E110" s="3"/>
      <c r="F110" s="3"/>
      <c r="G110" s="3"/>
      <c r="H110" s="76"/>
      <c r="I110" s="75"/>
      <c r="J110" s="76"/>
      <c r="K110" s="3"/>
      <c r="L110" s="3"/>
      <c r="O110" s="3"/>
      <c r="P110" s="3"/>
      <c r="Q110" s="3"/>
    </row>
    <row r="111" spans="1:17" s="1" customFormat="1">
      <c r="A111" s="3"/>
      <c r="B111" s="3"/>
      <c r="C111" s="3"/>
      <c r="D111" s="3"/>
      <c r="E111" s="3"/>
      <c r="F111" s="3"/>
      <c r="G111" s="3"/>
      <c r="H111" s="76"/>
      <c r="I111" s="75"/>
      <c r="J111" s="76"/>
      <c r="K111" s="3"/>
      <c r="L111" s="3"/>
      <c r="O111" s="3"/>
      <c r="P111" s="3"/>
      <c r="Q111" s="3"/>
    </row>
    <row r="112" spans="1:17" s="1" customFormat="1">
      <c r="A112" s="3"/>
      <c r="B112" s="3"/>
      <c r="C112" s="3"/>
      <c r="D112" s="3"/>
      <c r="E112" s="3"/>
      <c r="F112" s="3"/>
      <c r="G112" s="3"/>
      <c r="H112" s="76"/>
      <c r="I112" s="75"/>
      <c r="J112" s="76"/>
      <c r="K112" s="3"/>
      <c r="L112" s="3"/>
      <c r="O112" s="3"/>
      <c r="P112" s="3"/>
      <c r="Q112" s="3"/>
    </row>
    <row r="113" spans="8:10">
      <c r="H113" s="76"/>
      <c r="I113" s="75"/>
      <c r="J113" s="76"/>
    </row>
    <row r="114" spans="8:10">
      <c r="H114" s="76"/>
      <c r="I114" s="75"/>
      <c r="J114" s="76"/>
    </row>
    <row r="115" spans="8:10">
      <c r="I115" s="78"/>
    </row>
    <row r="116" spans="8:10">
      <c r="H116" s="3" t="s">
        <v>98</v>
      </c>
      <c r="I116" s="78"/>
    </row>
    <row r="117" spans="8:10">
      <c r="I117" s="78"/>
    </row>
  </sheetData>
  <mergeCells count="4">
    <mergeCell ref="A7:P7"/>
    <mergeCell ref="A11:P11"/>
    <mergeCell ref="F9:P9"/>
    <mergeCell ref="A96:G96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PRESUP.TRIM.ENE-SEPT.2015</vt:lpstr>
      <vt:lpstr>'PRESUP.TRIM.ENE-SEPT.2015'!Área_de_impresión</vt:lpstr>
      <vt:lpstr>'PRESUP.TRIM.ENE-SEPT.2015'!Títulos_a_imprimir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2016-05-20T21:28:42Z</dcterms:created>
  <dcterms:modified xsi:type="dcterms:W3CDTF">2016-05-20T21:51:09Z</dcterms:modified>
</cp:coreProperties>
</file>