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05" yWindow="65521" windowWidth="11910" windowHeight="1147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 name="Hoja1" sheetId="9" r:id="rId9"/>
  </sheets>
  <definedNames>
    <definedName name="_xlnm.Print_Area" localSheetId="4">'P'!$A$1:$M$188</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<sst xmlns="http://schemas.openxmlformats.org/spreadsheetml/2006/main" count="1779" uniqueCount="1419">
  <si>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</si>
  <si>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</si>
  <si>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</si>
  <si>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</si>
  <si>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</si>
  <si>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</si>
  <si>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</si>
  <si>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</si>
  <si>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</si>
  <si>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</si>
  <si>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</si>
  <si>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</si>
  <si>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</si>
  <si>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</si>
  <si>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</si>
  <si>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</si>
  <si>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</si>
  <si>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</si>
  <si>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</si>
  <si>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</si>
  <si>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</si>
  <si>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</si>
  <si>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</si>
  <si>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</si>
  <si>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</si>
  <si>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</si>
  <si>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</si>
  <si>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</si>
  <si>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</si>
  <si>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</si>
  <si>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</si>
  <si>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</si>
  <si>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</si>
  <si>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</si>
  <si>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</si>
  <si>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</si>
  <si>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</si>
  <si>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</si>
  <si>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</si>
  <si>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</si>
  <si>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</si>
  <si>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</si>
  <si>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</si>
  <si>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</si>
  <si>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</si>
  <si>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</si>
  <si>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</si>
  <si>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</si>
  <si>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</si>
  <si>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</si>
  <si>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</si>
  <si>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</si>
  <si>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</si>
  <si>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</si>
  <si>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</si>
  <si>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</si>
  <si>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</si>
  <si>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</si>
  <si>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</si>
  <si>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</si>
  <si>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</si>
  <si>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</si>
  <si>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</si>
  <si>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</si>
  <si>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</si>
  <si>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</si>
  <si>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</si>
  <si>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</si>
  <si>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</si>
  <si>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</si>
  <si>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</si>
  <si>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</si>
  <si>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</si>
  <si>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</si>
  <si>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</si>
  <si>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</si>
  <si>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</si>
  <si>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</si>
  <si>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</si>
  <si>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</si>
  <si>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</si>
  <si>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</si>
  <si>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</si>
  <si>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</si>
  <si>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</si>
  <si>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</si>
  <si>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</si>
  <si>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</si>
  <si>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</si>
  <si>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</si>
  <si>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</si>
  <si>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</si>
  <si>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</si>
  <si>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</si>
  <si>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</si>
  <si>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</si>
  <si>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</si>
  <si>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</si>
  <si>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</si>
  <si>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</si>
  <si>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</si>
  <si>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</si>
  <si>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</si>
  <si>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</si>
  <si>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</si>
  <si>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</si>
  <si>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</si>
  <si>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</si>
  <si>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</si>
  <si>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</si>
  <si>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</si>
  <si>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</si>
  <si>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</si>
  <si>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</si>
  <si>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</si>
  <si>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</si>
  <si>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</si>
  <si>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</si>
  <si>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</si>
  <si>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</si>
  <si>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</si>
  <si>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</si>
  <si>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</si>
  <si>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</si>
  <si>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</si>
  <si>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</si>
  <si>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</si>
  <si>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</si>
  <si>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</si>
  <si>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</si>
  <si>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</si>
  <si>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</si>
  <si>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</si>
  <si>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</si>
  <si>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</si>
  <si>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</si>
  <si>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</si>
  <si>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</si>
  <si>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</si>
  <si>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</si>
  <si>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</si>
  <si>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</si>
  <si>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</si>
  <si>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</si>
  <si>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</si>
  <si>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</si>
  <si>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</si>
  <si>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</si>
  <si>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</si>
  <si>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</si>
  <si>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</si>
  <si>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</si>
  <si>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</si>
  <si>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</si>
  <si>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</si>
  <si>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</si>
  <si>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</si>
  <si>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</si>
  <si>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</si>
  <si>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</si>
  <si>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</si>
  <si>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</si>
  <si>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</si>
  <si>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</si>
  <si>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</si>
  <si>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</si>
  <si>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</si>
  <si>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</si>
  <si>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</si>
  <si>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</si>
  <si>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</si>
  <si>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</si>
  <si>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</si>
  <si>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</si>
  <si>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</si>
  <si>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</si>
  <si>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</si>
  <si>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</si>
  <si>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</si>
  <si>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</si>
  <si>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</si>
  <si>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</si>
  <si>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</si>
  <si>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</si>
  <si>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</si>
  <si>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</si>
  <si>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</si>
  <si>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</si>
  <si>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</si>
  <si>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</si>
  <si>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</si>
  <si>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</si>
  <si>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</si>
  <si>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</si>
  <si>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</si>
  <si>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</si>
  <si>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</si>
  <si>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</si>
  <si>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</si>
  <si>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</si>
  <si>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</si>
  <si>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</si>
  <si>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</si>
  <si>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</si>
  <si>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</si>
  <si>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</si>
  <si>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</si>
  <si>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</si>
  <si>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</si>
  <si>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</si>
  <si>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</si>
  <si>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</si>
  <si>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</si>
  <si>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</si>
  <si>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</si>
  <si>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</si>
  <si>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</si>
  <si>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</si>
  <si>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</si>
  <si>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</si>
  <si>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</si>
  <si>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</si>
  <si>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</si>
  <si>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</si>
  <si>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</si>
  <si>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</si>
  <si>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</si>
  <si>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</si>
  <si>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</si>
  <si>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</si>
  <si>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</si>
  <si>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</si>
  <si>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</si>
  <si>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</si>
  <si>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</si>
  <si>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</si>
  <si>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</si>
  <si>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</si>
  <si>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</si>
  <si>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</si>
  <si>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</si>
  <si>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</si>
  <si>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</si>
  <si>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</si>
  <si>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</si>
  <si>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</si>
  <si>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</si>
  <si>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</si>
  <si>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</si>
  <si>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</si>
  <si>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</si>
  <si>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</si>
  <si>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</si>
  <si>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</si>
  <si>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</si>
  <si>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</si>
  <si>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</si>
  <si>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</si>
  <si>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</si>
  <si>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</si>
  <si>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</si>
  <si>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</si>
  <si>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</si>
  <si>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</si>
  <si>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</si>
  <si>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</si>
  <si>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</si>
  <si>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</si>
  <si>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</si>
  <si>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</si>
  <si>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</si>
  <si>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</si>
  <si>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</si>
  <si>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</si>
  <si>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</si>
  <si>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</si>
  <si>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</si>
  <si>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</si>
  <si>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</si>
  <si>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</si>
  <si>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</si>
  <si>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</si>
  <si>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</si>
  <si>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</si>
  <si>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</si>
  <si>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</si>
  <si>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</si>
  <si>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</si>
  <si>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</si>
  <si>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</si>
  <si>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</si>
  <si>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</si>
  <si>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</si>
  <si>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</si>
  <si>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</si>
  <si>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</si>
  <si>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</si>
  <si>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</si>
  <si>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</si>
  <si>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</si>
  <si>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</si>
  <si>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</si>
  <si>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</si>
  <si>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</si>
  <si>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</si>
  <si>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</si>
  <si>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</si>
  <si>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</si>
  <si>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</si>
  <si>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</si>
  <si>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</si>
  <si>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</si>
  <si>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</si>
  <si>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</si>
  <si>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</si>
  <si>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</si>
  <si>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</si>
  <si>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</si>
  <si>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</si>
  <si>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</si>
  <si>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</si>
  <si>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</si>
  <si>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</si>
  <si>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</si>
  <si>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</si>
  <si>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</si>
  <si>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</si>
  <si>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</si>
  <si>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</si>
  <si>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</si>
  <si>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</si>
  <si>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</si>
  <si>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</si>
  <si>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</si>
  <si>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</si>
  <si>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</si>
  <si>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</si>
  <si>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</si>
  <si>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</si>
  <si>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</si>
  <si>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</si>
  <si>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</si>
  <si>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</si>
  <si>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</si>
  <si>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</si>
  <si>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</si>
  <si>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</si>
  <si>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</si>
  <si>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</si>
  <si>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</si>
  <si>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</si>
  <si>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</si>
  <si>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</si>
  <si>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</si>
  <si>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</si>
  <si>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</si>
  <si>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</si>
  <si>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</si>
  <si>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</si>
  <si>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</si>
  <si>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</si>
  <si>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</si>
  <si>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</si>
  <si>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</si>
  <si>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</si>
  <si>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</si>
  <si>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</si>
  <si>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</si>
  <si>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</si>
  <si>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</si>
  <si>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</si>
  <si>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</si>
  <si>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</si>
  <si>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</si>
  <si>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</si>
  <si>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</si>
  <si>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</si>
  <si>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</si>
  <si>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</si>
  <si>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</si>
  <si>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</si>
  <si>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</si>
  <si>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</si>
  <si>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</si>
  <si>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</si>
  <si>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</si>
  <si>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</si>
  <si>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</si>
  <si>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</si>
  <si>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</si>
  <si>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</si>
  <si>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</si>
  <si>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</si>
  <si>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</si>
  <si>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</si>
  <si>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</si>
  <si>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</si>
  <si>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</si>
  <si>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</si>
  <si>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</si>
  <si>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</si>
  <si>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</si>
  <si>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</si>
  <si>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</si>
  <si>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</si>
  <si>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</si>
  <si>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</si>
  <si>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</si>
  <si>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</si>
  <si>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</si>
  <si>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</si>
  <si>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</si>
  <si>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</si>
  <si>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</si>
  <si>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</si>
  <si>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</si>
  <si>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</si>
  <si>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</si>
  <si>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</si>
  <si>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</si>
  <si>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</si>
  <si>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</si>
  <si>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</si>
  <si>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</si>
  <si>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</si>
  <si>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</si>
  <si>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</si>
  <si>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</si>
  <si>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</si>
  <si>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</si>
  <si>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</si>
  <si>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</si>
  <si>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</si>
  <si>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</si>
  <si>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</si>
  <si>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</si>
  <si>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</si>
  <si>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</si>
  <si>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</si>
  <si>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</si>
  <si>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</si>
  <si>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</si>
  <si>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</si>
  <si>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</si>
  <si>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</si>
  <si>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</si>
  <si>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</si>
  <si>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</si>
  <si>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</si>
  <si>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</si>
  <si>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</si>
  <si>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</si>
  <si>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</si>
  <si>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</si>
  <si>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</si>
  <si>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</si>
  <si>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</si>
  <si>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</si>
  <si>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</si>
  <si>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</si>
  <si>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</si>
  <si>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</si>
  <si>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</si>
  <si>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</si>
  <si>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</si>
  <si>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</si>
  <si>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</si>
  <si>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</si>
  <si>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</si>
  <si>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</si>
  <si>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</si>
  <si>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</si>
  <si>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</si>
  <si>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</si>
  <si>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</si>
  <si>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</si>
  <si>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</si>
  <si>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</si>
  <si>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</si>
  <si>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</si>
  <si>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</si>
  <si>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</si>
  <si>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</si>
  <si>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</si>
  <si>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</si>
  <si>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</si>
  <si>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</si>
  <si>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</si>
  <si>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</si>
  <si>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</si>
  <si>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</si>
  <si>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</si>
  <si>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</si>
  <si>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</si>
  <si>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</si>
  <si>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</si>
  <si>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</si>
  <si>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</si>
  <si>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</si>
  <si>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</si>
  <si>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</si>
  <si>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</si>
  <si>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</si>
  <si>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</si>
  <si>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</si>
  <si>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</si>
  <si>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</si>
  <si>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</si>
  <si>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</si>
  <si>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</si>
  <si>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</si>
  <si>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</si>
  <si>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</si>
  <si>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</si>
  <si>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</si>
  <si>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</si>
  <si>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</si>
  <si>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</si>
  <si>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</si>
  <si>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</si>
  <si>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</si>
  <si>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</si>
  <si>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</si>
  <si>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</si>
  <si>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</si>
  <si>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</si>
  <si>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</si>
  <si>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</si>
  <si>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</si>
  <si>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</si>
  <si>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</si>
  <si>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</si>
  <si>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</si>
  <si>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</si>
  <si>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</si>
  <si>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</si>
  <si>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</si>
  <si>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</si>
  <si>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</si>
  <si>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</si>
  <si>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</si>
  <si>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</si>
  <si>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</si>
  <si>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</si>
  <si>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</si>
  <si>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</si>
  <si>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</si>
  <si>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</si>
  <si>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</si>
  <si>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</si>
  <si>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</si>
  <si>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</si>
  <si>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</si>
  <si>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</si>
  <si>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</si>
  <si>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</si>
  <si>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</si>
  <si>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</si>
  <si>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</si>
  <si>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</si>
  <si>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</si>
  <si>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</si>
  <si>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</si>
  <si>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</si>
  <si>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</si>
  <si>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</si>
  <si>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</si>
  <si>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</si>
  <si>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</si>
  <si>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</si>
  <si>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</si>
  <si>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</si>
  <si>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</si>
  <si>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</si>
  <si>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</si>
  <si>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</si>
  <si>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</si>
  <si>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</si>
  <si>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</si>
  <si>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</si>
  <si>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</si>
  <si>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</si>
  <si>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</si>
  <si>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</si>
  <si>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</si>
  <si>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</si>
  <si>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</si>
  <si>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</si>
  <si>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</si>
  <si>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</si>
  <si>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</si>
  <si>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</si>
  <si>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</si>
  <si>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</si>
  <si>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</si>
  <si>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</si>
  <si>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</si>
  <si>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</si>
  <si>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</si>
  <si>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</si>
  <si>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</si>
  <si>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</si>
  <si>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</si>
  <si>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</si>
  <si>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</si>
  <si>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</si>
  <si>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</si>
  <si>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</si>
  <si>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</si>
  <si>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</si>
  <si>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</si>
  <si>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</si>
  <si>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</si>
  <si>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</si>
  <si>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</si>
  <si>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</si>
  <si>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</si>
  <si>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</si>
  <si>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</si>
  <si>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</si>
  <si>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</si>
  <si>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</si>
  <si>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</si>
  <si>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</si>
  <si>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</si>
  <si>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</si>
  <si>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</si>
  <si>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</si>
  <si>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</si>
  <si>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</si>
  <si>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</si>
  <si>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</si>
  <si>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</si>
  <si>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</si>
  <si>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</si>
  <si>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</si>
  <si>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</si>
  <si>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</si>
  <si>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</si>
  <si>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</si>
  <si>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</si>
  <si>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</si>
  <si>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</si>
  <si>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</si>
  <si>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</si>
  <si>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</si>
  <si>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</si>
  <si>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</si>
  <si>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</si>
  <si>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</si>
  <si>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</si>
  <si>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</si>
  <si>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</si>
  <si>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</si>
  <si>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</si>
  <si>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</si>
  <si>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</si>
  <si>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</si>
  <si>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</si>
  <si>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</si>
  <si>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</si>
  <si>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</si>
  <si>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</si>
  <si>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</si>
  <si>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</si>
  <si>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</si>
  <si>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</si>
  <si>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</si>
  <si>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</si>
  <si>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</si>
  <si>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</si>
  <si>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</si>
  <si>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</si>
  <si>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</si>
  <si>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</si>
  <si>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</si>
  <si>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</si>
  <si>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</si>
  <si>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</si>
  <si>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</si>
  <si>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</si>
  <si>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</si>
  <si>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</si>
  <si>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</si>
  <si>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</si>
  <si>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</si>
  <si>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</si>
  <si>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</si>
  <si>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</si>
  <si>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</si>
  <si>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</si>
  <si>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</si>
  <si>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</si>
  <si>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</si>
  <si>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</si>
  <si>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</si>
  <si>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</si>
  <si>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</si>
  <si>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</si>
  <si>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</si>
  <si>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</si>
  <si>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</si>
  <si>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</si>
  <si>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</si>
  <si>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</si>
  <si>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</si>
  <si>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</si>
  <si>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</si>
  <si>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</si>
  <si>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</si>
  <si>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</si>
  <si>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</si>
  <si>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</si>
  <si>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</si>
  <si>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</si>
  <si>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</si>
  <si>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</si>
  <si>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</si>
  <si>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</si>
  <si>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</si>
  <si>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</si>
  <si>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</si>
  <si>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</si>
  <si>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</si>
  <si>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</si>
  <si>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</si>
  <si>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</si>
  <si>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</si>
  <si>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</si>
  <si>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</si>
  <si>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</si>
  <si>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</si>
  <si>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</si>
  <si>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</si>
  <si>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</si>
  <si>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</si>
  <si>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</si>
  <si>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</si>
  <si>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</si>
  <si>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</si>
  <si>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</si>
  <si>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</si>
  <si>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</si>
  <si>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</si>
  <si>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</si>
  <si>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</si>
  <si>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</si>
  <si>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</si>
  <si>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</si>
  <si>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</si>
  <si>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</si>
  <si>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</si>
  <si>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</si>
  <si>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</si>
  <si>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</si>
  <si>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</si>
  <si>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</si>
  <si>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</si>
  <si>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</si>
  <si>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</si>
  <si>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</si>
  <si>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</si>
  <si>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</si>
  <si>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</si>
  <si>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</si>
  <si>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</si>
  <si>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</si>
  <si>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</si>
  <si>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</si>
  <si>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</si>
  <si>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</si>
  <si>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</si>
  <si>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</si>
  <si>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</si>
  <si>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</si>
  <si>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</si>
  <si>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</si>
  <si>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</si>
  <si>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</si>
  <si>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</si>
  <si>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</si>
  <si>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</si>
  <si>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</si>
  <si>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</si>
  <si>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</si>
  <si>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</si>
  <si>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</si>
  <si>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</si>
  <si>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</si>
  <si>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</si>
  <si>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</si>
  <si>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</si>
  <si>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</si>
  <si>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</si>
  <si>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</si>
  <si>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</si>
  <si>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</si>
  <si>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</si>
  <si>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</si>
  <si>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</si>
  <si>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</si>
  <si>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</si>
  <si>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</si>
  <si>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</si>
  <si>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</si>
  <si>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</si>
  <si>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</si>
  <si>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</si>
  <si>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</si>
  <si>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</si>
  <si>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</si>
  <si>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</si>
  <si>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</si>
  <si>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</si>
  <si>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</si>
  <si>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</si>
  <si>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</si>
  <si>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</si>
  <si>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</si>
  <si>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</si>
  <si>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</si>
  <si>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</si>
  <si>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</si>
  <si>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</si>
  <si>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</si>
  <si>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</si>
  <si>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</si>
  <si>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</si>
  <si>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</si>
  <si>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</si>
  <si>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</si>
  <si>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</si>
  <si>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</si>
  <si>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</si>
  <si>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</si>
  <si>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</si>
  <si>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</si>
  <si>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</si>
  <si>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</si>
  <si>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</si>
  <si>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</si>
  <si>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</si>
  <si>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</si>
  <si>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</si>
  <si>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</si>
  <si>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</si>
  <si>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</si>
  <si>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</si>
  <si>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</si>
  <si>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</si>
  <si>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</si>
  <si>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</si>
  <si>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</si>
  <si>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</si>
  <si>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</si>
  <si>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</si>
  <si>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</si>
  <si>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</si>
  <si>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</si>
  <si>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</si>
  <si>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</si>
  <si>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</si>
  <si>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</si>
  <si>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</si>
  <si>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</si>
  <si>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</si>
  <si>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</si>
  <si>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</si>
  <si>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</si>
  <si>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</si>
  <si>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</si>
  <si>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</si>
  <si>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</si>
  <si>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</si>
  <si>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</si>
  <si>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</si>
  <si>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</si>
  <si>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</si>
  <si>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</si>
  <si>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</si>
  <si>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</si>
  <si>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</si>
  <si>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</si>
  <si>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</si>
  <si>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</si>
  <si>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</si>
  <si>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</si>
  <si>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</si>
  <si>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</si>
  <si>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</si>
  <si>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</si>
  <si>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</si>
  <si>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</si>
  <si>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</si>
  <si>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</si>
  <si>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</si>
  <si>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</si>
  <si>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</si>
  <si>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</si>
  <si>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</si>
  <si>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</si>
  <si>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</si>
  <si>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</si>
  <si>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</si>
  <si>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</si>
  <si>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</si>
  <si>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</si>
  <si>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</si>
  <si>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</si>
  <si>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</si>
  <si>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</si>
  <si>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</si>
  <si>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</si>
  <si>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</si>
  <si>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</si>
  <si>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</si>
  <si>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</si>
  <si>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</si>
  <si>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</si>
  <si>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</si>
  <si>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</si>
  <si>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</si>
  <si>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</si>
  <si>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</si>
  <si>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</si>
  <si>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</si>
  <si>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</si>
  <si>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</si>
  <si>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</si>
  <si>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</si>
  <si>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</si>
  <si>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</si>
  <si>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</si>
  <si>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</si>
  <si>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</si>
  <si>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</si>
  <si>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</si>
  <si>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</si>
  <si>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</si>
  <si>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</si>
  <si>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</si>
  <si>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</si>
  <si>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</si>
  <si>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</si>
  <si>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</si>
  <si>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</si>
  <si>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</si>
  <si>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</si>
  <si>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</si>
  <si>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</si>
  <si>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</si>
  <si>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</si>
  <si>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</si>
  <si>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</si>
  <si>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</si>
  <si>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</si>
  <si>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</si>
  <si>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</si>
  <si>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</si>
  <si>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</si>
  <si>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</si>
  <si>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</si>
  <si>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</si>
  <si>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</si>
  <si>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</si>
  <si>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</si>
  <si>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</si>
  <si>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</si>
  <si>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</si>
  <si>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</si>
  <si>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</si>
  <si>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</si>
  <si>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</si>
  <si>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</si>
  <si>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</si>
  <si>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</si>
  <si>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</si>
  <si>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</si>
  <si>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</si>
  <si>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</si>
  <si>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</si>
  <si>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</si>
  <si>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</si>
  <si>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</si>
  <si>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</si>
  <si>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</si>
  <si>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</si>
  <si>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</si>
  <si>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</si>
  <si>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</si>
  <si>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</si>
  <si>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</si>
  <si>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</si>
  <si>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</si>
  <si>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</si>
  <si>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</si>
  <si>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</si>
  <si>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</si>
  <si>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</si>
  <si>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</si>
  <si>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</si>
  <si>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</si>
  <si>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</si>
  <si>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</si>
  <si>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</si>
  <si>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</si>
  <si>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</si>
  <si>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</si>
  <si>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</si>
  <si>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</si>
  <si>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</si>
  <si>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</si>
  <si>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</si>
  <si>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</si>
  <si>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</si>
  <si>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</si>
  <si>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</si>
  <si>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</si>
  <si>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</si>
  <si>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</si>
  <si>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</si>
  <si>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</si>
  <si>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</si>
  <si>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</si>
  <si>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</si>
  <si>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</si>
  <si>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</si>
  <si>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</si>
  <si>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</si>
  <si>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</si>
  <si>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</si>
  <si>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</si>
  <si>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</si>
  <si>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</si>
  <si>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</si>
  <si>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</si>
  <si>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</si>
  <si>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</si>
  <si>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</si>
  <si>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</si>
  <si>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</si>
  <si>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</si>
  <si>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</si>
  <si>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</si>
  <si>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</si>
  <si>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</si>
  <si>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</si>
  <si>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</si>
  <si>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</si>
  <si>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</si>
  <si>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</si>
  <si>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</si>
  <si>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</si>
  <si>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</si>
  <si>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</si>
  <si>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</si>
  <si>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</si>
  <si>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</si>
  <si>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</si>
  <si>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</si>
  <si>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</si>
  <si>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</si>
  <si>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</si>
  <si>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</si>
  <si>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</si>
  <si>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</si>
  <si>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</si>
  <si>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</si>
  <si>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</si>
  <si>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</si>
  <si>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</si>
  <si>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</si>
  <si>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</si>
  <si>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</si>
  <si>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</si>
  <si>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</si>
  <si>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</si>
  <si>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</si>
  <si>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</si>
  <si>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</si>
  <si>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</si>
  <si>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</si>
  <si>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</si>
  <si>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</si>
  <si>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</si>
  <si>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</si>
  <si>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</si>
  <si>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</si>
  <si>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</si>
  <si>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</si>
  <si>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</si>
  <si>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</si>
  <si>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</si>
  <si>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</si>
  <si>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</si>
  <si>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</si>
  <si>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</si>
  <si>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</si>
  <si>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</si>
  <si>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</si>
  <si>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</si>
  <si>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</si>
  <si>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</si>
  <si>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</si>
  <si>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</si>
  <si>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</si>
  <si>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</si>
  <si>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</si>
  <si>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</si>
  <si>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</si>
  <si>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</si>
  <si>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</si>
  <si>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</si>
  <si>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</si>
  <si>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</si>
  <si>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</si>
  <si>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</si>
  <si>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</si>
  <si>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</si>
  <si>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</si>
  <si>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</si>
  <si>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</si>
  <si>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</si>
  <si>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</si>
  <si>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</si>
  <si>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</si>
  <si>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</si>
  <si>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</si>
  <si>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</si>
  <si>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</si>
  <si>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</si>
  <si>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</si>
  <si>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</si>
  <si>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</si>
  <si>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</si>
  <si>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</si>
  <si>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</si>
  <si>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</si>
  <si>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</si>
  <si>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</si>
  <si>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</si>
  <si>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</si>
  <si>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</si>
  <si>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</si>
  <si>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</si>
  <si>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</si>
  <si>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</si>
  <si>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</si>
  <si>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</si>
  <si>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</si>
  <si>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</si>
  <si>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</si>
  <si>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</si>
  <si>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</si>
  <si>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</si>
  <si>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</si>
  <si>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</si>
  <si>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</si>
  <si>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</si>
  <si>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</si>
  <si>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</si>
  <si>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</si>
  <si>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</si>
  <si>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</si>
  <si>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</si>
  <si>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</si>
  <si>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</si>
  <si>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</si>
  <si>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</si>
  <si>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</si>
  <si>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</si>
  <si>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</si>
  <si>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</si>
  <si>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</si>
  <si>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</si>
  <si>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</si>
  <si>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</si>
  <si>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</si>
  <si>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</si>
  <si>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</si>
  <si>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</si>
  <si>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</si>
  <si>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</si>
  <si>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</si>
  <si>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</si>
  <si>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</si>
  <si>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</si>
  <si>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</si>
  <si>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</si>
  <si>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</si>
  <si>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</si>
  <si>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</si>
  <si>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</si>
  <si>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</si>
  <si>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</si>
  <si>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</si>
  <si>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</si>
  <si>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</si>
  <si>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</si>
  <si>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</si>
  <si>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</si>
  <si>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</si>
  <si>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</si>
  <si>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</si>
  <si>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</si>
  <si>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</si>
  <si>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</si>
  <si>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</si>
  <si>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</si>
  <si>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</si>
  <si>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</si>
  <si>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</si>
  <si>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</si>
  <si>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</si>
  <si>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</si>
  <si>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</si>
  <si>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</si>
  <si>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</si>
  <si>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</si>
  <si>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</si>
  <si>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</si>
  <si>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</si>
  <si>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</si>
  <si>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</si>
  <si>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</si>
  <si>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</si>
  <si>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</si>
  <si>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</si>
  <si>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</si>
  <si>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</si>
  <si>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</si>
  <si>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</si>
  <si>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</si>
  <si>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</si>
  <si>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</si>
  <si>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</si>
  <si>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</si>
  <si>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</si>
  <si>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</si>
  <si>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</si>
  <si>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</si>
  <si>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</si>
  <si>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</si>
  <si>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</si>
  <si>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</si>
  <si>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</si>
  <si>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</si>
  <si>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</si>
  <si>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</si>
  <si>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</si>
  <si>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</si>
  <si>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</si>
  <si>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</si>
  <si>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</si>
  <si>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SALA DE REGIDORES</t>
  </si>
  <si>
    <t>REGIDORES</t>
  </si>
  <si>
    <t>PRESIDENTE MUNICIPAL</t>
  </si>
  <si>
    <t xml:space="preserve">PRESIDENCIA </t>
  </si>
  <si>
    <t>SECRETARIA</t>
  </si>
  <si>
    <t>SECRETARIO PARTICULAR</t>
  </si>
  <si>
    <t>SECRETARIA PARTICULAR</t>
  </si>
  <si>
    <t>SECRETRIO GENERAL</t>
  </si>
  <si>
    <t>SECRETARIA GENERAL</t>
  </si>
  <si>
    <t>COORDINADOR DE AGENCIAS</t>
  </si>
  <si>
    <t>COORDINADOR DE TRANSPARENCIA</t>
  </si>
  <si>
    <t>DELEGADO</t>
  </si>
  <si>
    <t>DELEGACIONES</t>
  </si>
  <si>
    <t>AGENTE</t>
  </si>
  <si>
    <t>AGENCIAS</t>
  </si>
  <si>
    <t>AUXILIAR ADMINISTRATIVO</t>
  </si>
  <si>
    <t>OFICIAL DEL REGISTRO CIVIL</t>
  </si>
  <si>
    <t>REGISTRO CIVIL</t>
  </si>
  <si>
    <t>COMUNICACIÓN SOCIAL</t>
  </si>
  <si>
    <t>DIRECTOR</t>
  </si>
  <si>
    <t>JEFE DE DEPARTAMENTO</t>
  </si>
  <si>
    <t>JEFE DE REGLAMENTOS</t>
  </si>
  <si>
    <t>DPTO. DE REGLAMENTOS</t>
  </si>
  <si>
    <t>SINDICO</t>
  </si>
  <si>
    <t>SINDICATURA</t>
  </si>
  <si>
    <t>JEFE JURIDICO</t>
  </si>
  <si>
    <t>DPTO. JURIDICO MUNICIPAL</t>
  </si>
  <si>
    <t>JUEZ MUNICIPAL</t>
  </si>
  <si>
    <t>JUZGADOS MUNICIPALES</t>
  </si>
  <si>
    <t>ENCARGADO DE LA HACIENDA MUNICIPAL</t>
  </si>
  <si>
    <t>HACIENDA MUNICIPAL</t>
  </si>
  <si>
    <t>INTENDNTE</t>
  </si>
  <si>
    <t>JEFE DE INGRESOS</t>
  </si>
  <si>
    <t>DEPTO. DE INGRESOS Y LICENCIAS</t>
  </si>
  <si>
    <t>CAJERA</t>
  </si>
  <si>
    <t>RECAUDADOR</t>
  </si>
  <si>
    <t>RECAUDADOR DE INGRESOS</t>
  </si>
  <si>
    <t>DEPTO.DE EGRESOS  Y CONTROL PRESUPUESTAL</t>
  </si>
  <si>
    <t>ASISTENTE</t>
  </si>
  <si>
    <t>TÉCNICO OPERATIVO</t>
  </si>
  <si>
    <t>DEPARTAMENTO DE PATRIMONIO</t>
  </si>
  <si>
    <t>JEFE DE CATASTRO</t>
  </si>
  <si>
    <t>DEPARTAMENTO DE CATASTRO</t>
  </si>
  <si>
    <t>ENCARGADO DE CARTOGRAFIA</t>
  </si>
  <si>
    <t>TÉCNICO ESPECIALIZADO</t>
  </si>
  <si>
    <t>ENC. DE TRÁMITE Y REGISTRO</t>
  </si>
  <si>
    <t>ENC. DE VALUACIÓN</t>
  </si>
  <si>
    <t>JEFE DE APREMIOS</t>
  </si>
  <si>
    <t>APREMIOS</t>
  </si>
  <si>
    <t>JEFE DE CONTROL VEHICULAR</t>
  </si>
  <si>
    <t>JEFE DE PROVEEDURIA</t>
  </si>
  <si>
    <t>PROVEEDURIA</t>
  </si>
  <si>
    <t>ALMACENISTA</t>
  </si>
  <si>
    <t>CONTROL VEHICULAR</t>
  </si>
  <si>
    <t>AUXILIAR DE MANTENIMIENTO</t>
  </si>
  <si>
    <t>TÉCNICO DE MANTENIMIENTO</t>
  </si>
  <si>
    <t>JEFE DE INFORMÁTICA</t>
  </si>
  <si>
    <t>DEPARTAMENTO DE INFORMÁTICA</t>
  </si>
  <si>
    <t>TÉCNICO EN INFORMÁTICA</t>
  </si>
  <si>
    <t>DIRECCION DE ADMINISTRACION</t>
  </si>
  <si>
    <t>JEFE DE RECURSOS HUMANOS</t>
  </si>
  <si>
    <t>DEPARTAMENTO DE RECURSOS HUMANOS</t>
  </si>
  <si>
    <t>DEPARTAMENTO DE LOGISTICA</t>
  </si>
  <si>
    <t>DIRECCION DE SEGURIDAD PUBLICA</t>
  </si>
  <si>
    <t>OFICIAL DE POLICIA</t>
  </si>
  <si>
    <t>POLICIA TURISTICA</t>
  </si>
  <si>
    <t>SUB- OFICIAL</t>
  </si>
  <si>
    <t>COMANDANTE</t>
  </si>
  <si>
    <t>COCINERA</t>
  </si>
  <si>
    <t>JEFE DEPARTAMENTO</t>
  </si>
  <si>
    <t>DEPARTAMENTO TÉCNICO ADMINISTRATIVO</t>
  </si>
  <si>
    <t>JEFE OPERATIVO</t>
  </si>
  <si>
    <t>JEFE ADMINISTRATIVO</t>
  </si>
  <si>
    <t>DIRECCIÓN DE OBRAS PÚBLICAS</t>
  </si>
  <si>
    <t>PROYECTISTA</t>
  </si>
  <si>
    <t>DEPARTAMENTO DE PROYECTOS</t>
  </si>
  <si>
    <t>OPERADOR DE MAQUINARIA</t>
  </si>
  <si>
    <t>DEPARTAMENTO DE OBRAS PÚBLICAS</t>
  </si>
  <si>
    <t>OPERADOR GENERAL</t>
  </si>
  <si>
    <t>ALBAÑIL</t>
  </si>
  <si>
    <t>CHOFER</t>
  </si>
  <si>
    <t>SUPERVISOR</t>
  </si>
  <si>
    <t>AUXILIAR</t>
  </si>
  <si>
    <t>PINTOR</t>
  </si>
  <si>
    <t>JEFE FOMENTO INDUSTRIAL Y COMERCIO</t>
  </si>
  <si>
    <t>COMITÉ DE PLANEACION Y DESARROLLO SOCIAL</t>
  </si>
  <si>
    <t>COORDINADOR DE AGENDA LOCAL</t>
  </si>
  <si>
    <t>DIRECTOR DE PLANEACION</t>
  </si>
  <si>
    <t>DIRECTOR DE DESARROLLO ECONOMICO</t>
  </si>
  <si>
    <t>PROMOCIÓN ECONÓMICA</t>
  </si>
  <si>
    <t>JEFE DE TURISMO</t>
  </si>
  <si>
    <t>DEPARTAMENTO DE TURISMO Y ARTESANIAS</t>
  </si>
  <si>
    <t>DIRECCION DE PARTICIPACION CIUDADANA Y DES. HUMANO</t>
  </si>
  <si>
    <t>JEFE DESARROLLO SOCIAL</t>
  </si>
  <si>
    <t>DPTO. PROGR. DESARROLLO HUMANO Y SOCIAL</t>
  </si>
  <si>
    <t>JEFE</t>
  </si>
  <si>
    <t>DEPTO. PARTICIPACIÓN CIUDADANA</t>
  </si>
  <si>
    <t>DIR.ECOLOGIA Y PROTECC.MEDIO AMBIENTE</t>
  </si>
  <si>
    <t>SUB-DIRECTOR OPERATIVO</t>
  </si>
  <si>
    <t>BARRENDERO</t>
  </si>
  <si>
    <t>DPTO. ASEO PUBLICO</t>
  </si>
  <si>
    <t>INTENDENTE</t>
  </si>
  <si>
    <t>JARDINERO</t>
  </si>
  <si>
    <t>DPTO. DE PARQUES Y JARDINES</t>
  </si>
  <si>
    <t>ENCARGADO MALECON</t>
  </si>
  <si>
    <t>DIRECTOR SERVICIOS PÚBLICOS</t>
  </si>
  <si>
    <t>DIRECCIÓN DE SERVICIOS PÚBLICOS</t>
  </si>
  <si>
    <t>TECNICO DE MANTENIMIENTO</t>
  </si>
  <si>
    <t>JEFE ALUMBRADO PÚBLICO</t>
  </si>
  <si>
    <t>DEPTO. ALUMBRADO PÚBLICO</t>
  </si>
  <si>
    <t>ENCARGADO DE PANETEON</t>
  </si>
  <si>
    <t>DEPTO. DE PANTEONES</t>
  </si>
  <si>
    <t>JEFE DE MERCADOS</t>
  </si>
  <si>
    <t>DEPARTAMENTO DE MERCADOS</t>
  </si>
  <si>
    <t>DIRECTOR DE SALUD</t>
  </si>
  <si>
    <t>DIRECCIÓN DE SALUD</t>
  </si>
  <si>
    <t>SUB-DIRECTOR</t>
  </si>
  <si>
    <t>DEPARTAMENTO DE SERVICIOS MÉDICOS</t>
  </si>
  <si>
    <t>ENCARGADO DE EXPEDIENTES</t>
  </si>
  <si>
    <t>PSICOLOGA</t>
  </si>
  <si>
    <t>ENFERMERA</t>
  </si>
  <si>
    <t>PARAMÉDICO</t>
  </si>
  <si>
    <t>MÉDICO</t>
  </si>
  <si>
    <t>DIRECCION DE EDUCACION</t>
  </si>
  <si>
    <t>CONSERJE</t>
  </si>
  <si>
    <t>DEPARTAMENTO DE PROYECTOS ESPECIALES Y EDUCACION</t>
  </si>
  <si>
    <t>AUXILIAR COORDINADOR</t>
  </si>
  <si>
    <t>DIFUSIÓN CULTURAL</t>
  </si>
  <si>
    <t>VELADOR</t>
  </si>
  <si>
    <t xml:space="preserve">JEFE </t>
  </si>
  <si>
    <t>DIRECCION AGRICULTURA, GANADERIA Y DESARR.RURAL</t>
  </si>
  <si>
    <t>OPERACIÓN RASTRO</t>
  </si>
  <si>
    <t>PROTECCION CIVIL Y BOMBEROS</t>
  </si>
  <si>
    <t>COORDINADOR</t>
  </si>
  <si>
    <t>GRUPO DE VOLUNTARIOS</t>
  </si>
  <si>
    <t>DEPTO. COORDINACION OPERATIVA</t>
  </si>
  <si>
    <t>TECNICO OPERATIVO</t>
  </si>
  <si>
    <t>BOMBERO</t>
  </si>
  <si>
    <t>DIRECCION DE DESARROLLO URBANO Y LICENCIAS</t>
  </si>
  <si>
    <t>JEFE DE PROYECTOS</t>
  </si>
  <si>
    <t>INSPECTOR</t>
  </si>
  <si>
    <t>REGULADOR DE PREDIOS</t>
  </si>
  <si>
    <t>CONTROL EDIFICACIÓN</t>
  </si>
  <si>
    <t>DIRECCION MUNICIPAL ATENCION A LA JUVENTUD</t>
  </si>
  <si>
    <t>DIRECCION INSTITUTO MPAL DE LA MUJER</t>
  </si>
  <si>
    <t>DIRECTORA</t>
  </si>
  <si>
    <t>JEFE DE ENFERMERAS</t>
  </si>
  <si>
    <t>Presidencia Municipal</t>
  </si>
  <si>
    <t>Secretaría General</t>
  </si>
  <si>
    <t>Sindicatura</t>
  </si>
  <si>
    <t>Hacienda Municipal</t>
  </si>
  <si>
    <t>Dirección de Administración</t>
  </si>
  <si>
    <t>Dirección de Seguridad Pública y Vialidad</t>
  </si>
  <si>
    <t>Dirección de Obras Pública</t>
  </si>
  <si>
    <t>Comité de Planeación para el Desarrollo Municipal</t>
  </si>
  <si>
    <t>Dirección de Participación Ciudadana</t>
  </si>
  <si>
    <t>Dirección de la Función Pública</t>
  </si>
  <si>
    <t>Preisdencia/Gobernatura</t>
  </si>
  <si>
    <t>Servicios registrales, administrativos y patrimoniales</t>
  </si>
  <si>
    <t>Asuntos jurídicos</t>
  </si>
  <si>
    <t>Asuntos hacendarios</t>
  </si>
  <si>
    <t>Desarrollo comunitario</t>
  </si>
  <si>
    <t>Otros asuntos sociales</t>
  </si>
  <si>
    <t>En cuanto a la inconsistencia correspondiente a la partida 141.- Aportaciones de Seguridad Social, se está llevando a cabo un análisis del procedimiento para otorgar esta prestación a los funcionarios municipales.</t>
  </si>
  <si>
    <t>JEFE DE EGRESOS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</si>
</sst>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2"/>
    </font>
    <font>
      <b/>
      <sz val="12"/>
      <color indexed="8"/>
      <name val="Calibri"/>
      <family val="2"/>
    </font>
    <font>
      <b/>
      <sz val="7"/>
      <color indexed="8"/>
      <name val="Calibri"/>
      <family val="2"/>
    </font>
    <font>
      <sz val="8"/>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2"/>
    </font>
    <font>
      <sz val="10.5"/>
      <color indexed="8"/>
      <name val="Arial"/>
      <family val="2"/>
    </font>
    <font>
      <sz val="10.5"/>
      <color indexed="21"/>
      <name val="Arial"/>
      <family val="2"/>
    </font>
    <font>
      <b/>
      <sz val="14"/>
      <color indexed="2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7"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8"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7"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105" fillId="45" borderId="21" xfId="53" applyFont="1" applyFill="1" applyBorder="1" applyAlignment="1" applyProtection="1">
      <alignment horizontal="center"/>
      <protection/>
    </xf>
    <xf numFmtId="0" fontId="11" fillId="0" borderId="47"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8"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9"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8"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8"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8" xfId="53" applyFont="1" applyFill="1" applyBorder="1" applyAlignment="1" applyProtection="1">
      <alignment horizontal="left" vertical="center"/>
      <protection/>
    </xf>
    <xf numFmtId="0" fontId="105" fillId="45" borderId="21" xfId="53" applyFont="1" applyFill="1" applyBorder="1" applyAlignment="1" applyProtection="1">
      <alignment horizontal="center" vertical="center"/>
      <protection/>
    </xf>
    <xf numFmtId="0" fontId="4" fillId="0" borderId="47"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0" xfId="53" applyFont="1" applyFill="1" applyBorder="1" applyAlignment="1" applyProtection="1">
      <alignment horizontal="center" vertical="center"/>
      <protection locked="0"/>
    </xf>
    <xf numFmtId="0" fontId="20" fillId="0" borderId="0"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8"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2" fillId="0" borderId="48" xfId="53"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8" xfId="53" applyFont="1" applyFill="1" applyBorder="1" applyAlignment="1" applyProtection="1">
      <alignment horizontal="center" vertical="center"/>
      <protection/>
    </xf>
    <xf numFmtId="0" fontId="20" fillId="0" borderId="21" xfId="53" applyFont="1" applyFill="1" applyBorder="1" applyAlignment="1" applyProtection="1">
      <alignment horizontal="right"/>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8" xfId="53" applyNumberFormat="1" applyFont="1" applyFill="1" applyBorder="1" applyAlignment="1" applyProtection="1">
      <alignment horizontal="center" vertical="center"/>
      <protection locked="0"/>
    </xf>
    <xf numFmtId="0" fontId="20" fillId="0" borderId="47"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7"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8" xfId="53" applyNumberFormat="1" applyFont="1" applyFill="1" applyBorder="1" applyAlignment="1" applyProtection="1">
      <alignment horizontal="center" vertical="center"/>
      <protection locked="0"/>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0" fontId="18" fillId="0" borderId="47"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20" fontId="6" fillId="46" borderId="0" xfId="53" applyNumberFormat="1" applyFont="1" applyFill="1" applyBorder="1" applyAlignment="1" applyProtection="1">
      <alignment horizontal="left" vertical="center"/>
      <protection/>
    </xf>
    <xf numFmtId="0" fontId="12" fillId="0" borderId="0" xfId="53" applyFont="1" applyFill="1" applyBorder="1" applyAlignment="1" applyProtection="1">
      <alignment horizontal="center" vertical="center"/>
      <protection/>
    </xf>
    <xf numFmtId="0" fontId="12" fillId="0" borderId="48"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173" fontId="6" fillId="46" borderId="0" xfId="53" applyNumberFormat="1" applyFont="1" applyFill="1" applyBorder="1" applyAlignment="1" applyProtection="1">
      <alignment horizontal="right" vertic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167" fontId="18" fillId="0" borderId="47"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8"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3" applyFont="1" applyFill="1" applyBorder="1" applyAlignment="1" applyProtection="1">
      <alignment horizontal="center" vertical="center"/>
      <protection/>
    </xf>
    <xf numFmtId="0" fontId="13" fillId="46" borderId="0" xfId="53" applyFont="1" applyFill="1" applyBorder="1" applyAlignment="1" applyProtection="1">
      <alignment horizontal="center" vertical="center" wrapText="1"/>
      <protection/>
    </xf>
    <xf numFmtId="0" fontId="11" fillId="0" borderId="47"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8"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8"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2" applyNumberFormat="1" applyFont="1" applyFill="1" applyBorder="1" applyAlignment="1" applyProtection="1">
      <alignment horizontal="center" vertical="center" wrapText="1"/>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1" fontId="110" fillId="36" borderId="21" xfId="52" applyNumberFormat="1" applyFont="1" applyFill="1" applyBorder="1" applyAlignment="1" applyProtection="1">
      <alignment horizontal="center" vertical="center" wrapText="1"/>
      <protection/>
    </xf>
    <xf numFmtId="0" fontId="70" fillId="39" borderId="30" xfId="52" applyFont="1" applyFill="1" applyBorder="1" applyAlignment="1" applyProtection="1">
      <alignment horizontal="left" vertical="center"/>
      <protection/>
    </xf>
    <xf numFmtId="0" fontId="70" fillId="39" borderId="32" xfId="52" applyFont="1" applyFill="1" applyBorder="1" applyAlignment="1" applyProtection="1">
      <alignment horizontal="left" vertical="center"/>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1" fillId="39" borderId="21" xfId="52"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70" fillId="39" borderId="0" xfId="52" applyFont="1" applyFill="1" applyBorder="1" applyAlignment="1" applyProtection="1">
      <alignment horizontal="lef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7669005"/>
        <c:axId val="1912182"/>
      </c:bar3DChart>
      <c:catAx>
        <c:axId val="76690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1912182"/>
        <c:crosses val="autoZero"/>
        <c:auto val="1"/>
        <c:lblOffset val="100"/>
        <c:tickLblSkip val="1"/>
        <c:noMultiLvlLbl val="0"/>
      </c:catAx>
      <c:valAx>
        <c:axId val="1912182"/>
        <c:scaling>
          <c:orientation val="minMax"/>
        </c:scaling>
        <c:axPos val="b"/>
        <c:majorGridlines>
          <c:spPr>
            <a:ln w="3175">
              <a:solidFill>
                <a:srgbClr val="808080"/>
              </a:solidFill>
            </a:ln>
          </c:spPr>
        </c:majorGridlines>
        <c:delete val="1"/>
        <c:majorTickMark val="out"/>
        <c:minorTickMark val="none"/>
        <c:tickLblPos val="nextTo"/>
        <c:crossAx val="766900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7"/>
          <c:y val="0.0925"/>
          <c:w val="0.8232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
          <c:w val="0.946"/>
          <c:h val="0.91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17209639"/>
        <c:axId val="20669024"/>
      </c:barChart>
      <c:catAx>
        <c:axId val="172096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20669024"/>
        <c:crosses val="autoZero"/>
        <c:auto val="1"/>
        <c:lblOffset val="100"/>
        <c:tickLblSkip val="1"/>
        <c:noMultiLvlLbl val="0"/>
      </c:catAx>
      <c:valAx>
        <c:axId val="20669024"/>
        <c:scaling>
          <c:orientation val="minMax"/>
        </c:scaling>
        <c:axPos val="l"/>
        <c:majorGridlines>
          <c:spPr>
            <a:ln w="3175">
              <a:solidFill>
                <a:srgbClr val="808080"/>
              </a:solidFill>
            </a:ln>
          </c:spPr>
        </c:majorGridlines>
        <c:delete val="1"/>
        <c:majorTickMark val="out"/>
        <c:minorTickMark val="none"/>
        <c:tickLblPos val="nextTo"/>
        <c:crossAx val="172096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1803489"/>
        <c:axId val="63578218"/>
      </c:bar3DChart>
      <c:catAx>
        <c:axId val="518034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63578218"/>
        <c:crosses val="autoZero"/>
        <c:auto val="1"/>
        <c:lblOffset val="100"/>
        <c:tickLblSkip val="1"/>
        <c:noMultiLvlLbl val="0"/>
      </c:catAx>
      <c:valAx>
        <c:axId val="63578218"/>
        <c:scaling>
          <c:orientation val="minMax"/>
        </c:scaling>
        <c:axPos val="b"/>
        <c:majorGridlines>
          <c:spPr>
            <a:ln w="3175">
              <a:solidFill>
                <a:srgbClr val="808080"/>
              </a:solidFill>
            </a:ln>
          </c:spPr>
        </c:majorGridlines>
        <c:delete val="1"/>
        <c:majorTickMark val="out"/>
        <c:minorTickMark val="none"/>
        <c:tickLblPos val="nextTo"/>
        <c:crossAx val="5180348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4"/>
          <c:w val="0.68275"/>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lIns="91440" tIns="45720" rIns="91440" bIns="45720"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95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L8" sqref="L8:AO9"/>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59" t="s">
        <v>1019</v>
      </c>
      <c r="AH1" s="459"/>
      <c r="AI1" s="459"/>
      <c r="AJ1" s="459"/>
      <c r="AK1" s="459"/>
      <c r="AL1" s="459" t="s">
        <v>1020</v>
      </c>
      <c r="AM1" s="459"/>
      <c r="AN1" s="459"/>
      <c r="AO1" s="459"/>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30"/>
      <c r="AH2" s="430"/>
      <c r="AI2" s="430"/>
      <c r="AJ2" s="425"/>
      <c r="AK2" s="425"/>
      <c r="AL2" s="460"/>
      <c r="AM2" s="460"/>
      <c r="AN2" s="460"/>
      <c r="AO2" s="460"/>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59" t="s">
        <v>1021</v>
      </c>
      <c r="AH3" s="459"/>
      <c r="AI3" s="459"/>
      <c r="AJ3" s="459"/>
      <c r="AK3" s="459"/>
      <c r="AL3" s="460"/>
      <c r="AM3" s="460"/>
      <c r="AN3" s="460"/>
      <c r="AO3" s="460"/>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30"/>
      <c r="AH4" s="430"/>
      <c r="AI4" s="430"/>
      <c r="AJ4" s="425"/>
      <c r="AK4" s="425"/>
      <c r="AL4" s="470" t="s">
        <v>1022</v>
      </c>
      <c r="AM4" s="470"/>
      <c r="AN4" s="471"/>
      <c r="AO4" s="471"/>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72">
        <f>AJ4&amp;AN4</f>
      </c>
      <c r="AH5" s="472"/>
      <c r="AI5" s="472"/>
      <c r="AJ5" s="472"/>
      <c r="AK5" s="472"/>
      <c r="AL5" s="472"/>
      <c r="AM5" s="472"/>
      <c r="AN5" s="472"/>
      <c r="AO5" s="472"/>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16" t="s">
        <v>1023</v>
      </c>
      <c r="B7" s="417"/>
      <c r="C7" s="417"/>
      <c r="D7" s="417"/>
      <c r="E7" s="417"/>
      <c r="F7" s="417"/>
      <c r="G7" s="417"/>
      <c r="H7" s="417"/>
      <c r="I7" s="417"/>
      <c r="J7" s="417"/>
      <c r="K7" s="418"/>
      <c r="L7" s="481" t="s">
        <v>1024</v>
      </c>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row>
    <row r="8" spans="1:41" ht="15" customHeight="1">
      <c r="A8" s="434">
        <v>31110</v>
      </c>
      <c r="B8" s="435"/>
      <c r="C8" s="435"/>
      <c r="D8" s="435"/>
      <c r="E8" s="438">
        <v>51</v>
      </c>
      <c r="F8" s="438"/>
      <c r="G8" s="438"/>
      <c r="H8" s="435">
        <v>10000</v>
      </c>
      <c r="I8" s="435"/>
      <c r="J8" s="435"/>
      <c r="K8" s="440"/>
      <c r="L8" s="419" t="str">
        <f>IF(A8=31110,LOOKUP(E8,O118:O243,P118:P243)&amp;", Jalisco",IF(A8=21110,LOOKUP(E8,Q118:Q243,R118:R243)))</f>
        <v>Jocotepec, Jalisco</v>
      </c>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3"/>
    </row>
    <row r="9" spans="1:41" ht="15" customHeight="1">
      <c r="A9" s="436"/>
      <c r="B9" s="437"/>
      <c r="C9" s="437"/>
      <c r="D9" s="437"/>
      <c r="E9" s="439"/>
      <c r="F9" s="439"/>
      <c r="G9" s="439"/>
      <c r="H9" s="437"/>
      <c r="I9" s="437"/>
      <c r="J9" s="437"/>
      <c r="K9" s="441"/>
      <c r="L9" s="422"/>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5"/>
    </row>
    <row r="10" spans="1:41" ht="15" customHeight="1">
      <c r="A10" s="416" t="s">
        <v>1025</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8"/>
    </row>
    <row r="11" spans="1:42" ht="15" customHeight="1">
      <c r="A11" s="419" t="str">
        <f>IF(A8=21110,IF(H8=10000,"Organo Ejecutivo Estatal"),IF(A8=31110,IF(H8=10000,"Organo Ejecutivo Municipal")))</f>
        <v>Organo Ejecutivo Municipal</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1"/>
      <c r="AP11" s="182"/>
    </row>
    <row r="12" spans="1:41" ht="15" customHeight="1">
      <c r="A12" s="422"/>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4"/>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6" t="s">
        <v>1026</v>
      </c>
      <c r="B14" s="356"/>
      <c r="C14" s="356"/>
      <c r="D14" s="356"/>
      <c r="E14" s="366"/>
      <c r="F14" s="366"/>
      <c r="G14" s="366"/>
      <c r="H14" s="366"/>
      <c r="I14" s="366" t="s">
        <v>1027</v>
      </c>
      <c r="J14" s="366"/>
      <c r="K14" s="366"/>
      <c r="L14" s="366"/>
      <c r="M14" s="366"/>
      <c r="N14" s="366"/>
      <c r="O14" s="366"/>
      <c r="P14" s="366"/>
      <c r="Q14" s="366"/>
      <c r="R14" s="366"/>
      <c r="S14" s="366"/>
      <c r="T14" s="366"/>
      <c r="U14" s="366"/>
      <c r="V14" s="366"/>
      <c r="W14" s="366"/>
      <c r="X14" s="366"/>
      <c r="Y14" s="366"/>
      <c r="Z14" s="366"/>
      <c r="AA14" s="366"/>
      <c r="AB14" s="366"/>
      <c r="AC14" s="366"/>
      <c r="AD14" s="366"/>
      <c r="AE14" s="366" t="s">
        <v>1028</v>
      </c>
      <c r="AF14" s="366"/>
      <c r="AG14" s="366"/>
      <c r="AH14" s="366"/>
      <c r="AI14" s="366"/>
      <c r="AJ14" s="366"/>
      <c r="AK14" s="366"/>
      <c r="AL14" s="366"/>
      <c r="AM14" s="366"/>
      <c r="AN14" s="366"/>
      <c r="AO14" s="366"/>
    </row>
    <row r="15" spans="1:41" ht="15" customHeight="1">
      <c r="A15" s="412" t="s">
        <v>1029</v>
      </c>
      <c r="B15" s="412"/>
      <c r="C15" s="412"/>
      <c r="D15" s="412"/>
      <c r="E15" s="412" t="s">
        <v>1030</v>
      </c>
      <c r="F15" s="412"/>
      <c r="G15" s="412"/>
      <c r="H15" s="412"/>
      <c r="I15" s="412" t="s">
        <v>1031</v>
      </c>
      <c r="J15" s="412"/>
      <c r="K15" s="412"/>
      <c r="L15" s="412"/>
      <c r="M15" s="412"/>
      <c r="N15" s="412"/>
      <c r="O15" s="412"/>
      <c r="P15" s="412"/>
      <c r="Q15" s="412"/>
      <c r="R15" s="412"/>
      <c r="S15" s="412"/>
      <c r="T15" s="412"/>
      <c r="U15" s="413" t="s">
        <v>838</v>
      </c>
      <c r="V15" s="414"/>
      <c r="W15" s="414"/>
      <c r="X15" s="415"/>
      <c r="Y15" s="442" t="str">
        <f>IF(I16="Presupuesto","PI",IF(I16="Modificación al Presupuesto","PM",IF(I16="Documento Diverso","DI")))&amp;AN13&amp;AO13&amp;U16</f>
        <v>PI012013</v>
      </c>
      <c r="Z15" s="443"/>
      <c r="AA15" s="443"/>
      <c r="AB15" s="443"/>
      <c r="AC15" s="443"/>
      <c r="AD15" s="444"/>
      <c r="AE15" s="404" t="s">
        <v>1032</v>
      </c>
      <c r="AF15" s="405"/>
      <c r="AG15" s="405"/>
      <c r="AH15" s="405"/>
      <c r="AI15" s="405"/>
      <c r="AJ15" s="405"/>
      <c r="AK15" s="405"/>
      <c r="AL15" s="198" t="s">
        <v>1066</v>
      </c>
      <c r="AM15" s="199"/>
      <c r="AN15" s="199"/>
      <c r="AO15" s="200"/>
    </row>
    <row r="16" spans="1:42" ht="15" customHeight="1">
      <c r="A16" s="451"/>
      <c r="B16" s="451"/>
      <c r="C16" s="451"/>
      <c r="D16" s="451"/>
      <c r="E16" s="473"/>
      <c r="F16" s="473"/>
      <c r="G16" s="473"/>
      <c r="H16" s="473"/>
      <c r="I16" s="475" t="s">
        <v>1087</v>
      </c>
      <c r="J16" s="476"/>
      <c r="K16" s="476"/>
      <c r="L16" s="476"/>
      <c r="M16" s="476"/>
      <c r="N16" s="476"/>
      <c r="O16" s="476"/>
      <c r="P16" s="476"/>
      <c r="Q16" s="476"/>
      <c r="R16" s="476"/>
      <c r="S16" s="476"/>
      <c r="T16" s="477"/>
      <c r="U16" s="453">
        <v>2013</v>
      </c>
      <c r="V16" s="454"/>
      <c r="W16" s="454"/>
      <c r="X16" s="455"/>
      <c r="Y16" s="445"/>
      <c r="Z16" s="446"/>
      <c r="AA16" s="446"/>
      <c r="AB16" s="446"/>
      <c r="AC16" s="446"/>
      <c r="AD16" s="447"/>
      <c r="AE16" s="387" t="s">
        <v>1033</v>
      </c>
      <c r="AF16" s="371"/>
      <c r="AG16" s="371"/>
      <c r="AH16" s="371"/>
      <c r="AI16" s="371"/>
      <c r="AJ16" s="371"/>
      <c r="AK16" s="371"/>
      <c r="AL16" s="201"/>
      <c r="AM16" s="202" t="s">
        <v>584</v>
      </c>
      <c r="AN16" s="426"/>
      <c r="AO16" s="427"/>
      <c r="AP16" s="203"/>
    </row>
    <row r="17" spans="1:42" ht="15" customHeight="1">
      <c r="A17" s="452"/>
      <c r="B17" s="452"/>
      <c r="C17" s="452"/>
      <c r="D17" s="452"/>
      <c r="E17" s="474"/>
      <c r="F17" s="474"/>
      <c r="G17" s="474"/>
      <c r="H17" s="474"/>
      <c r="I17" s="478"/>
      <c r="J17" s="479"/>
      <c r="K17" s="479"/>
      <c r="L17" s="479"/>
      <c r="M17" s="479"/>
      <c r="N17" s="479"/>
      <c r="O17" s="479"/>
      <c r="P17" s="479"/>
      <c r="Q17" s="479"/>
      <c r="R17" s="479"/>
      <c r="S17" s="479"/>
      <c r="T17" s="480"/>
      <c r="U17" s="456"/>
      <c r="V17" s="457"/>
      <c r="W17" s="457"/>
      <c r="X17" s="458"/>
      <c r="Y17" s="448"/>
      <c r="Z17" s="449"/>
      <c r="AA17" s="449"/>
      <c r="AB17" s="449"/>
      <c r="AC17" s="449"/>
      <c r="AD17" s="450"/>
      <c r="AE17" s="393" t="s">
        <v>1034</v>
      </c>
      <c r="AF17" s="394"/>
      <c r="AG17" s="394"/>
      <c r="AH17" s="394"/>
      <c r="AI17" s="394"/>
      <c r="AJ17" s="394"/>
      <c r="AK17" s="394"/>
      <c r="AL17" s="394"/>
      <c r="AM17" s="428"/>
      <c r="AN17" s="428"/>
      <c r="AO17" s="429"/>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66" t="s">
        <v>1035</v>
      </c>
      <c r="B19" s="366"/>
      <c r="C19" s="366"/>
      <c r="D19" s="366"/>
      <c r="E19" s="366"/>
      <c r="F19" s="366"/>
      <c r="G19" s="366"/>
      <c r="H19" s="366"/>
      <c r="I19" s="366"/>
      <c r="J19" s="366"/>
      <c r="K19" s="366"/>
      <c r="L19" s="366"/>
      <c r="M19" s="366"/>
      <c r="N19" s="366"/>
      <c r="O19" s="366"/>
      <c r="P19" s="366"/>
      <c r="Q19" s="366"/>
      <c r="R19" s="366"/>
      <c r="S19" s="366"/>
      <c r="T19" s="366"/>
      <c r="U19" s="366"/>
      <c r="V19" s="366"/>
      <c r="W19" s="366" t="s">
        <v>1036</v>
      </c>
      <c r="X19" s="366"/>
      <c r="Y19" s="366"/>
      <c r="Z19" s="366"/>
      <c r="AA19" s="366"/>
      <c r="AB19" s="366"/>
      <c r="AC19" s="366"/>
      <c r="AD19" s="366"/>
      <c r="AE19" s="366"/>
      <c r="AF19" s="366"/>
      <c r="AG19" s="366"/>
      <c r="AH19" s="366"/>
      <c r="AI19" s="366"/>
      <c r="AJ19" s="366"/>
      <c r="AK19" s="366"/>
      <c r="AL19" s="366"/>
      <c r="AM19" s="366"/>
      <c r="AN19" s="366"/>
      <c r="AO19" s="366"/>
    </row>
    <row r="20" spans="1:41" ht="15" customHeight="1">
      <c r="A20" s="399" t="s">
        <v>584</v>
      </c>
      <c r="B20" s="400"/>
      <c r="C20" s="401"/>
      <c r="D20" s="401"/>
      <c r="E20" s="401"/>
      <c r="F20" s="401"/>
      <c r="G20" s="401"/>
      <c r="H20" s="401"/>
      <c r="I20" s="401"/>
      <c r="J20" s="402"/>
      <c r="K20" s="403" t="s">
        <v>1037</v>
      </c>
      <c r="L20" s="392" t="s">
        <v>604</v>
      </c>
      <c r="M20" s="392"/>
      <c r="N20" s="392"/>
      <c r="O20" s="392"/>
      <c r="P20" s="392"/>
      <c r="Q20" s="392"/>
      <c r="R20" s="392"/>
      <c r="S20" s="392"/>
      <c r="T20" s="392"/>
      <c r="U20" s="392"/>
      <c r="V20" s="210"/>
      <c r="W20" s="404" t="s">
        <v>1038</v>
      </c>
      <c r="X20" s="405"/>
      <c r="Y20" s="405"/>
      <c r="Z20" s="405"/>
      <c r="AA20" s="405"/>
      <c r="AB20" s="405"/>
      <c r="AC20" s="405"/>
      <c r="AD20" s="405"/>
      <c r="AE20" s="405"/>
      <c r="AF20" s="406"/>
      <c r="AG20" s="406"/>
      <c r="AH20" s="406"/>
      <c r="AI20" s="406"/>
      <c r="AJ20" s="406"/>
      <c r="AK20" s="406"/>
      <c r="AL20" s="406"/>
      <c r="AM20" s="406"/>
      <c r="AN20" s="406"/>
      <c r="AO20" s="407"/>
    </row>
    <row r="21" spans="1:41" ht="15" customHeight="1">
      <c r="A21" s="408" t="s">
        <v>1039</v>
      </c>
      <c r="B21" s="409"/>
      <c r="C21" s="409"/>
      <c r="D21" s="410"/>
      <c r="E21" s="410"/>
      <c r="F21" s="410"/>
      <c r="G21" s="410"/>
      <c r="H21" s="410"/>
      <c r="I21" s="410"/>
      <c r="J21" s="411"/>
      <c r="K21" s="403"/>
      <c r="L21" s="392" t="s">
        <v>1040</v>
      </c>
      <c r="M21" s="392"/>
      <c r="N21" s="392"/>
      <c r="O21" s="392"/>
      <c r="P21" s="392"/>
      <c r="Q21" s="392"/>
      <c r="R21" s="392"/>
      <c r="S21" s="392"/>
      <c r="T21" s="392"/>
      <c r="U21" s="392"/>
      <c r="V21" s="210"/>
      <c r="W21" s="387" t="s">
        <v>1041</v>
      </c>
      <c r="X21" s="371"/>
      <c r="Y21" s="371"/>
      <c r="Z21" s="371"/>
      <c r="AA21" s="371"/>
      <c r="AB21" s="371"/>
      <c r="AC21" s="371"/>
      <c r="AD21" s="371"/>
      <c r="AE21" s="371"/>
      <c r="AF21" s="370"/>
      <c r="AG21" s="370"/>
      <c r="AH21" s="370"/>
      <c r="AI21" s="370"/>
      <c r="AJ21" s="370"/>
      <c r="AK21" s="370"/>
      <c r="AL21" s="370"/>
      <c r="AM21" s="370"/>
      <c r="AN21" s="370"/>
      <c r="AO21" s="388"/>
    </row>
    <row r="22" spans="1:41" ht="15" customHeight="1">
      <c r="A22" s="393" t="s">
        <v>585</v>
      </c>
      <c r="B22" s="394"/>
      <c r="C22" s="394"/>
      <c r="D22" s="394"/>
      <c r="E22" s="394"/>
      <c r="F22" s="394"/>
      <c r="G22" s="394"/>
      <c r="H22" s="394"/>
      <c r="I22" s="395"/>
      <c r="J22" s="396"/>
      <c r="K22" s="403"/>
      <c r="L22" s="392" t="s">
        <v>1042</v>
      </c>
      <c r="M22" s="392"/>
      <c r="N22" s="392"/>
      <c r="O22" s="392"/>
      <c r="P22" s="392"/>
      <c r="Q22" s="392"/>
      <c r="R22" s="392"/>
      <c r="S22" s="392"/>
      <c r="T22" s="392"/>
      <c r="U22" s="392"/>
      <c r="V22" s="210"/>
      <c r="W22" s="387" t="s">
        <v>1043</v>
      </c>
      <c r="X22" s="371"/>
      <c r="Y22" s="371"/>
      <c r="Z22" s="371"/>
      <c r="AA22" s="371"/>
      <c r="AB22" s="371"/>
      <c r="AC22" s="371"/>
      <c r="AD22" s="371"/>
      <c r="AE22" s="371"/>
      <c r="AF22" s="397"/>
      <c r="AG22" s="397"/>
      <c r="AH22" s="397"/>
      <c r="AI22" s="397"/>
      <c r="AJ22" s="397"/>
      <c r="AK22" s="397"/>
      <c r="AL22" s="397"/>
      <c r="AM22" s="397"/>
      <c r="AN22" s="397"/>
      <c r="AO22" s="398"/>
    </row>
    <row r="23" spans="1:41" ht="15" customHeight="1">
      <c r="A23" s="366" t="s">
        <v>1044</v>
      </c>
      <c r="B23" s="366"/>
      <c r="C23" s="366"/>
      <c r="D23" s="366"/>
      <c r="E23" s="366"/>
      <c r="F23" s="366"/>
      <c r="G23" s="366"/>
      <c r="H23" s="366"/>
      <c r="I23" s="366"/>
      <c r="J23" s="366"/>
      <c r="K23" s="366"/>
      <c r="L23" s="366"/>
      <c r="M23" s="366"/>
      <c r="N23" s="366"/>
      <c r="O23" s="366"/>
      <c r="P23" s="366"/>
      <c r="Q23" s="366"/>
      <c r="R23" s="366"/>
      <c r="S23" s="366"/>
      <c r="T23" s="366"/>
      <c r="U23" s="366"/>
      <c r="V23" s="366"/>
      <c r="W23" s="387" t="s">
        <v>1045</v>
      </c>
      <c r="X23" s="371"/>
      <c r="Y23" s="371"/>
      <c r="Z23" s="371"/>
      <c r="AA23" s="371"/>
      <c r="AB23" s="371"/>
      <c r="AC23" s="371"/>
      <c r="AD23" s="371"/>
      <c r="AE23" s="371"/>
      <c r="AF23" s="370"/>
      <c r="AG23" s="370"/>
      <c r="AH23" s="370"/>
      <c r="AI23" s="370"/>
      <c r="AJ23" s="370"/>
      <c r="AK23" s="370"/>
      <c r="AL23" s="370"/>
      <c r="AM23" s="370"/>
      <c r="AN23" s="370"/>
      <c r="AO23" s="388"/>
    </row>
    <row r="24" spans="1:41" ht="15" customHeight="1">
      <c r="A24" s="374" t="s">
        <v>1046</v>
      </c>
      <c r="B24" s="375"/>
      <c r="C24" s="375"/>
      <c r="D24" s="375"/>
      <c r="E24" s="375"/>
      <c r="F24" s="375"/>
      <c r="G24" s="375"/>
      <c r="H24" s="375"/>
      <c r="I24" s="375"/>
      <c r="J24" s="375"/>
      <c r="K24" s="375"/>
      <c r="L24" s="375"/>
      <c r="M24" s="376"/>
      <c r="N24" s="377">
        <f>Q24/Q26</f>
        <v>1</v>
      </c>
      <c r="O24" s="377"/>
      <c r="P24" s="377"/>
      <c r="Q24" s="378">
        <f>'E-OG'!I428</f>
        <v>122546454</v>
      </c>
      <c r="R24" s="379"/>
      <c r="S24" s="379"/>
      <c r="T24" s="379"/>
      <c r="U24" s="379"/>
      <c r="V24" s="380"/>
      <c r="W24" s="389" t="s">
        <v>1047</v>
      </c>
      <c r="X24" s="390"/>
      <c r="Y24" s="390"/>
      <c r="Z24" s="390"/>
      <c r="AA24" s="390"/>
      <c r="AB24" s="390"/>
      <c r="AC24" s="390"/>
      <c r="AD24" s="390"/>
      <c r="AE24" s="390"/>
      <c r="AF24" s="390"/>
      <c r="AG24" s="390"/>
      <c r="AH24" s="390"/>
      <c r="AI24" s="390"/>
      <c r="AJ24" s="390"/>
      <c r="AK24" s="390"/>
      <c r="AL24" s="390"/>
      <c r="AM24" s="390"/>
      <c r="AN24" s="390"/>
      <c r="AO24" s="391"/>
    </row>
    <row r="25" spans="1:41" ht="15" customHeight="1">
      <c r="A25" s="374" t="s">
        <v>1048</v>
      </c>
      <c r="B25" s="375"/>
      <c r="C25" s="375"/>
      <c r="D25" s="375"/>
      <c r="E25" s="375"/>
      <c r="F25" s="375"/>
      <c r="G25" s="375"/>
      <c r="H25" s="375"/>
      <c r="I25" s="375"/>
      <c r="J25" s="375"/>
      <c r="K25" s="376"/>
      <c r="L25" s="385"/>
      <c r="M25" s="386"/>
      <c r="N25" s="377">
        <f>Q25/Q26</f>
        <v>0</v>
      </c>
      <c r="O25" s="377"/>
      <c r="P25" s="377"/>
      <c r="Q25" s="378">
        <v>0</v>
      </c>
      <c r="R25" s="379"/>
      <c r="S25" s="379"/>
      <c r="T25" s="379"/>
      <c r="U25" s="379"/>
      <c r="V25" s="380"/>
      <c r="W25" s="387" t="s">
        <v>586</v>
      </c>
      <c r="X25" s="371"/>
      <c r="Y25" s="371"/>
      <c r="Z25" s="371"/>
      <c r="AA25" s="371"/>
      <c r="AB25" s="370"/>
      <c r="AC25" s="370"/>
      <c r="AD25" s="371" t="s">
        <v>588</v>
      </c>
      <c r="AE25" s="371"/>
      <c r="AF25" s="371"/>
      <c r="AG25" s="371"/>
      <c r="AH25" s="371"/>
      <c r="AI25" s="370"/>
      <c r="AJ25" s="370"/>
      <c r="AK25" s="371" t="s">
        <v>519</v>
      </c>
      <c r="AL25" s="371"/>
      <c r="AM25" s="371"/>
      <c r="AN25" s="372">
        <f>AB25+AI25</f>
        <v>0</v>
      </c>
      <c r="AO25" s="373"/>
    </row>
    <row r="26" spans="1:41" ht="15" customHeight="1">
      <c r="A26" s="374" t="s">
        <v>1253</v>
      </c>
      <c r="B26" s="375"/>
      <c r="C26" s="375"/>
      <c r="D26" s="375"/>
      <c r="E26" s="375"/>
      <c r="F26" s="375"/>
      <c r="G26" s="375"/>
      <c r="H26" s="375"/>
      <c r="I26" s="375"/>
      <c r="J26" s="375"/>
      <c r="K26" s="375"/>
      <c r="L26" s="375"/>
      <c r="M26" s="376"/>
      <c r="N26" s="377">
        <f>SUM(N24:P25)</f>
        <v>1</v>
      </c>
      <c r="O26" s="377"/>
      <c r="P26" s="377"/>
      <c r="Q26" s="378">
        <f>Q24+Q25</f>
        <v>122546454</v>
      </c>
      <c r="R26" s="379"/>
      <c r="S26" s="379"/>
      <c r="T26" s="379"/>
      <c r="U26" s="379"/>
      <c r="V26" s="380"/>
      <c r="W26" s="381" t="s">
        <v>1049</v>
      </c>
      <c r="X26" s="382"/>
      <c r="Y26" s="382"/>
      <c r="Z26" s="382"/>
      <c r="AA26" s="382"/>
      <c r="AB26" s="382"/>
      <c r="AC26" s="382"/>
      <c r="AD26" s="382"/>
      <c r="AE26" s="382"/>
      <c r="AF26" s="383"/>
      <c r="AG26" s="383"/>
      <c r="AH26" s="383"/>
      <c r="AI26" s="383"/>
      <c r="AJ26" s="383"/>
      <c r="AK26" s="383"/>
      <c r="AL26" s="383"/>
      <c r="AM26" s="383"/>
      <c r="AN26" s="383"/>
      <c r="AO26" s="384"/>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1050</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1252</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9012098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1052</v>
      </c>
      <c r="C30" s="303">
        <f>Estadisticas!F11</f>
        <v>82950393</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1055</v>
      </c>
      <c r="C32" s="303">
        <f>Estadisticas!F9</f>
        <v>8148408</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21497229</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1057</v>
      </c>
      <c r="C33" s="303">
        <f>Estadisticas!F8</f>
        <v>6640964</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3220000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7718317</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9784322</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920</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18841811</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16775882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1063</v>
      </c>
      <c r="C37" s="303">
        <f>Estadisticas!F4</f>
        <v>17088372</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43415112</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66" t="s">
        <v>1244</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226"/>
    </row>
    <row r="46" spans="1:42" ht="15" customHeight="1">
      <c r="A46" s="367" t="s">
        <v>1065</v>
      </c>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8"/>
      <c r="AP46" s="226"/>
    </row>
    <row r="47" spans="1:41" s="228" customFormat="1" ht="15" customHeight="1">
      <c r="A47" s="227"/>
      <c r="B47" s="313">
        <f>IF(E47&gt;0,"X","")</f>
      </c>
      <c r="C47" s="357" t="s">
        <v>1067</v>
      </c>
      <c r="D47" s="369"/>
      <c r="E47" s="359"/>
      <c r="F47" s="360"/>
      <c r="G47" s="354" t="s">
        <v>1068</v>
      </c>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61"/>
    </row>
    <row r="48" spans="1:41" s="228" customFormat="1" ht="15" customHeight="1">
      <c r="A48" s="362" t="s">
        <v>1069</v>
      </c>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5"/>
    </row>
    <row r="49" spans="1:41" s="228" customFormat="1" ht="15" customHeight="1">
      <c r="A49" s="227"/>
      <c r="B49" s="313">
        <f>IF(E49&gt;0,"X","")</f>
      </c>
      <c r="C49" s="357" t="s">
        <v>1067</v>
      </c>
      <c r="D49" s="358"/>
      <c r="E49" s="359"/>
      <c r="F49" s="360"/>
      <c r="G49" s="354" t="s">
        <v>1070</v>
      </c>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61"/>
    </row>
    <row r="50" spans="1:41" s="229" customFormat="1" ht="15" customHeight="1">
      <c r="A50" s="362" t="s">
        <v>1071</v>
      </c>
      <c r="B50" s="363"/>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5"/>
    </row>
    <row r="51" spans="1:42" s="228" customFormat="1" ht="15" customHeight="1">
      <c r="A51" s="227"/>
      <c r="B51" s="313" t="str">
        <f>IF(Estadisticas!M14&gt;0,"X","")</f>
        <v>X</v>
      </c>
      <c r="C51" s="354" t="s">
        <v>1072</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230"/>
    </row>
    <row r="52" spans="1:42" s="228" customFormat="1" ht="15" customHeight="1">
      <c r="A52" s="227"/>
      <c r="B52" s="313" t="str">
        <f>IF('I-TI'!I278&gt;0,"X","")</f>
        <v>X</v>
      </c>
      <c r="C52" s="354" t="s">
        <v>1073</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231"/>
    </row>
    <row r="53" spans="1:42" s="228" customFormat="1" ht="15" customHeight="1">
      <c r="A53" s="227"/>
      <c r="B53" s="313" t="str">
        <f>IF('E-OG'!I428&gt;0,"X","")</f>
        <v>X</v>
      </c>
      <c r="C53" s="354" t="s">
        <v>1074</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232"/>
    </row>
    <row r="54" spans="1:42" s="229" customFormat="1" ht="15" customHeight="1">
      <c r="A54" s="233"/>
      <c r="B54" s="313" t="str">
        <f>IF(P!G188&gt;0,"X","")</f>
        <v>X</v>
      </c>
      <c r="C54" s="354" t="s">
        <v>1075</v>
      </c>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231"/>
    </row>
    <row r="55" spans="1:42" s="228" customFormat="1" ht="15" customHeight="1">
      <c r="A55" s="227"/>
      <c r="B55" s="313" t="str">
        <f>IF('E-UA'!M25&gt;0,"X","")</f>
        <v>X</v>
      </c>
      <c r="C55" s="354" t="s">
        <v>1076</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232"/>
    </row>
    <row r="56" spans="1:42" s="229" customFormat="1" ht="15" customHeight="1">
      <c r="A56" s="233"/>
      <c r="B56" s="313" t="str">
        <f>IF('E-FP'!S31&gt;0,"X","")</f>
        <v>X</v>
      </c>
      <c r="C56" s="354" t="s">
        <v>1077</v>
      </c>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6" t="s">
        <v>1078</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row>
    <row r="59" spans="1:42" ht="15" customHeight="1">
      <c r="A59" s="461" t="s">
        <v>1417</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3"/>
      <c r="AP59" s="237"/>
    </row>
    <row r="60" spans="1:42" ht="15" customHeight="1">
      <c r="A60" s="464"/>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6"/>
      <c r="AP60" s="237"/>
    </row>
    <row r="61" spans="1:42" ht="15" customHeight="1">
      <c r="A61" s="464"/>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6"/>
      <c r="AP61" s="237"/>
    </row>
    <row r="62" spans="1:42" ht="15" customHeight="1">
      <c r="A62" s="464"/>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6"/>
      <c r="AP62" s="237"/>
    </row>
    <row r="63" spans="1:42" ht="15" customHeight="1">
      <c r="A63" s="464"/>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6"/>
      <c r="AP63" s="237"/>
    </row>
    <row r="64" spans="1:42" ht="15" customHeight="1">
      <c r="A64" s="464"/>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6"/>
      <c r="AP64" s="237"/>
    </row>
    <row r="65" spans="1:42" ht="15" customHeight="1">
      <c r="A65" s="464"/>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6"/>
      <c r="AP65" s="237"/>
    </row>
    <row r="66" spans="1:42" ht="15" customHeight="1">
      <c r="A66" s="464"/>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6"/>
      <c r="AP66" s="237"/>
    </row>
    <row r="67" spans="1:42" ht="15" customHeight="1">
      <c r="A67" s="464"/>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6"/>
      <c r="AP67" s="238"/>
    </row>
    <row r="68" spans="1:42" s="182" customFormat="1" ht="15" customHeight="1">
      <c r="A68" s="467"/>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9"/>
      <c r="AP68" s="238"/>
    </row>
    <row r="69" spans="1:41" ht="15" customHeight="1">
      <c r="A69" s="347" t="s">
        <v>589</v>
      </c>
      <c r="B69" s="347"/>
      <c r="C69" s="347"/>
      <c r="D69" s="347"/>
      <c r="E69" s="347"/>
      <c r="F69" s="347"/>
      <c r="G69" s="347"/>
      <c r="H69" s="347"/>
      <c r="I69" s="347"/>
      <c r="J69" s="347"/>
      <c r="K69" s="347"/>
      <c r="L69" s="347"/>
      <c r="M69" s="347"/>
      <c r="N69" s="347"/>
      <c r="O69" s="347" t="s">
        <v>1079</v>
      </c>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row>
    <row r="70" spans="1:41" ht="18.75" customHeight="1">
      <c r="A70" s="348" t="s">
        <v>616</v>
      </c>
      <c r="B70" s="349"/>
      <c r="C70" s="349"/>
      <c r="D70" s="349"/>
      <c r="E70" s="349"/>
      <c r="F70" s="349"/>
      <c r="G70" s="349"/>
      <c r="H70" s="349"/>
      <c r="I70" s="349"/>
      <c r="J70" s="349"/>
      <c r="K70" s="349"/>
      <c r="L70" s="349"/>
      <c r="M70" s="349"/>
      <c r="N70" s="350"/>
      <c r="O70" s="328">
        <f>IF(B51="X","","No anexa o hace falta integrar información en el formato de Situación Hacendaria.")</f>
      </c>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30"/>
    </row>
    <row r="71" spans="1:41" ht="18.75" customHeight="1">
      <c r="A71" s="351"/>
      <c r="B71" s="352"/>
      <c r="C71" s="352"/>
      <c r="D71" s="352"/>
      <c r="E71" s="352"/>
      <c r="F71" s="352"/>
      <c r="G71" s="352"/>
      <c r="H71" s="352"/>
      <c r="I71" s="352"/>
      <c r="J71" s="352"/>
      <c r="K71" s="352"/>
      <c r="L71" s="352"/>
      <c r="M71" s="352"/>
      <c r="N71" s="353"/>
      <c r="O71" s="331"/>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3"/>
    </row>
    <row r="72" spans="1:41" ht="18.75" customHeight="1">
      <c r="A72" s="351"/>
      <c r="B72" s="352"/>
      <c r="C72" s="352"/>
      <c r="D72" s="352"/>
      <c r="E72" s="352"/>
      <c r="F72" s="352"/>
      <c r="G72" s="352"/>
      <c r="H72" s="352"/>
      <c r="I72" s="352"/>
      <c r="J72" s="352"/>
      <c r="K72" s="352"/>
      <c r="L72" s="352"/>
      <c r="M72" s="352"/>
      <c r="N72" s="353"/>
      <c r="O72" s="328">
        <f>IF(Estadisticas!F14=Estadisticas!N14,"","En lo general no existe equilibrio entre los Ingresos estimados y el presupuesto de Egresos, en los primeros se tiene $"&amp;Estadisticas!F14&amp;" cuando para los Egresos asciende a un monto de $"&amp;Estadisticas!N14&amp;".")</f>
      </c>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30"/>
    </row>
    <row r="73" spans="1:41" ht="18.75" customHeight="1">
      <c r="A73" s="431"/>
      <c r="B73" s="432"/>
      <c r="C73" s="432"/>
      <c r="D73" s="432"/>
      <c r="E73" s="432"/>
      <c r="F73" s="432"/>
      <c r="G73" s="432"/>
      <c r="H73" s="432"/>
      <c r="I73" s="432"/>
      <c r="J73" s="432"/>
      <c r="K73" s="432"/>
      <c r="L73" s="432"/>
      <c r="M73" s="432"/>
      <c r="N73" s="433"/>
      <c r="O73" s="331"/>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3"/>
    </row>
    <row r="74" spans="1:41" ht="18.75" customHeight="1">
      <c r="A74" s="319" t="s">
        <v>1080</v>
      </c>
      <c r="B74" s="320"/>
      <c r="C74" s="320"/>
      <c r="D74" s="320"/>
      <c r="E74" s="320"/>
      <c r="F74" s="320"/>
      <c r="G74" s="320"/>
      <c r="H74" s="320"/>
      <c r="I74" s="320"/>
      <c r="J74" s="320"/>
      <c r="K74" s="320"/>
      <c r="L74" s="320"/>
      <c r="M74" s="320"/>
      <c r="N74" s="321"/>
      <c r="O74" s="328">
        <f>IF(B52="X","","No anexa o hace falta integrar información en el formato de Estimación de Ingresos por Clasificación Económica, Fuente de Financiamiento y Concepto.")</f>
      </c>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30"/>
    </row>
    <row r="75" spans="1:41" ht="18.75" customHeight="1">
      <c r="A75" s="322"/>
      <c r="B75" s="323"/>
      <c r="C75" s="323"/>
      <c r="D75" s="323"/>
      <c r="E75" s="323"/>
      <c r="F75" s="323"/>
      <c r="G75" s="323"/>
      <c r="H75" s="323"/>
      <c r="I75" s="323"/>
      <c r="J75" s="323"/>
      <c r="K75" s="323"/>
      <c r="L75" s="323"/>
      <c r="M75" s="323"/>
      <c r="N75" s="324"/>
      <c r="O75" s="331"/>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3"/>
    </row>
    <row r="76" spans="1:41" ht="18.75" customHeight="1">
      <c r="A76" s="322"/>
      <c r="B76" s="323"/>
      <c r="C76" s="323"/>
      <c r="D76" s="323"/>
      <c r="E76" s="323"/>
      <c r="F76" s="323"/>
      <c r="G76" s="323"/>
      <c r="H76" s="323"/>
      <c r="I76" s="323"/>
      <c r="J76" s="323"/>
      <c r="K76" s="323"/>
      <c r="L76" s="323"/>
      <c r="M76" s="323"/>
      <c r="N76" s="324"/>
      <c r="O76" s="328"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30"/>
    </row>
    <row r="77" spans="1:41" ht="18.75" customHeight="1">
      <c r="A77" s="322"/>
      <c r="B77" s="323"/>
      <c r="C77" s="323"/>
      <c r="D77" s="323"/>
      <c r="E77" s="323"/>
      <c r="F77" s="323"/>
      <c r="G77" s="323"/>
      <c r="H77" s="323"/>
      <c r="I77" s="323"/>
      <c r="J77" s="323"/>
      <c r="K77" s="323"/>
      <c r="L77" s="323"/>
      <c r="M77" s="323"/>
      <c r="N77" s="324"/>
      <c r="O77" s="331"/>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3"/>
    </row>
    <row r="78" spans="1:41" ht="18.75" customHeight="1">
      <c r="A78" s="348" t="s">
        <v>1081</v>
      </c>
      <c r="B78" s="349"/>
      <c r="C78" s="349"/>
      <c r="D78" s="349"/>
      <c r="E78" s="349"/>
      <c r="F78" s="349"/>
      <c r="G78" s="349"/>
      <c r="H78" s="349"/>
      <c r="I78" s="349"/>
      <c r="J78" s="349"/>
      <c r="K78" s="349"/>
      <c r="L78" s="349"/>
      <c r="M78" s="349"/>
      <c r="N78" s="350"/>
      <c r="O78" s="328">
        <f>IF(B53="X","","No anexa o hace falta integrar información en el formato de Presupuesto de Egresos por Clasificación Económica y Objeto del Gasto.")</f>
      </c>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30"/>
    </row>
    <row r="79" spans="1:41" ht="18.75" customHeight="1">
      <c r="A79" s="351"/>
      <c r="B79" s="352"/>
      <c r="C79" s="352"/>
      <c r="D79" s="352"/>
      <c r="E79" s="352"/>
      <c r="F79" s="352"/>
      <c r="G79" s="352"/>
      <c r="H79" s="352"/>
      <c r="I79" s="352"/>
      <c r="J79" s="352"/>
      <c r="K79" s="352"/>
      <c r="L79" s="352"/>
      <c r="M79" s="352"/>
      <c r="N79" s="353"/>
      <c r="O79" s="331"/>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3"/>
    </row>
    <row r="80" spans="1:41" ht="18.75" customHeight="1">
      <c r="A80" s="351"/>
      <c r="B80" s="352"/>
      <c r="C80" s="352"/>
      <c r="D80" s="352"/>
      <c r="E80" s="352"/>
      <c r="F80" s="352"/>
      <c r="G80" s="352"/>
      <c r="H80" s="352"/>
      <c r="I80" s="352"/>
      <c r="J80" s="352"/>
      <c r="K80" s="352"/>
      <c r="L80" s="352"/>
      <c r="M80" s="352"/>
      <c r="N80" s="353"/>
      <c r="O80" s="328" t="str">
        <f>IF(H8=10000,"En la estimación de los Egresos se dejó de presupuestar en las partidas: "&amp;IF('E-OG'!I5&lt;1,"111, ",)&amp;IF('E-OG'!I7&lt;1,"113, ",)&amp;IF('E-OG'!I16&lt;1,"132, ",)&amp;IF('E-OG'!I24&lt;1,"141, ",)&amp;IF('E-OG'!I26&lt;1,"143",),"")</f>
        <v>En la estimación de los Egresos se dejó de presupuestar en las partidas: 143</v>
      </c>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30"/>
    </row>
    <row r="81" spans="1:41" ht="18.75" customHeight="1">
      <c r="A81" s="351"/>
      <c r="B81" s="352"/>
      <c r="C81" s="352"/>
      <c r="D81" s="352"/>
      <c r="E81" s="352"/>
      <c r="F81" s="352"/>
      <c r="G81" s="352"/>
      <c r="H81" s="352"/>
      <c r="I81" s="352"/>
      <c r="J81" s="352"/>
      <c r="K81" s="352"/>
      <c r="L81" s="352"/>
      <c r="M81" s="352"/>
      <c r="N81" s="353"/>
      <c r="O81" s="331"/>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3"/>
    </row>
    <row r="82" spans="1:41" ht="18.75" customHeight="1">
      <c r="A82" s="351"/>
      <c r="B82" s="352"/>
      <c r="C82" s="352"/>
      <c r="D82" s="352"/>
      <c r="E82" s="352"/>
      <c r="F82" s="352"/>
      <c r="G82" s="352"/>
      <c r="H82" s="352"/>
      <c r="I82" s="352"/>
      <c r="J82" s="352"/>
      <c r="K82" s="352"/>
      <c r="L82" s="352"/>
      <c r="M82" s="352"/>
      <c r="N82" s="353"/>
      <c r="O82" s="328">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30"/>
    </row>
    <row r="83" spans="1:41" ht="18.75" customHeight="1">
      <c r="A83" s="351"/>
      <c r="B83" s="352"/>
      <c r="C83" s="352"/>
      <c r="D83" s="352"/>
      <c r="E83" s="352"/>
      <c r="F83" s="352"/>
      <c r="G83" s="352"/>
      <c r="H83" s="352"/>
      <c r="I83" s="352"/>
      <c r="J83" s="352"/>
      <c r="K83" s="352"/>
      <c r="L83" s="352"/>
      <c r="M83" s="352"/>
      <c r="N83" s="353"/>
      <c r="O83" s="331"/>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3"/>
    </row>
    <row r="84" spans="1:41" ht="18.75" customHeight="1">
      <c r="A84" s="351"/>
      <c r="B84" s="352"/>
      <c r="C84" s="352"/>
      <c r="D84" s="352"/>
      <c r="E84" s="352"/>
      <c r="F84" s="352"/>
      <c r="G84" s="352"/>
      <c r="H84" s="352"/>
      <c r="I84" s="352"/>
      <c r="J84" s="352"/>
      <c r="K84" s="352"/>
      <c r="L84" s="352"/>
      <c r="M84" s="352"/>
      <c r="N84" s="353"/>
      <c r="O84" s="328">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30"/>
    </row>
    <row r="85" spans="1:41" ht="18.75" customHeight="1">
      <c r="A85" s="351"/>
      <c r="B85" s="352"/>
      <c r="C85" s="352"/>
      <c r="D85" s="352"/>
      <c r="E85" s="352"/>
      <c r="F85" s="352"/>
      <c r="G85" s="352"/>
      <c r="H85" s="352"/>
      <c r="I85" s="352"/>
      <c r="J85" s="352"/>
      <c r="K85" s="352"/>
      <c r="L85" s="352"/>
      <c r="M85" s="352"/>
      <c r="N85" s="353"/>
      <c r="O85" s="331"/>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3"/>
    </row>
    <row r="86" spans="1:41" ht="18.75" customHeight="1">
      <c r="A86" s="351"/>
      <c r="B86" s="352"/>
      <c r="C86" s="352"/>
      <c r="D86" s="352"/>
      <c r="E86" s="352"/>
      <c r="F86" s="352"/>
      <c r="G86" s="352"/>
      <c r="H86" s="352"/>
      <c r="I86" s="352"/>
      <c r="J86" s="352"/>
      <c r="K86" s="352"/>
      <c r="L86" s="352"/>
      <c r="M86" s="352"/>
      <c r="N86" s="353"/>
      <c r="O86" s="328">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30"/>
    </row>
    <row r="87" spans="1:41" ht="18.75" customHeight="1">
      <c r="A87" s="351"/>
      <c r="B87" s="352"/>
      <c r="C87" s="352"/>
      <c r="D87" s="352"/>
      <c r="E87" s="352"/>
      <c r="F87" s="352"/>
      <c r="G87" s="352"/>
      <c r="H87" s="352"/>
      <c r="I87" s="352"/>
      <c r="J87" s="352"/>
      <c r="K87" s="352"/>
      <c r="L87" s="352"/>
      <c r="M87" s="352"/>
      <c r="N87" s="353"/>
      <c r="O87" s="331"/>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3"/>
    </row>
    <row r="88" spans="1:41" ht="18.75" customHeight="1">
      <c r="A88" s="351"/>
      <c r="B88" s="352"/>
      <c r="C88" s="352"/>
      <c r="D88" s="352"/>
      <c r="E88" s="352"/>
      <c r="F88" s="352"/>
      <c r="G88" s="352"/>
      <c r="H88" s="352"/>
      <c r="I88" s="352"/>
      <c r="J88" s="352"/>
      <c r="K88" s="352"/>
      <c r="L88" s="352"/>
      <c r="M88" s="352"/>
      <c r="N88" s="353"/>
      <c r="O88" s="328">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30"/>
    </row>
    <row r="89" spans="1:41" ht="18.75" customHeight="1">
      <c r="A89" s="351"/>
      <c r="B89" s="352"/>
      <c r="C89" s="352"/>
      <c r="D89" s="352"/>
      <c r="E89" s="352"/>
      <c r="F89" s="352"/>
      <c r="G89" s="352"/>
      <c r="H89" s="352"/>
      <c r="I89" s="352"/>
      <c r="J89" s="352"/>
      <c r="K89" s="352"/>
      <c r="L89" s="352"/>
      <c r="M89" s="352"/>
      <c r="N89" s="353"/>
      <c r="O89" s="331"/>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3"/>
    </row>
    <row r="90" spans="1:41" ht="18.75" customHeight="1">
      <c r="A90" s="351"/>
      <c r="B90" s="352"/>
      <c r="C90" s="352"/>
      <c r="D90" s="352"/>
      <c r="E90" s="352"/>
      <c r="F90" s="352"/>
      <c r="G90" s="352"/>
      <c r="H90" s="352"/>
      <c r="I90" s="352"/>
      <c r="J90" s="352"/>
      <c r="K90" s="352"/>
      <c r="L90" s="352"/>
      <c r="M90" s="352"/>
      <c r="N90" s="353"/>
      <c r="O90" s="328">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30"/>
    </row>
    <row r="91" spans="1:41" ht="18.75" customHeight="1">
      <c r="A91" s="351"/>
      <c r="B91" s="352"/>
      <c r="C91" s="352"/>
      <c r="D91" s="352"/>
      <c r="E91" s="352"/>
      <c r="F91" s="352"/>
      <c r="G91" s="352"/>
      <c r="H91" s="352"/>
      <c r="I91" s="352"/>
      <c r="J91" s="352"/>
      <c r="K91" s="352"/>
      <c r="L91" s="352"/>
      <c r="M91" s="352"/>
      <c r="N91" s="353"/>
      <c r="O91" s="331"/>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3"/>
    </row>
    <row r="92" spans="1:41" ht="18.75" customHeight="1">
      <c r="A92" s="351"/>
      <c r="B92" s="352"/>
      <c r="C92" s="352"/>
      <c r="D92" s="352"/>
      <c r="E92" s="352"/>
      <c r="F92" s="352"/>
      <c r="G92" s="352"/>
      <c r="H92" s="352"/>
      <c r="I92" s="352"/>
      <c r="J92" s="352"/>
      <c r="K92" s="352"/>
      <c r="L92" s="352"/>
      <c r="M92" s="352"/>
      <c r="N92" s="353"/>
      <c r="O92" s="328">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30"/>
    </row>
    <row r="93" spans="1:41" ht="18.75" customHeight="1">
      <c r="A93" s="351"/>
      <c r="B93" s="352"/>
      <c r="C93" s="352"/>
      <c r="D93" s="352"/>
      <c r="E93" s="352"/>
      <c r="F93" s="352"/>
      <c r="G93" s="352"/>
      <c r="H93" s="352"/>
      <c r="I93" s="352"/>
      <c r="J93" s="352"/>
      <c r="K93" s="352"/>
      <c r="L93" s="352"/>
      <c r="M93" s="352"/>
      <c r="N93" s="353"/>
      <c r="O93" s="331"/>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3"/>
    </row>
    <row r="94" spans="1:41" ht="18.75" customHeight="1">
      <c r="A94" s="319" t="s">
        <v>617</v>
      </c>
      <c r="B94" s="320"/>
      <c r="C94" s="320"/>
      <c r="D94" s="320"/>
      <c r="E94" s="320"/>
      <c r="F94" s="320"/>
      <c r="G94" s="320"/>
      <c r="H94" s="320"/>
      <c r="I94" s="320"/>
      <c r="J94" s="320"/>
      <c r="K94" s="320"/>
      <c r="L94" s="320"/>
      <c r="M94" s="320"/>
      <c r="N94" s="321"/>
      <c r="O94" s="328">
        <f>IF(B54="X","","No anexa o hace falta integrar información en el formato de Plantilla de Personal de Carácter Permanente.")</f>
      </c>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30"/>
    </row>
    <row r="95" spans="1:41" ht="18.75" customHeight="1">
      <c r="A95" s="322"/>
      <c r="B95" s="323"/>
      <c r="C95" s="323"/>
      <c r="D95" s="323"/>
      <c r="E95" s="323"/>
      <c r="F95" s="323"/>
      <c r="G95" s="323"/>
      <c r="H95" s="323"/>
      <c r="I95" s="323"/>
      <c r="J95" s="323"/>
      <c r="K95" s="323"/>
      <c r="L95" s="323"/>
      <c r="M95" s="323"/>
      <c r="N95" s="324"/>
      <c r="O95" s="331"/>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3"/>
    </row>
    <row r="96" spans="1:41" ht="18.75" customHeight="1">
      <c r="A96" s="322"/>
      <c r="B96" s="323"/>
      <c r="C96" s="323"/>
      <c r="D96" s="323"/>
      <c r="E96" s="323"/>
      <c r="F96" s="323"/>
      <c r="G96" s="323"/>
      <c r="H96" s="323"/>
      <c r="I96" s="323"/>
      <c r="J96" s="323"/>
      <c r="K96" s="323"/>
      <c r="L96" s="323"/>
      <c r="M96" s="323"/>
      <c r="N96" s="324"/>
      <c r="O96" s="328">
        <f>IF('E-OG'!I4=P!G188,"","Los sueldos base al personal permanente estimado en el presupuesto de egresos(partida 1100) son por $"&amp;'E-OG'!I4&amp;", en cuanto en la plantilla de personal de carácter permanente es por $"&amp;P!G188&amp;", por lo que no existe equilibrio.")</f>
      </c>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30"/>
    </row>
    <row r="97" spans="1:41" ht="18.75" customHeight="1">
      <c r="A97" s="325"/>
      <c r="B97" s="326"/>
      <c r="C97" s="326"/>
      <c r="D97" s="326"/>
      <c r="E97" s="326"/>
      <c r="F97" s="326"/>
      <c r="G97" s="326"/>
      <c r="H97" s="326"/>
      <c r="I97" s="326"/>
      <c r="J97" s="326"/>
      <c r="K97" s="326"/>
      <c r="L97" s="326"/>
      <c r="M97" s="326"/>
      <c r="N97" s="327"/>
      <c r="O97" s="331"/>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3"/>
    </row>
    <row r="98" spans="1:41" ht="18.75" customHeight="1">
      <c r="A98" s="319" t="s">
        <v>1082</v>
      </c>
      <c r="B98" s="320"/>
      <c r="C98" s="320"/>
      <c r="D98" s="320"/>
      <c r="E98" s="320"/>
      <c r="F98" s="320"/>
      <c r="G98" s="320"/>
      <c r="H98" s="320"/>
      <c r="I98" s="320"/>
      <c r="J98" s="320"/>
      <c r="K98" s="320"/>
      <c r="L98" s="320"/>
      <c r="M98" s="320"/>
      <c r="N98" s="321"/>
      <c r="O98" s="328">
        <f>IF(B55="X","","No anexa o hace falta integrar información en el formato de Presupuesto de Egresos por Clasificación Administrativa.")</f>
      </c>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30"/>
    </row>
    <row r="99" spans="1:41" ht="18.75" customHeight="1">
      <c r="A99" s="322"/>
      <c r="B99" s="323"/>
      <c r="C99" s="323"/>
      <c r="D99" s="323"/>
      <c r="E99" s="323"/>
      <c r="F99" s="323"/>
      <c r="G99" s="323"/>
      <c r="H99" s="323"/>
      <c r="I99" s="323"/>
      <c r="J99" s="323"/>
      <c r="K99" s="323"/>
      <c r="L99" s="323"/>
      <c r="M99" s="323"/>
      <c r="N99" s="324"/>
      <c r="O99" s="331"/>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3"/>
    </row>
    <row r="100" spans="1:41" ht="18.75" customHeight="1">
      <c r="A100" s="322"/>
      <c r="B100" s="323"/>
      <c r="C100" s="323"/>
      <c r="D100" s="323"/>
      <c r="E100" s="323"/>
      <c r="F100" s="323"/>
      <c r="G100" s="323"/>
      <c r="H100" s="323"/>
      <c r="I100" s="323"/>
      <c r="J100" s="323"/>
      <c r="K100" s="323"/>
      <c r="L100" s="323"/>
      <c r="M100" s="323"/>
      <c r="N100" s="324"/>
      <c r="O100" s="328">
        <f>IF('E-UA'!M25=Estadisticas!N14,"","En lo general no existe equilibrio entre el presupuesto de egresos por clasificación administrativa y el presupuesto de Egresos, en el primero se tiene $"&amp;'E-UA'!M25&amp;" cuando para los Egresos asiende a un monto de $"&amp;Estadisticas!N14&amp;".")</f>
      </c>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30"/>
    </row>
    <row r="101" spans="1:41" ht="18.75" customHeight="1">
      <c r="A101" s="325"/>
      <c r="B101" s="326"/>
      <c r="C101" s="326"/>
      <c r="D101" s="326"/>
      <c r="E101" s="326"/>
      <c r="F101" s="326"/>
      <c r="G101" s="326"/>
      <c r="H101" s="326"/>
      <c r="I101" s="326"/>
      <c r="J101" s="326"/>
      <c r="K101" s="326"/>
      <c r="L101" s="326"/>
      <c r="M101" s="326"/>
      <c r="N101" s="327"/>
      <c r="O101" s="331"/>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3"/>
    </row>
    <row r="102" spans="1:41" ht="18.75" customHeight="1">
      <c r="A102" s="319" t="s">
        <v>1083</v>
      </c>
      <c r="B102" s="320"/>
      <c r="C102" s="320"/>
      <c r="D102" s="320"/>
      <c r="E102" s="320"/>
      <c r="F102" s="320"/>
      <c r="G102" s="320"/>
      <c r="H102" s="320"/>
      <c r="I102" s="320"/>
      <c r="J102" s="320"/>
      <c r="K102" s="320"/>
      <c r="L102" s="320"/>
      <c r="M102" s="320"/>
      <c r="N102" s="321"/>
      <c r="O102" s="328">
        <f>IF(B56="X","","No anexa o hace falta integrar información en el formato de Presupuesto de Egresos por Clasificación Funcional-Programática.")</f>
      </c>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30"/>
    </row>
    <row r="103" spans="1:41" ht="18.75" customHeight="1">
      <c r="A103" s="322"/>
      <c r="B103" s="323"/>
      <c r="C103" s="323"/>
      <c r="D103" s="323"/>
      <c r="E103" s="323"/>
      <c r="F103" s="323"/>
      <c r="G103" s="323"/>
      <c r="H103" s="323"/>
      <c r="I103" s="323"/>
      <c r="J103" s="323"/>
      <c r="K103" s="323"/>
      <c r="L103" s="323"/>
      <c r="M103" s="323"/>
      <c r="N103" s="324"/>
      <c r="O103" s="331"/>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3"/>
    </row>
    <row r="104" spans="1:41" ht="18.75" customHeight="1">
      <c r="A104" s="322"/>
      <c r="B104" s="323"/>
      <c r="C104" s="323"/>
      <c r="D104" s="323"/>
      <c r="E104" s="323"/>
      <c r="F104" s="323"/>
      <c r="G104" s="323"/>
      <c r="H104" s="323"/>
      <c r="I104" s="323"/>
      <c r="J104" s="323"/>
      <c r="K104" s="323"/>
      <c r="L104" s="323"/>
      <c r="M104" s="323"/>
      <c r="N104" s="324"/>
      <c r="O104" s="328">
        <f>IF('E-FP'!S31=Estadisticas!N14,"","En lo general no existe equilibrio entre el presupuesto de egresos por clasificación funcional-prográmatica y el presupuesto de Egresos, en el primero se tiene $"&amp;'E-FP'!S31&amp;" cuando para los Egresos asiende a un monto de $"&amp;Estadisticas!N14&amp;".")</f>
      </c>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30"/>
    </row>
    <row r="105" spans="1:41" ht="18.75" customHeight="1">
      <c r="A105" s="325"/>
      <c r="B105" s="326"/>
      <c r="C105" s="326"/>
      <c r="D105" s="326"/>
      <c r="E105" s="326"/>
      <c r="F105" s="326"/>
      <c r="G105" s="326"/>
      <c r="H105" s="326"/>
      <c r="I105" s="326"/>
      <c r="J105" s="326"/>
      <c r="K105" s="326"/>
      <c r="L105" s="326"/>
      <c r="M105" s="326"/>
      <c r="N105" s="327"/>
      <c r="O105" s="331"/>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3"/>
    </row>
    <row r="106" ht="15" customHeight="1"/>
    <row r="107" spans="1:41" ht="15" customHeight="1">
      <c r="A107" s="342" t="s">
        <v>905</v>
      </c>
      <c r="B107" s="343"/>
      <c r="C107" s="343"/>
      <c r="D107" s="343"/>
      <c r="E107" s="343"/>
      <c r="F107" s="343"/>
      <c r="G107" s="343"/>
      <c r="H107" s="343"/>
      <c r="I107" s="343"/>
      <c r="J107" s="343"/>
      <c r="K107" s="343"/>
      <c r="L107" s="343"/>
      <c r="M107" s="343"/>
      <c r="N107" s="343"/>
      <c r="O107" s="343"/>
      <c r="P107" s="343"/>
      <c r="Q107" s="343"/>
      <c r="R107" s="343"/>
      <c r="S107" s="343"/>
      <c r="T107" s="344"/>
      <c r="U107" s="342" t="s">
        <v>904</v>
      </c>
      <c r="V107" s="343"/>
      <c r="W107" s="343"/>
      <c r="X107" s="343"/>
      <c r="Y107" s="343"/>
      <c r="Z107" s="343"/>
      <c r="AA107" s="343"/>
      <c r="AB107" s="343"/>
      <c r="AC107" s="343"/>
      <c r="AD107" s="343"/>
      <c r="AE107" s="343"/>
      <c r="AF107" s="343"/>
      <c r="AG107" s="343"/>
      <c r="AH107" s="343"/>
      <c r="AI107" s="343"/>
      <c r="AJ107" s="343"/>
      <c r="AK107" s="343"/>
      <c r="AL107" s="343"/>
      <c r="AM107" s="343"/>
      <c r="AN107" s="343"/>
      <c r="AO107" s="344"/>
    </row>
    <row r="108" spans="1:41" ht="15" customHeight="1">
      <c r="A108" s="345"/>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row>
    <row r="109" spans="1:41" ht="15" customHeight="1">
      <c r="A109" s="345"/>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row>
    <row r="110" spans="1:41" ht="15" customHeight="1">
      <c r="A110" s="345"/>
      <c r="B110" s="345"/>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row>
    <row r="111" spans="1:41" ht="15" customHeight="1">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row>
    <row r="112" spans="1:41" ht="15" customHeight="1">
      <c r="A112" s="334"/>
      <c r="B112" s="335"/>
      <c r="C112" s="335"/>
      <c r="D112" s="335"/>
      <c r="E112" s="335"/>
      <c r="F112" s="335"/>
      <c r="G112" s="335"/>
      <c r="H112" s="335"/>
      <c r="I112" s="335"/>
      <c r="J112" s="335"/>
      <c r="K112" s="335"/>
      <c r="L112" s="335"/>
      <c r="M112" s="335"/>
      <c r="N112" s="335"/>
      <c r="O112" s="335"/>
      <c r="P112" s="335"/>
      <c r="Q112" s="335"/>
      <c r="R112" s="335"/>
      <c r="S112" s="335"/>
      <c r="T112" s="336"/>
      <c r="U112" s="334"/>
      <c r="V112" s="335"/>
      <c r="W112" s="335"/>
      <c r="X112" s="335"/>
      <c r="Y112" s="335"/>
      <c r="Z112" s="335"/>
      <c r="AA112" s="335"/>
      <c r="AB112" s="335"/>
      <c r="AC112" s="335"/>
      <c r="AD112" s="335"/>
      <c r="AE112" s="335"/>
      <c r="AF112" s="335"/>
      <c r="AG112" s="335"/>
      <c r="AH112" s="335"/>
      <c r="AI112" s="335"/>
      <c r="AJ112" s="335"/>
      <c r="AK112" s="335"/>
      <c r="AL112" s="335"/>
      <c r="AM112" s="335"/>
      <c r="AN112" s="335"/>
      <c r="AO112" s="336"/>
    </row>
    <row r="113" spans="1:41" ht="15" customHeight="1">
      <c r="A113" s="337"/>
      <c r="B113" s="338"/>
      <c r="C113" s="338"/>
      <c r="D113" s="338"/>
      <c r="E113" s="338"/>
      <c r="F113" s="338"/>
      <c r="G113" s="338"/>
      <c r="H113" s="338"/>
      <c r="I113" s="338"/>
      <c r="J113" s="338"/>
      <c r="K113" s="338"/>
      <c r="L113" s="338"/>
      <c r="M113" s="338"/>
      <c r="N113" s="338"/>
      <c r="O113" s="338"/>
      <c r="P113" s="338"/>
      <c r="Q113" s="338"/>
      <c r="R113" s="338"/>
      <c r="S113" s="338"/>
      <c r="T113" s="339"/>
      <c r="U113" s="337"/>
      <c r="V113" s="338"/>
      <c r="W113" s="338"/>
      <c r="X113" s="338"/>
      <c r="Y113" s="338"/>
      <c r="Z113" s="338"/>
      <c r="AA113" s="338"/>
      <c r="AB113" s="338"/>
      <c r="AC113" s="338"/>
      <c r="AD113" s="338"/>
      <c r="AE113" s="338"/>
      <c r="AF113" s="338"/>
      <c r="AG113" s="338"/>
      <c r="AH113" s="338"/>
      <c r="AI113" s="338"/>
      <c r="AJ113" s="338"/>
      <c r="AK113" s="338"/>
      <c r="AL113" s="338"/>
      <c r="AM113" s="338"/>
      <c r="AN113" s="338"/>
      <c r="AO113" s="339"/>
    </row>
    <row r="114" ht="15" customHeight="1"/>
    <row r="115" spans="1:41" ht="15" customHeight="1">
      <c r="A115" s="340" t="s">
        <v>1085</v>
      </c>
      <c r="B115" s="340"/>
      <c r="C115" s="340"/>
      <c r="D115" s="340"/>
      <c r="E115" s="340"/>
      <c r="F115" s="340"/>
      <c r="G115" s="340"/>
      <c r="H115" s="340"/>
      <c r="I115" s="340"/>
      <c r="J115" s="340"/>
      <c r="K115" s="340"/>
      <c r="L115" s="340"/>
      <c r="M115" s="340"/>
      <c r="N115" s="340"/>
      <c r="O115" s="340"/>
      <c r="P115" s="340"/>
      <c r="Q115" s="340"/>
      <c r="R115" s="340"/>
      <c r="S115" s="340"/>
      <c r="T115" s="340"/>
      <c r="U115" s="341">
        <f ca="1">TODAY()</f>
        <v>41484</v>
      </c>
      <c r="V115" s="341"/>
      <c r="W115" s="341"/>
      <c r="X115" s="341"/>
      <c r="Y115" s="341"/>
      <c r="Z115" s="341"/>
      <c r="AA115" s="341"/>
      <c r="AB115" s="341"/>
      <c r="AC115" s="341"/>
      <c r="AD115" s="341"/>
      <c r="AE115" s="341"/>
      <c r="AF115" s="341"/>
      <c r="AG115" s="341"/>
      <c r="AH115" s="341"/>
      <c r="AI115" s="341"/>
      <c r="AJ115" s="341"/>
      <c r="AK115" s="341"/>
      <c r="AL115" s="341"/>
      <c r="AM115" s="341"/>
      <c r="AN115" s="341"/>
      <c r="AO115" s="341"/>
    </row>
    <row r="116" spans="36:42" ht="15" customHeight="1">
      <c r="AJ116" s="316" t="s">
        <v>1086</v>
      </c>
      <c r="AK116" s="317"/>
      <c r="AL116" s="317"/>
      <c r="AM116" s="317"/>
      <c r="AN116" s="317"/>
      <c r="AO116" s="318"/>
      <c r="AP116" s="195"/>
    </row>
    <row r="117" ht="15" customHeight="1"/>
    <row r="118" spans="1:18" ht="15" customHeight="1" hidden="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18" ht="15" customHeight="1" hidden="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18" ht="15" customHeight="1" hidden="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2:42" ht="15" customHeight="1" hidden="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1115</v>
      </c>
      <c r="K122" s="181">
        <v>5</v>
      </c>
      <c r="L122" s="181" t="s">
        <v>1116</v>
      </c>
      <c r="M122" s="242" t="s">
        <v>1117</v>
      </c>
      <c r="O122" s="240">
        <v>5</v>
      </c>
      <c r="P122" s="242" t="s">
        <v>1118</v>
      </c>
      <c r="Z122" s="193"/>
      <c r="AF122" s="186"/>
    </row>
    <row r="123" spans="2:41" ht="15" customHeight="1" hidden="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3:26" ht="15" customHeight="1" hidden="1">
      <c r="C124" s="181">
        <v>7</v>
      </c>
      <c r="K124" s="181">
        <v>7</v>
      </c>
      <c r="L124" s="181" t="s">
        <v>1122</v>
      </c>
      <c r="M124" s="181" t="s">
        <v>1117</v>
      </c>
      <c r="O124" s="239">
        <v>7</v>
      </c>
      <c r="P124" s="181" t="s">
        <v>1123</v>
      </c>
      <c r="X124" s="186"/>
      <c r="Z124" s="189"/>
    </row>
    <row r="125" spans="3:32" ht="15" customHeight="1" hidden="1">
      <c r="C125" s="181">
        <v>8</v>
      </c>
      <c r="K125" s="181">
        <v>8</v>
      </c>
      <c r="L125" s="181" t="s">
        <v>1124</v>
      </c>
      <c r="M125" s="181" t="s">
        <v>1117</v>
      </c>
      <c r="O125" s="239">
        <v>8</v>
      </c>
      <c r="P125" s="181" t="s">
        <v>1125</v>
      </c>
      <c r="AF125" s="186"/>
    </row>
    <row r="126" spans="3:26" ht="15" customHeight="1" hidden="1">
      <c r="C126" s="181">
        <v>9</v>
      </c>
      <c r="O126" s="239">
        <v>9</v>
      </c>
      <c r="P126" s="181" t="s">
        <v>1126</v>
      </c>
      <c r="X126" s="186"/>
      <c r="Z126" s="189"/>
    </row>
    <row r="127" spans="3:40" ht="15" customHeight="1" hidden="1">
      <c r="C127" s="181">
        <v>10</v>
      </c>
      <c r="O127" s="239">
        <v>10</v>
      </c>
      <c r="P127" s="181" t="s">
        <v>1127</v>
      </c>
      <c r="AL127" s="186"/>
      <c r="AN127" s="193"/>
    </row>
    <row r="128" spans="3:38" ht="15" customHeight="1" hidden="1">
      <c r="C128" s="181">
        <v>11</v>
      </c>
      <c r="O128" s="239">
        <v>11</v>
      </c>
      <c r="P128" s="181" t="s">
        <v>1128</v>
      </c>
      <c r="X128" s="186"/>
      <c r="Z128" s="189"/>
      <c r="AL128" s="186"/>
    </row>
    <row r="129" spans="3:38" ht="15" customHeight="1" hidden="1">
      <c r="C129" s="181">
        <v>12</v>
      </c>
      <c r="O129" s="239">
        <v>12</v>
      </c>
      <c r="P129" s="181" t="s">
        <v>1129</v>
      </c>
      <c r="AL129" s="186"/>
    </row>
    <row r="130" spans="15:38" ht="15" customHeight="1" hidden="1">
      <c r="O130" s="239">
        <v>13</v>
      </c>
      <c r="P130" s="181" t="s">
        <v>1130</v>
      </c>
      <c r="X130" s="186"/>
      <c r="Z130" s="189"/>
      <c r="AL130" s="186"/>
    </row>
    <row r="131" spans="15:40" ht="15" customHeight="1" hidden="1">
      <c r="O131" s="239">
        <v>14</v>
      </c>
      <c r="P131" s="181" t="s">
        <v>1131</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5:40" ht="15" customHeight="1" hidden="1">
      <c r="O133" s="239">
        <v>16</v>
      </c>
      <c r="P133" s="181" t="s">
        <v>1133</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5:16" ht="15" customHeight="1" hidden="1">
      <c r="O140" s="239">
        <v>23</v>
      </c>
      <c r="P140" s="181" t="s">
        <v>1140</v>
      </c>
    </row>
    <row r="141" spans="15:16" ht="15" customHeight="1" hidden="1">
      <c r="O141" s="239">
        <v>24</v>
      </c>
      <c r="P141" s="181" t="s">
        <v>1141</v>
      </c>
    </row>
    <row r="142" spans="3:29" ht="15" customHeight="1" hidden="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1158</v>
      </c>
      <c r="AD158" s="249"/>
      <c r="AE158" s="249"/>
      <c r="AF158" s="249"/>
      <c r="AG158" s="249"/>
      <c r="AH158" s="249"/>
      <c r="AI158" s="249"/>
      <c r="AJ158" s="249"/>
      <c r="AK158" s="249"/>
      <c r="AL158" s="249"/>
      <c r="AM158" s="249"/>
      <c r="AN158" s="249"/>
      <c r="AO158" s="249"/>
      <c r="AP158" s="249"/>
    </row>
    <row r="159" spans="15:16" ht="15" customHeight="1" hidden="1">
      <c r="O159" s="239">
        <v>42</v>
      </c>
      <c r="P159" s="181" t="s">
        <v>1159</v>
      </c>
    </row>
    <row r="160" spans="15:16" ht="15" customHeight="1" hidden="1">
      <c r="O160" s="239">
        <v>43</v>
      </c>
      <c r="P160" s="181" t="s">
        <v>1160</v>
      </c>
    </row>
    <row r="161" spans="15:16" ht="15" customHeight="1" hidden="1">
      <c r="O161" s="239">
        <v>44</v>
      </c>
      <c r="P161" s="181" t="s">
        <v>1161</v>
      </c>
    </row>
    <row r="162" spans="15:16" ht="15" customHeight="1" hidden="1">
      <c r="O162" s="239">
        <v>45</v>
      </c>
      <c r="P162" s="181" t="s">
        <v>1162</v>
      </c>
    </row>
    <row r="163" spans="15:16" ht="15" customHeight="1" hidden="1">
      <c r="O163" s="239">
        <v>46</v>
      </c>
      <c r="P163" s="181" t="s">
        <v>1163</v>
      </c>
    </row>
    <row r="164" spans="5:26" ht="15" customHeight="1" hidden="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1180</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1181</v>
      </c>
    </row>
    <row r="182" spans="15:16" ht="15" customHeight="1" hidden="1">
      <c r="O182" s="239">
        <v>65</v>
      </c>
      <c r="P182" s="181" t="s">
        <v>1182</v>
      </c>
    </row>
    <row r="183" spans="15:16" ht="15" customHeight="1" hidden="1">
      <c r="O183" s="239">
        <v>66</v>
      </c>
      <c r="P183" s="181" t="s">
        <v>1183</v>
      </c>
    </row>
    <row r="184" spans="15:16" ht="15" customHeight="1" hidden="1">
      <c r="O184" s="239">
        <v>67</v>
      </c>
      <c r="P184" s="181" t="s">
        <v>1184</v>
      </c>
    </row>
    <row r="185" spans="15:16" ht="15" customHeight="1" hidden="1">
      <c r="O185" s="239">
        <v>68</v>
      </c>
      <c r="P185" s="181" t="s">
        <v>1185</v>
      </c>
    </row>
    <row r="186" spans="15:16" ht="15" customHeight="1" hidden="1">
      <c r="O186" s="239">
        <v>69</v>
      </c>
      <c r="P186" s="181" t="s">
        <v>1186</v>
      </c>
    </row>
    <row r="187" spans="2:29" ht="15" customHeight="1" hidden="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E4" sqref="E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1" t="s">
        <v>605</v>
      </c>
      <c r="B1" s="491"/>
      <c r="C1" s="491"/>
      <c r="D1" s="491"/>
      <c r="E1" s="486" t="s">
        <v>1248</v>
      </c>
      <c r="F1" s="486" t="s">
        <v>1250</v>
      </c>
      <c r="G1" s="492" t="s">
        <v>1247</v>
      </c>
      <c r="I1" s="491" t="s">
        <v>605</v>
      </c>
      <c r="J1" s="491"/>
      <c r="K1" s="491"/>
      <c r="L1" s="491"/>
      <c r="M1" s="486" t="s">
        <v>1248</v>
      </c>
      <c r="N1" s="486" t="s">
        <v>1246</v>
      </c>
      <c r="O1" s="492" t="s">
        <v>1247</v>
      </c>
    </row>
    <row r="2" spans="1:15" ht="15">
      <c r="A2" s="491"/>
      <c r="B2" s="491"/>
      <c r="C2" s="491"/>
      <c r="D2" s="491"/>
      <c r="E2" s="486"/>
      <c r="F2" s="486"/>
      <c r="G2" s="492"/>
      <c r="I2" s="491"/>
      <c r="J2" s="491"/>
      <c r="K2" s="491"/>
      <c r="L2" s="491"/>
      <c r="M2" s="486"/>
      <c r="N2" s="486"/>
      <c r="O2" s="492"/>
    </row>
    <row r="3" spans="1:15" ht="23.25">
      <c r="A3" s="504" t="s">
        <v>614</v>
      </c>
      <c r="B3" s="504"/>
      <c r="C3" s="504"/>
      <c r="D3" s="504"/>
      <c r="E3" s="504"/>
      <c r="F3" s="504"/>
      <c r="G3" s="504"/>
      <c r="I3" s="493" t="s">
        <v>615</v>
      </c>
      <c r="J3" s="493"/>
      <c r="K3" s="493"/>
      <c r="L3" s="493"/>
      <c r="M3" s="493"/>
      <c r="N3" s="493"/>
      <c r="O3" s="493"/>
    </row>
    <row r="4" spans="1:15" ht="15">
      <c r="A4" s="487" t="s">
        <v>443</v>
      </c>
      <c r="B4" s="488"/>
      <c r="C4" s="488"/>
      <c r="D4" s="489"/>
      <c r="E4" s="260">
        <v>16274641</v>
      </c>
      <c r="F4" s="97">
        <f>'I-TI'!I3</f>
        <v>17088372</v>
      </c>
      <c r="G4" s="119">
        <f aca="true" t="shared" si="0" ref="G4:G14">(F4-E4)/E4</f>
        <v>0.04999993548244781</v>
      </c>
      <c r="I4" s="494"/>
      <c r="J4" s="494"/>
      <c r="K4" s="494"/>
      <c r="L4" s="494"/>
      <c r="M4" s="494"/>
      <c r="N4" s="494"/>
      <c r="O4" s="494"/>
    </row>
    <row r="5" spans="1:15" ht="15">
      <c r="A5" s="487" t="s">
        <v>429</v>
      </c>
      <c r="B5" s="488"/>
      <c r="C5" s="488"/>
      <c r="D5" s="489"/>
      <c r="E5" s="97"/>
      <c r="F5" s="97">
        <f>'I-TI'!I44</f>
        <v>0</v>
      </c>
      <c r="G5" s="119" t="e">
        <f t="shared" si="0"/>
        <v>#DIV/0!</v>
      </c>
      <c r="I5" s="498" t="s">
        <v>0</v>
      </c>
      <c r="J5" s="498"/>
      <c r="K5" s="498"/>
      <c r="L5" s="498"/>
      <c r="M5" s="260">
        <v>43080809</v>
      </c>
      <c r="N5" s="97">
        <f>'E-OG'!I3</f>
        <v>43415112</v>
      </c>
      <c r="O5" s="119">
        <f aca="true" t="shared" si="1" ref="O5:O14">(N5-M5)/M5</f>
        <v>0.007759905344395923</v>
      </c>
    </row>
    <row r="6" spans="1:15" ht="15">
      <c r="A6" s="487" t="s">
        <v>424</v>
      </c>
      <c r="B6" s="488"/>
      <c r="C6" s="488"/>
      <c r="D6" s="489"/>
      <c r="E6" s="260"/>
      <c r="F6" s="97">
        <f>'I-TI'!I50</f>
        <v>0</v>
      </c>
      <c r="G6" s="119" t="e">
        <f t="shared" si="0"/>
        <v>#DIV/0!</v>
      </c>
      <c r="I6" s="495" t="s">
        <v>32</v>
      </c>
      <c r="J6" s="496"/>
      <c r="K6" s="496"/>
      <c r="L6" s="497"/>
      <c r="M6" s="260">
        <v>14697505</v>
      </c>
      <c r="N6" s="97">
        <f>'E-OG'!I40</f>
        <v>16775882</v>
      </c>
      <c r="O6" s="119">
        <f t="shared" si="1"/>
        <v>0.1414101917298208</v>
      </c>
    </row>
    <row r="7" spans="1:15" ht="15">
      <c r="A7" s="487" t="s">
        <v>422</v>
      </c>
      <c r="B7" s="488"/>
      <c r="C7" s="488"/>
      <c r="D7" s="489"/>
      <c r="E7" s="260">
        <v>6787712</v>
      </c>
      <c r="F7" s="97">
        <f>'I-TI'!I54</f>
        <v>7718317</v>
      </c>
      <c r="G7" s="119">
        <f t="shared" si="0"/>
        <v>0.13710142681363027</v>
      </c>
      <c r="I7" s="495" t="s">
        <v>89</v>
      </c>
      <c r="J7" s="496"/>
      <c r="K7" s="496"/>
      <c r="L7" s="497"/>
      <c r="M7" s="260">
        <v>19111089</v>
      </c>
      <c r="N7" s="97">
        <f>'E-OG'!I105</f>
        <v>18841811</v>
      </c>
      <c r="O7" s="119">
        <f t="shared" si="1"/>
        <v>-0.014090144208945917</v>
      </c>
    </row>
    <row r="8" spans="1:15" ht="15">
      <c r="A8" s="487" t="s">
        <v>552</v>
      </c>
      <c r="B8" s="488"/>
      <c r="C8" s="488"/>
      <c r="D8" s="489"/>
      <c r="E8" s="260">
        <v>6324729</v>
      </c>
      <c r="F8" s="97">
        <f>'I-TI'!I172</f>
        <v>6640964</v>
      </c>
      <c r="G8" s="119">
        <f t="shared" si="0"/>
        <v>0.04999977074116535</v>
      </c>
      <c r="I8" s="495" t="s">
        <v>149</v>
      </c>
      <c r="J8" s="496"/>
      <c r="K8" s="496"/>
      <c r="L8" s="497"/>
      <c r="M8" s="260">
        <v>8998461</v>
      </c>
      <c r="N8" s="97">
        <f>'E-OG'!I190</f>
        <v>9784322</v>
      </c>
      <c r="O8" s="119">
        <f t="shared" si="1"/>
        <v>0.08733282280158797</v>
      </c>
    </row>
    <row r="9" spans="1:15" ht="15">
      <c r="A9" s="487" t="s">
        <v>554</v>
      </c>
      <c r="B9" s="488"/>
      <c r="C9" s="488"/>
      <c r="D9" s="489"/>
      <c r="E9" s="260">
        <v>7760389</v>
      </c>
      <c r="F9" s="97">
        <f>'I-TI'!I201</f>
        <v>8148408</v>
      </c>
      <c r="G9" s="119">
        <f t="shared" si="0"/>
        <v>0.049999942013216093</v>
      </c>
      <c r="I9" s="495" t="s">
        <v>760</v>
      </c>
      <c r="J9" s="496"/>
      <c r="K9" s="496"/>
      <c r="L9" s="497"/>
      <c r="M9" s="260">
        <v>7497340</v>
      </c>
      <c r="N9" s="97">
        <f>'E-OG'!I249</f>
        <v>3220000</v>
      </c>
      <c r="O9" s="119">
        <f t="shared" si="1"/>
        <v>-0.5705143424201117</v>
      </c>
    </row>
    <row r="10" spans="1:15" ht="15">
      <c r="A10" s="490" t="s">
        <v>583</v>
      </c>
      <c r="B10" s="490"/>
      <c r="C10" s="490"/>
      <c r="D10" s="490"/>
      <c r="E10" s="97"/>
      <c r="F10" s="97">
        <f>'I-TI'!I224</f>
        <v>0</v>
      </c>
      <c r="G10" s="119" t="e">
        <f t="shared" si="0"/>
        <v>#DIV/0!</v>
      </c>
      <c r="I10" s="495" t="s">
        <v>598</v>
      </c>
      <c r="J10" s="496"/>
      <c r="K10" s="496"/>
      <c r="L10" s="497"/>
      <c r="M10" s="260">
        <v>17196745</v>
      </c>
      <c r="N10" s="97">
        <f>'E-OG'!I308</f>
        <v>21497229</v>
      </c>
      <c r="O10" s="119">
        <f t="shared" si="1"/>
        <v>0.25007546486268184</v>
      </c>
    </row>
    <row r="11" spans="1:15" ht="15">
      <c r="A11" s="490" t="s">
        <v>255</v>
      </c>
      <c r="B11" s="490"/>
      <c r="C11" s="490"/>
      <c r="D11" s="490"/>
      <c r="E11" s="260">
        <v>70067175</v>
      </c>
      <c r="F11" s="97">
        <f>'I-TI'!I237</f>
        <v>82950393</v>
      </c>
      <c r="G11" s="119">
        <f t="shared" si="0"/>
        <v>0.18386952235479737</v>
      </c>
      <c r="I11" s="495" t="s">
        <v>227</v>
      </c>
      <c r="J11" s="496"/>
      <c r="K11" s="496"/>
      <c r="L11" s="497"/>
      <c r="M11" s="260">
        <v>0</v>
      </c>
      <c r="N11" s="97">
        <f>'E-OG'!I330</f>
        <v>0</v>
      </c>
      <c r="O11" s="119" t="e">
        <f t="shared" si="1"/>
        <v>#DIV/0!</v>
      </c>
    </row>
    <row r="12" spans="1:15" ht="15">
      <c r="A12" s="490" t="s">
        <v>1251</v>
      </c>
      <c r="B12" s="490"/>
      <c r="C12" s="490"/>
      <c r="D12" s="490"/>
      <c r="E12" s="260">
        <v>0</v>
      </c>
      <c r="F12" s="97">
        <f>'I-TI'!I251</f>
        <v>0</v>
      </c>
      <c r="G12" s="119" t="e">
        <f t="shared" si="0"/>
        <v>#DIV/0!</v>
      </c>
      <c r="I12" s="495" t="s">
        <v>255</v>
      </c>
      <c r="J12" s="496"/>
      <c r="K12" s="496"/>
      <c r="L12" s="497"/>
      <c r="M12" s="97"/>
      <c r="N12" s="97">
        <f>'E-OG'!I378</f>
        <v>0</v>
      </c>
      <c r="O12" s="119" t="e">
        <f t="shared" si="1"/>
        <v>#DIV/0!</v>
      </c>
    </row>
    <row r="13" spans="1:15" ht="15">
      <c r="A13" s="490" t="s">
        <v>560</v>
      </c>
      <c r="B13" s="490"/>
      <c r="C13" s="490"/>
      <c r="D13" s="490"/>
      <c r="E13" s="260"/>
      <c r="F13" s="97">
        <f>'I-TI'!I271</f>
        <v>0</v>
      </c>
      <c r="G13" s="119" t="e">
        <f t="shared" si="0"/>
        <v>#DIV/0!</v>
      </c>
      <c r="I13" s="495" t="s">
        <v>307</v>
      </c>
      <c r="J13" s="496"/>
      <c r="K13" s="496"/>
      <c r="L13" s="497"/>
      <c r="M13" s="260">
        <v>5881316</v>
      </c>
      <c r="N13" s="97">
        <f>'E-OG'!I396</f>
        <v>9012098</v>
      </c>
      <c r="O13" s="119">
        <f t="shared" si="1"/>
        <v>0.5323267785645254</v>
      </c>
    </row>
    <row r="14" spans="1:15" ht="15.75">
      <c r="A14" s="501" t="s">
        <v>568</v>
      </c>
      <c r="B14" s="502"/>
      <c r="C14" s="502"/>
      <c r="D14" s="503"/>
      <c r="E14" s="98">
        <f>SUM(E4:E13)</f>
        <v>107214646</v>
      </c>
      <c r="F14" s="100">
        <f>SUM(F4:F13)</f>
        <v>122546454</v>
      </c>
      <c r="G14" s="120">
        <f t="shared" si="0"/>
        <v>0.14300105976192842</v>
      </c>
      <c r="I14" s="505" t="s">
        <v>547</v>
      </c>
      <c r="J14" s="506"/>
      <c r="K14" s="506"/>
      <c r="L14" s="507"/>
      <c r="M14" s="99">
        <f>SUM(M5:M13)</f>
        <v>116463265</v>
      </c>
      <c r="N14" s="99">
        <f>SUM(N5:N13)</f>
        <v>122546454</v>
      </c>
      <c r="O14" s="121">
        <f t="shared" si="1"/>
        <v>0.05223268470105144</v>
      </c>
    </row>
    <row r="15" spans="1:12" ht="15">
      <c r="A15" s="264"/>
      <c r="L15" s="264"/>
    </row>
    <row r="16" spans="1:17" ht="21">
      <c r="A16" s="499" t="s">
        <v>980</v>
      </c>
      <c r="B16" s="499"/>
      <c r="C16" s="499"/>
      <c r="D16" s="499"/>
      <c r="E16" s="499"/>
      <c r="F16" s="499"/>
      <c r="G16" s="499"/>
      <c r="H16" s="499"/>
      <c r="I16" s="500" t="s">
        <v>1249</v>
      </c>
      <c r="J16" s="500"/>
      <c r="K16" s="500"/>
      <c r="L16" s="500"/>
      <c r="M16" s="500"/>
      <c r="N16" s="500"/>
      <c r="O16" s="500"/>
      <c r="P16" s="500"/>
      <c r="Q16" s="500"/>
    </row>
    <row r="17" spans="1:12" ht="15">
      <c r="A17" s="267" t="s">
        <v>567</v>
      </c>
      <c r="B17" s="268" t="s">
        <v>447</v>
      </c>
      <c r="C17" s="269" t="s">
        <v>623</v>
      </c>
      <c r="D17" s="270" t="s">
        <v>1245</v>
      </c>
      <c r="E17" s="271"/>
      <c r="F17" s="271"/>
      <c r="G17" s="271"/>
      <c r="H17" s="271"/>
      <c r="I17" s="272" t="s">
        <v>603</v>
      </c>
      <c r="J17" s="272" t="s">
        <v>447</v>
      </c>
      <c r="K17" s="273" t="s">
        <v>623</v>
      </c>
      <c r="L17" s="274" t="s">
        <v>1245</v>
      </c>
    </row>
    <row r="18" spans="1:12" ht="52.5" customHeight="1">
      <c r="A18" s="275">
        <v>1</v>
      </c>
      <c r="B18" s="276" t="s">
        <v>593</v>
      </c>
      <c r="C18" s="277">
        <f>SUM(F4:F10)</f>
        <v>39596061</v>
      </c>
      <c r="D18" s="278">
        <f>C18/$C$21</f>
        <v>0.3231106221971955</v>
      </c>
      <c r="I18" s="279">
        <v>1</v>
      </c>
      <c r="J18" s="280" t="s">
        <v>600</v>
      </c>
      <c r="K18" s="281">
        <f>SUM(N5:N8)</f>
        <v>88817127</v>
      </c>
      <c r="L18" s="282">
        <f>K18/$K$21</f>
        <v>0.7247629294928436</v>
      </c>
    </row>
    <row r="19" spans="1:12" ht="52.5" customHeight="1">
      <c r="A19" s="275">
        <v>2</v>
      </c>
      <c r="B19" s="276" t="s">
        <v>631</v>
      </c>
      <c r="C19" s="277">
        <f>SUM(F11:F12)</f>
        <v>82950393</v>
      </c>
      <c r="D19" s="278">
        <f>C19/$C$21</f>
        <v>0.6768893778028044</v>
      </c>
      <c r="I19" s="279">
        <v>2</v>
      </c>
      <c r="J19" s="280" t="s">
        <v>601</v>
      </c>
      <c r="K19" s="281">
        <f>SUM(N9:N11)</f>
        <v>24717229</v>
      </c>
      <c r="L19" s="282">
        <f>K19/$K$21</f>
        <v>0.20169681123535407</v>
      </c>
    </row>
    <row r="20" spans="1:12" ht="52.5" customHeight="1">
      <c r="A20" s="275">
        <v>3</v>
      </c>
      <c r="B20" s="276" t="s">
        <v>624</v>
      </c>
      <c r="C20" s="277">
        <f>F13</f>
        <v>0</v>
      </c>
      <c r="D20" s="278">
        <f>C20/$C$21</f>
        <v>0</v>
      </c>
      <c r="I20" s="279">
        <v>3</v>
      </c>
      <c r="J20" s="280" t="s">
        <v>602</v>
      </c>
      <c r="K20" s="281">
        <f>N13</f>
        <v>9012098</v>
      </c>
      <c r="L20" s="282">
        <f>K20/$K$21</f>
        <v>0.07354025927180236</v>
      </c>
    </row>
    <row r="21" spans="1:12" ht="15">
      <c r="A21" s="283"/>
      <c r="B21" s="284" t="s">
        <v>519</v>
      </c>
      <c r="C21" s="285">
        <f>SUM(C18:C20)</f>
        <v>122546454</v>
      </c>
      <c r="D21" s="286">
        <f>SUM(D18:D20)</f>
        <v>1</v>
      </c>
      <c r="I21" s="287"/>
      <c r="J21" s="288" t="s">
        <v>519</v>
      </c>
      <c r="K21" s="289">
        <f>SUM(K18:K20)</f>
        <v>122546454</v>
      </c>
      <c r="L21" s="290">
        <f>SUM(L18:L20)</f>
        <v>1</v>
      </c>
    </row>
    <row r="22" ht="15">
      <c r="L22" s="264"/>
    </row>
    <row r="23" spans="1:17" ht="21">
      <c r="A23" s="499" t="s">
        <v>592</v>
      </c>
      <c r="B23" s="499"/>
      <c r="C23" s="499"/>
      <c r="D23" s="499"/>
      <c r="E23" s="499"/>
      <c r="F23" s="499"/>
      <c r="G23" s="499"/>
      <c r="H23" s="499"/>
      <c r="I23" s="500" t="s">
        <v>592</v>
      </c>
      <c r="J23" s="500"/>
      <c r="K23" s="500"/>
      <c r="L23" s="500"/>
      <c r="M23" s="500"/>
      <c r="N23" s="500"/>
      <c r="O23" s="500"/>
      <c r="P23" s="500"/>
      <c r="Q23" s="500"/>
    </row>
    <row r="24" spans="1:12" ht="15">
      <c r="A24" s="292" t="s">
        <v>536</v>
      </c>
      <c r="B24" s="292" t="s">
        <v>447</v>
      </c>
      <c r="C24" s="293" t="s">
        <v>623</v>
      </c>
      <c r="D24" s="294" t="s">
        <v>1245</v>
      </c>
      <c r="E24" s="271"/>
      <c r="F24" s="271"/>
      <c r="G24" s="271"/>
      <c r="H24" s="271"/>
      <c r="I24" s="272" t="s">
        <v>603</v>
      </c>
      <c r="J24" s="272" t="s">
        <v>447</v>
      </c>
      <c r="K24" s="273" t="s">
        <v>623</v>
      </c>
      <c r="L24" s="274" t="s">
        <v>1245</v>
      </c>
    </row>
    <row r="25" spans="1:12" ht="33.75" customHeight="1">
      <c r="A25" s="275">
        <v>100</v>
      </c>
      <c r="B25" s="295" t="s">
        <v>531</v>
      </c>
      <c r="C25" s="296">
        <f>'I-TI'!C278</f>
        <v>82782022</v>
      </c>
      <c r="D25" s="278">
        <f>C25/$C$30</f>
        <v>0.6755154416789572</v>
      </c>
      <c r="I25" s="279">
        <v>100</v>
      </c>
      <c r="J25" s="280" t="s">
        <v>531</v>
      </c>
      <c r="K25" s="297">
        <f>'E-OG'!C428</f>
        <v>82782022</v>
      </c>
      <c r="L25" s="282">
        <f>K25/$K$30</f>
        <v>0.6755154416789572</v>
      </c>
    </row>
    <row r="26" spans="1:12" ht="33.75" customHeight="1">
      <c r="A26" s="275">
        <v>200</v>
      </c>
      <c r="B26" s="295" t="s">
        <v>355</v>
      </c>
      <c r="C26" s="296">
        <f>'I-TI'!D278+'I-TI'!E278</f>
        <v>28964432</v>
      </c>
      <c r="D26" s="278">
        <f>C26/$C$30</f>
        <v>0.23635471329101043</v>
      </c>
      <c r="I26" s="279">
        <v>200</v>
      </c>
      <c r="J26" s="280" t="s">
        <v>355</v>
      </c>
      <c r="K26" s="297">
        <f>'E-OG'!D428+'E-OG'!E428</f>
        <v>28964432</v>
      </c>
      <c r="L26" s="282">
        <f>K26/$K$30</f>
        <v>0.23635471329101043</v>
      </c>
    </row>
    <row r="27" spans="1:12" ht="33.75" customHeight="1">
      <c r="A27" s="275">
        <v>300</v>
      </c>
      <c r="B27" s="295" t="s">
        <v>533</v>
      </c>
      <c r="C27" s="296">
        <f>'I-TI'!F278</f>
        <v>2800000</v>
      </c>
      <c r="D27" s="278">
        <f>C27/$C$30</f>
        <v>0.022848478341119523</v>
      </c>
      <c r="I27" s="279">
        <v>300</v>
      </c>
      <c r="J27" s="280" t="s">
        <v>533</v>
      </c>
      <c r="K27" s="297">
        <f>'E-OG'!F428</f>
        <v>2800000</v>
      </c>
      <c r="L27" s="282">
        <f>K27/$K$30</f>
        <v>0.022848478341119523</v>
      </c>
    </row>
    <row r="28" spans="1:12" ht="33.75" customHeight="1">
      <c r="A28" s="275">
        <v>400</v>
      </c>
      <c r="B28" s="295" t="s">
        <v>534</v>
      </c>
      <c r="C28" s="296">
        <f>'I-TI'!G278</f>
        <v>8000000</v>
      </c>
      <c r="D28" s="278">
        <f>C28/$C$30</f>
        <v>0.06528136668891292</v>
      </c>
      <c r="I28" s="279">
        <v>400</v>
      </c>
      <c r="J28" s="280" t="s">
        <v>534</v>
      </c>
      <c r="K28" s="297">
        <f>'E-OG'!G428</f>
        <v>8000000</v>
      </c>
      <c r="L28" s="282">
        <f>K28/$K$30</f>
        <v>0.06528136668891292</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122546454</v>
      </c>
      <c r="D30" s="298">
        <f>SUM(D25:D29)</f>
        <v>1</v>
      </c>
      <c r="I30" s="299"/>
      <c r="J30" s="288" t="s">
        <v>519</v>
      </c>
      <c r="K30" s="300">
        <f>SUM(K25:K29)</f>
        <v>122546454</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71" right="0.3937007874015748" top="1.141732283464567" bottom="0.7480314960629921" header="0.51"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zoomScalePageLayoutView="90" workbookViewId="0" topLeftCell="A1">
      <selection activeCell="B10" sqref="B10"/>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915</v>
      </c>
      <c r="B1" s="512" t="s">
        <v>570</v>
      </c>
      <c r="C1" s="513" t="s">
        <v>531</v>
      </c>
      <c r="D1" s="508" t="s">
        <v>355</v>
      </c>
      <c r="E1" s="508"/>
      <c r="F1" s="508" t="s">
        <v>1018</v>
      </c>
      <c r="G1" s="508"/>
      <c r="H1" s="508" t="s">
        <v>535</v>
      </c>
      <c r="I1" s="508" t="s">
        <v>519</v>
      </c>
      <c r="J1" s="167"/>
      <c r="K1" s="151"/>
    </row>
    <row r="2" spans="1:11" s="138" customFormat="1" ht="15" customHeight="1">
      <c r="A2" s="512"/>
      <c r="B2" s="512"/>
      <c r="C2" s="513"/>
      <c r="D2" s="172" t="s">
        <v>1014</v>
      </c>
      <c r="E2" s="172" t="s">
        <v>1015</v>
      </c>
      <c r="F2" s="172" t="s">
        <v>1016</v>
      </c>
      <c r="G2" s="172" t="s">
        <v>1017</v>
      </c>
      <c r="H2" s="508"/>
      <c r="I2" s="508"/>
      <c r="J2" s="167"/>
      <c r="K2" s="151"/>
    </row>
    <row r="3" spans="1:11" s="139" customFormat="1" ht="25.5" customHeight="1">
      <c r="A3" s="168">
        <v>1</v>
      </c>
      <c r="B3" s="169" t="s">
        <v>443</v>
      </c>
      <c r="C3" s="170">
        <f aca="true" t="shared" si="0" ref="C3:H3">C4+C13+C24+C25+C26+C27+C28+C41</f>
        <v>17088372</v>
      </c>
      <c r="D3" s="170">
        <f t="shared" si="0"/>
        <v>0</v>
      </c>
      <c r="E3" s="170">
        <f t="shared" si="0"/>
        <v>0</v>
      </c>
      <c r="F3" s="170">
        <f t="shared" si="0"/>
        <v>0</v>
      </c>
      <c r="G3" s="170">
        <f t="shared" si="0"/>
        <v>0</v>
      </c>
      <c r="H3" s="170">
        <f t="shared" si="0"/>
        <v>0</v>
      </c>
      <c r="I3" s="171">
        <f aca="true" t="shared" si="1" ref="I3:I66">SUM(C3+D3+E3+F3+H3+G3)</f>
        <v>17088372</v>
      </c>
      <c r="J3" s="158"/>
      <c r="K3" s="152"/>
    </row>
    <row r="4" spans="1:11" s="139" customFormat="1" ht="25.5" customHeight="1">
      <c r="A4" s="40">
        <v>11</v>
      </c>
      <c r="B4" s="41" t="s">
        <v>442</v>
      </c>
      <c r="C4" s="53">
        <f aca="true" t="shared" si="2" ref="C4:H4">C5</f>
        <v>7524</v>
      </c>
      <c r="D4" s="53">
        <f t="shared" si="2"/>
        <v>0</v>
      </c>
      <c r="E4" s="53">
        <f t="shared" si="2"/>
        <v>0</v>
      </c>
      <c r="F4" s="53">
        <f t="shared" si="2"/>
        <v>0</v>
      </c>
      <c r="G4" s="53">
        <f t="shared" si="2"/>
        <v>0</v>
      </c>
      <c r="H4" s="53">
        <f t="shared" si="2"/>
        <v>0</v>
      </c>
      <c r="I4" s="60">
        <f t="shared" si="1"/>
        <v>7524</v>
      </c>
      <c r="J4" s="158"/>
      <c r="K4" s="152"/>
    </row>
    <row r="5" spans="1:11" s="139" customFormat="1" ht="25.5" customHeight="1">
      <c r="A5" s="42">
        <v>11010</v>
      </c>
      <c r="B5" s="131" t="s">
        <v>906</v>
      </c>
      <c r="C5" s="54">
        <f aca="true" t="shared" si="3" ref="C5:H5">SUM(C6:C12)</f>
        <v>7524</v>
      </c>
      <c r="D5" s="54">
        <f t="shared" si="3"/>
        <v>0</v>
      </c>
      <c r="E5" s="54">
        <f t="shared" si="3"/>
        <v>0</v>
      </c>
      <c r="F5" s="54">
        <f t="shared" si="3"/>
        <v>0</v>
      </c>
      <c r="G5" s="54">
        <f t="shared" si="3"/>
        <v>0</v>
      </c>
      <c r="H5" s="54">
        <f t="shared" si="3"/>
        <v>0</v>
      </c>
      <c r="I5" s="60">
        <f t="shared" si="1"/>
        <v>7524</v>
      </c>
      <c r="J5" s="158"/>
      <c r="K5" s="152"/>
    </row>
    <row r="6" spans="1:11" s="139" customFormat="1" ht="25.5" customHeight="1">
      <c r="A6" s="132">
        <v>11011</v>
      </c>
      <c r="B6" s="43" t="s">
        <v>441</v>
      </c>
      <c r="C6" s="62">
        <v>7524</v>
      </c>
      <c r="D6" s="55"/>
      <c r="E6" s="55"/>
      <c r="F6" s="55"/>
      <c r="G6" s="55"/>
      <c r="H6" s="55"/>
      <c r="I6" s="60">
        <f t="shared" si="1"/>
        <v>7524</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c r="D8" s="55"/>
      <c r="E8" s="55"/>
      <c r="F8" s="55"/>
      <c r="G8" s="55"/>
      <c r="H8" s="55"/>
      <c r="I8" s="60">
        <f t="shared" si="1"/>
        <v>0</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16289624</v>
      </c>
      <c r="D13" s="53">
        <f t="shared" si="4"/>
        <v>0</v>
      </c>
      <c r="E13" s="53">
        <f t="shared" si="4"/>
        <v>0</v>
      </c>
      <c r="F13" s="53">
        <f t="shared" si="4"/>
        <v>0</v>
      </c>
      <c r="G13" s="53">
        <f t="shared" si="4"/>
        <v>0</v>
      </c>
      <c r="H13" s="53">
        <f t="shared" si="4"/>
        <v>0</v>
      </c>
      <c r="I13" s="60">
        <f t="shared" si="1"/>
        <v>16289624</v>
      </c>
      <c r="J13" s="158"/>
      <c r="K13" s="152"/>
    </row>
    <row r="14" spans="1:11" s="139" customFormat="1" ht="25.5" customHeight="1">
      <c r="A14" s="42">
        <v>12010</v>
      </c>
      <c r="B14" s="131" t="s">
        <v>439</v>
      </c>
      <c r="C14" s="54">
        <f aca="true" t="shared" si="5" ref="C14:H14">SUM(C15:C16)</f>
        <v>9527012</v>
      </c>
      <c r="D14" s="54">
        <f t="shared" si="5"/>
        <v>0</v>
      </c>
      <c r="E14" s="54">
        <f t="shared" si="5"/>
        <v>0</v>
      </c>
      <c r="F14" s="54">
        <f t="shared" si="5"/>
        <v>0</v>
      </c>
      <c r="G14" s="54">
        <f t="shared" si="5"/>
        <v>0</v>
      </c>
      <c r="H14" s="54">
        <f t="shared" si="5"/>
        <v>0</v>
      </c>
      <c r="I14" s="60">
        <f t="shared" si="1"/>
        <v>9527012</v>
      </c>
      <c r="J14" s="158"/>
      <c r="K14" s="152"/>
    </row>
    <row r="15" spans="1:11" s="139" customFormat="1" ht="25.5" customHeight="1">
      <c r="A15" s="132">
        <v>12011</v>
      </c>
      <c r="B15" s="43" t="s">
        <v>908</v>
      </c>
      <c r="C15" s="62">
        <v>1815229</v>
      </c>
      <c r="D15" s="55"/>
      <c r="E15" s="55"/>
      <c r="F15" s="55"/>
      <c r="G15" s="55"/>
      <c r="H15" s="55"/>
      <c r="I15" s="60">
        <f t="shared" si="1"/>
        <v>1815229</v>
      </c>
      <c r="J15" s="158"/>
      <c r="K15" s="152"/>
    </row>
    <row r="16" spans="1:11" s="139" customFormat="1" ht="25.5" customHeight="1">
      <c r="A16" s="132">
        <v>12012</v>
      </c>
      <c r="B16" s="43" t="s">
        <v>909</v>
      </c>
      <c r="C16" s="62">
        <v>7711783</v>
      </c>
      <c r="D16" s="55"/>
      <c r="E16" s="55"/>
      <c r="F16" s="55"/>
      <c r="G16" s="55"/>
      <c r="H16" s="55"/>
      <c r="I16" s="60">
        <f t="shared" si="1"/>
        <v>7711783</v>
      </c>
      <c r="J16" s="158"/>
      <c r="K16" s="152"/>
    </row>
    <row r="17" spans="1:11" s="139" customFormat="1" ht="25.5" customHeight="1">
      <c r="A17" s="42">
        <v>12020</v>
      </c>
      <c r="B17" s="131" t="s">
        <v>910</v>
      </c>
      <c r="C17" s="54">
        <f aca="true" t="shared" si="6" ref="C17:H17">SUM(C18:C19)</f>
        <v>5864075</v>
      </c>
      <c r="D17" s="54">
        <f t="shared" si="6"/>
        <v>0</v>
      </c>
      <c r="E17" s="54">
        <f t="shared" si="6"/>
        <v>0</v>
      </c>
      <c r="F17" s="54">
        <f t="shared" si="6"/>
        <v>0</v>
      </c>
      <c r="G17" s="54">
        <f t="shared" si="6"/>
        <v>0</v>
      </c>
      <c r="H17" s="54">
        <f t="shared" si="6"/>
        <v>0</v>
      </c>
      <c r="I17" s="60">
        <f t="shared" si="1"/>
        <v>5864075</v>
      </c>
      <c r="J17" s="158"/>
      <c r="K17" s="152"/>
    </row>
    <row r="18" spans="1:11" s="139" customFormat="1" ht="25.5" customHeight="1">
      <c r="A18" s="132">
        <v>12021</v>
      </c>
      <c r="B18" s="43" t="s">
        <v>423</v>
      </c>
      <c r="C18" s="62">
        <v>5864075</v>
      </c>
      <c r="D18" s="55"/>
      <c r="E18" s="55"/>
      <c r="F18" s="55"/>
      <c r="G18" s="55"/>
      <c r="H18" s="55"/>
      <c r="I18" s="60">
        <f t="shared" si="1"/>
        <v>5864075</v>
      </c>
      <c r="J18" s="158"/>
      <c r="K18" s="152"/>
    </row>
    <row r="19" spans="1:11" s="139" customFormat="1" ht="25.5" customHeight="1">
      <c r="A19" s="132">
        <v>12022</v>
      </c>
      <c r="B19" s="43" t="s">
        <v>911</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898537</v>
      </c>
      <c r="D20" s="54">
        <f t="shared" si="7"/>
        <v>0</v>
      </c>
      <c r="E20" s="54">
        <f t="shared" si="7"/>
        <v>0</v>
      </c>
      <c r="F20" s="54">
        <f t="shared" si="7"/>
        <v>0</v>
      </c>
      <c r="G20" s="54">
        <f t="shared" si="7"/>
        <v>0</v>
      </c>
      <c r="H20" s="54">
        <f t="shared" si="7"/>
        <v>0</v>
      </c>
      <c r="I20" s="60">
        <f t="shared" si="1"/>
        <v>898537</v>
      </c>
      <c r="J20" s="158"/>
      <c r="K20" s="152"/>
    </row>
    <row r="21" spans="1:11" s="139" customFormat="1" ht="25.5" customHeight="1">
      <c r="A21" s="132">
        <v>12031</v>
      </c>
      <c r="B21" s="43" t="s">
        <v>385</v>
      </c>
      <c r="C21" s="62">
        <v>898537</v>
      </c>
      <c r="D21" s="55"/>
      <c r="E21" s="55"/>
      <c r="F21" s="55"/>
      <c r="G21" s="55"/>
      <c r="H21" s="55"/>
      <c r="I21" s="60">
        <f t="shared" si="1"/>
        <v>898537</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aca="true" t="shared" si="8" ref="C28:H28">C29+C31+C33+C35+C39</f>
        <v>698595</v>
      </c>
      <c r="D28" s="53">
        <f t="shared" si="8"/>
        <v>0</v>
      </c>
      <c r="E28" s="53">
        <f t="shared" si="8"/>
        <v>0</v>
      </c>
      <c r="F28" s="53">
        <f t="shared" si="8"/>
        <v>0</v>
      </c>
      <c r="G28" s="53">
        <f t="shared" si="8"/>
        <v>0</v>
      </c>
      <c r="H28" s="53">
        <f t="shared" si="8"/>
        <v>0</v>
      </c>
      <c r="I28" s="60">
        <f t="shared" si="1"/>
        <v>698595</v>
      </c>
      <c r="J28" s="158"/>
      <c r="K28" s="152"/>
    </row>
    <row r="29" spans="1:11" s="139" customFormat="1" ht="25.5" customHeight="1">
      <c r="A29" s="42">
        <v>17010</v>
      </c>
      <c r="B29" s="49" t="s">
        <v>366</v>
      </c>
      <c r="C29" s="54">
        <f aca="true" t="shared" si="9" ref="C29:H29">SUM(C30)</f>
        <v>443269</v>
      </c>
      <c r="D29" s="54">
        <f t="shared" si="9"/>
        <v>0</v>
      </c>
      <c r="E29" s="54">
        <f t="shared" si="9"/>
        <v>0</v>
      </c>
      <c r="F29" s="54">
        <f t="shared" si="9"/>
        <v>0</v>
      </c>
      <c r="G29" s="54">
        <f t="shared" si="9"/>
        <v>0</v>
      </c>
      <c r="H29" s="54">
        <f t="shared" si="9"/>
        <v>0</v>
      </c>
      <c r="I29" s="60">
        <f t="shared" si="1"/>
        <v>443269</v>
      </c>
      <c r="J29" s="158"/>
      <c r="K29" s="152"/>
    </row>
    <row r="30" spans="1:11" s="139" customFormat="1" ht="25.5" customHeight="1">
      <c r="A30" s="132">
        <v>17011</v>
      </c>
      <c r="B30" s="43" t="s">
        <v>365</v>
      </c>
      <c r="C30" s="62">
        <v>443269</v>
      </c>
      <c r="D30" s="55"/>
      <c r="E30" s="55"/>
      <c r="F30" s="55"/>
      <c r="G30" s="55"/>
      <c r="H30" s="55"/>
      <c r="I30" s="60">
        <f t="shared" si="1"/>
        <v>443269</v>
      </c>
      <c r="J30" s="158"/>
      <c r="K30" s="152"/>
    </row>
    <row r="31" spans="1:11" s="139" customFormat="1" ht="25.5" customHeight="1">
      <c r="A31" s="42">
        <v>17020</v>
      </c>
      <c r="B31" s="49" t="s">
        <v>388</v>
      </c>
      <c r="C31" s="54">
        <f aca="true" t="shared" si="10" ref="C31:H31">SUM(C32:C32)</f>
        <v>79923</v>
      </c>
      <c r="D31" s="54">
        <f t="shared" si="10"/>
        <v>0</v>
      </c>
      <c r="E31" s="54">
        <f t="shared" si="10"/>
        <v>0</v>
      </c>
      <c r="F31" s="54">
        <f t="shared" si="10"/>
        <v>0</v>
      </c>
      <c r="G31" s="54">
        <f t="shared" si="10"/>
        <v>0</v>
      </c>
      <c r="H31" s="54">
        <f t="shared" si="10"/>
        <v>0</v>
      </c>
      <c r="I31" s="60">
        <f t="shared" si="1"/>
        <v>79923</v>
      </c>
      <c r="J31" s="158"/>
      <c r="K31" s="152"/>
    </row>
    <row r="32" spans="1:11" s="139" customFormat="1" ht="25.5" customHeight="1">
      <c r="A32" s="132">
        <v>17021</v>
      </c>
      <c r="B32" s="43" t="s">
        <v>993</v>
      </c>
      <c r="C32" s="62">
        <v>79923</v>
      </c>
      <c r="D32" s="55"/>
      <c r="E32" s="55"/>
      <c r="F32" s="55"/>
      <c r="G32" s="55"/>
      <c r="H32" s="55"/>
      <c r="I32" s="60">
        <f t="shared" si="1"/>
        <v>79923</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175403</v>
      </c>
      <c r="D39" s="54">
        <f t="shared" si="13"/>
        <v>0</v>
      </c>
      <c r="E39" s="54">
        <f t="shared" si="13"/>
        <v>0</v>
      </c>
      <c r="F39" s="54">
        <f t="shared" si="13"/>
        <v>0</v>
      </c>
      <c r="G39" s="54">
        <f t="shared" si="13"/>
        <v>0</v>
      </c>
      <c r="H39" s="54">
        <f t="shared" si="13"/>
        <v>0</v>
      </c>
      <c r="I39" s="60">
        <f t="shared" si="1"/>
        <v>175403</v>
      </c>
      <c r="J39" s="158"/>
      <c r="K39" s="152"/>
    </row>
    <row r="40" spans="1:11" s="139" customFormat="1" ht="25.5" customHeight="1">
      <c r="A40" s="132">
        <v>17999</v>
      </c>
      <c r="B40" s="43" t="s">
        <v>551</v>
      </c>
      <c r="C40" s="62">
        <v>175403</v>
      </c>
      <c r="D40" s="55"/>
      <c r="E40" s="55"/>
      <c r="F40" s="55"/>
      <c r="G40" s="55"/>
      <c r="H40" s="55"/>
      <c r="I40" s="60">
        <f t="shared" si="1"/>
        <v>175403</v>
      </c>
      <c r="J40" s="158"/>
      <c r="K40" s="152"/>
    </row>
    <row r="41" spans="1:11" s="139" customFormat="1" ht="25.5" customHeight="1">
      <c r="A41" s="40">
        <v>18</v>
      </c>
      <c r="B41" s="41" t="s">
        <v>431</v>
      </c>
      <c r="C41" s="53">
        <f aca="true" t="shared" si="14" ref="C41:H41">C42</f>
        <v>92629</v>
      </c>
      <c r="D41" s="53">
        <f t="shared" si="14"/>
        <v>0</v>
      </c>
      <c r="E41" s="53">
        <f t="shared" si="14"/>
        <v>0</v>
      </c>
      <c r="F41" s="53">
        <f t="shared" si="14"/>
        <v>0</v>
      </c>
      <c r="G41" s="53">
        <f t="shared" si="14"/>
        <v>0</v>
      </c>
      <c r="H41" s="53">
        <f t="shared" si="14"/>
        <v>0</v>
      </c>
      <c r="I41" s="60">
        <f t="shared" si="1"/>
        <v>92629</v>
      </c>
      <c r="J41" s="158"/>
      <c r="K41" s="152"/>
    </row>
    <row r="42" spans="1:11" s="139" customFormat="1" ht="25.5" customHeight="1">
      <c r="A42" s="42">
        <v>18010</v>
      </c>
      <c r="B42" s="49" t="s">
        <v>430</v>
      </c>
      <c r="C42" s="54">
        <f aca="true" t="shared" si="15" ref="C42:H42">SUM(C43:C43)</f>
        <v>92629</v>
      </c>
      <c r="D42" s="54">
        <f t="shared" si="15"/>
        <v>0</v>
      </c>
      <c r="E42" s="54">
        <f t="shared" si="15"/>
        <v>0</v>
      </c>
      <c r="F42" s="54">
        <f t="shared" si="15"/>
        <v>0</v>
      </c>
      <c r="G42" s="54">
        <f t="shared" si="15"/>
        <v>0</v>
      </c>
      <c r="H42" s="54">
        <f t="shared" si="15"/>
        <v>0</v>
      </c>
      <c r="I42" s="60">
        <f t="shared" si="1"/>
        <v>92629</v>
      </c>
      <c r="J42" s="158"/>
      <c r="K42" s="152"/>
    </row>
    <row r="43" spans="1:11" s="139" customFormat="1" ht="25.5" customHeight="1">
      <c r="A43" s="132">
        <v>18011</v>
      </c>
      <c r="B43" s="43" t="s">
        <v>430</v>
      </c>
      <c r="C43" s="62">
        <v>92629</v>
      </c>
      <c r="D43" s="55"/>
      <c r="E43" s="55"/>
      <c r="F43" s="55"/>
      <c r="G43" s="55"/>
      <c r="H43" s="55"/>
      <c r="I43" s="60">
        <f t="shared" si="1"/>
        <v>92629</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920</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921</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7718317</v>
      </c>
      <c r="D54" s="52">
        <f t="shared" si="19"/>
        <v>0</v>
      </c>
      <c r="E54" s="52">
        <f t="shared" si="19"/>
        <v>0</v>
      </c>
      <c r="F54" s="52">
        <f t="shared" si="19"/>
        <v>0</v>
      </c>
      <c r="G54" s="52">
        <f t="shared" si="19"/>
        <v>0</v>
      </c>
      <c r="H54" s="52">
        <f t="shared" si="19"/>
        <v>0</v>
      </c>
      <c r="I54" s="60">
        <f t="shared" si="1"/>
        <v>7718317</v>
      </c>
      <c r="J54" s="158"/>
      <c r="K54" s="152"/>
    </row>
    <row r="55" spans="1:11" s="139" customFormat="1" ht="25.5" customHeight="1">
      <c r="A55" s="40">
        <v>41</v>
      </c>
      <c r="B55" s="41" t="s">
        <v>421</v>
      </c>
      <c r="C55" s="53">
        <f aca="true" t="shared" si="20" ref="C55:H55">C56+C62+C64+C69</f>
        <v>836122</v>
      </c>
      <c r="D55" s="53">
        <f t="shared" si="20"/>
        <v>0</v>
      </c>
      <c r="E55" s="53">
        <f t="shared" si="20"/>
        <v>0</v>
      </c>
      <c r="F55" s="53">
        <f t="shared" si="20"/>
        <v>0</v>
      </c>
      <c r="G55" s="53">
        <f t="shared" si="20"/>
        <v>0</v>
      </c>
      <c r="H55" s="53">
        <f t="shared" si="20"/>
        <v>0</v>
      </c>
      <c r="I55" s="60">
        <f t="shared" si="1"/>
        <v>836122</v>
      </c>
      <c r="J55" s="158"/>
      <c r="K55" s="152"/>
    </row>
    <row r="56" spans="1:11" s="139" customFormat="1" ht="25.5" customHeight="1">
      <c r="A56" s="42">
        <v>41010</v>
      </c>
      <c r="B56" s="49" t="s">
        <v>925</v>
      </c>
      <c r="C56" s="54">
        <f aca="true" t="shared" si="21" ref="C56:H56">SUM(C57:C61)</f>
        <v>817015</v>
      </c>
      <c r="D56" s="54">
        <f t="shared" si="21"/>
        <v>0</v>
      </c>
      <c r="E56" s="54">
        <f t="shared" si="21"/>
        <v>0</v>
      </c>
      <c r="F56" s="54">
        <f t="shared" si="21"/>
        <v>0</v>
      </c>
      <c r="G56" s="54">
        <f t="shared" si="21"/>
        <v>0</v>
      </c>
      <c r="H56" s="54">
        <f t="shared" si="21"/>
        <v>0</v>
      </c>
      <c r="I56" s="60">
        <f t="shared" si="1"/>
        <v>817015</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939</v>
      </c>
      <c r="C58" s="62">
        <v>195200</v>
      </c>
      <c r="D58" s="61"/>
      <c r="E58" s="61"/>
      <c r="F58" s="61"/>
      <c r="G58" s="61"/>
      <c r="H58" s="61"/>
      <c r="I58" s="60">
        <f t="shared" si="1"/>
        <v>195200</v>
      </c>
      <c r="J58" s="158"/>
      <c r="K58" s="152"/>
    </row>
    <row r="59" spans="1:11" s="139" customFormat="1" ht="25.5" customHeight="1">
      <c r="A59" s="134">
        <v>41013</v>
      </c>
      <c r="B59" s="43" t="s">
        <v>930</v>
      </c>
      <c r="C59" s="62">
        <v>621251</v>
      </c>
      <c r="D59" s="61"/>
      <c r="E59" s="61"/>
      <c r="F59" s="61"/>
      <c r="G59" s="61"/>
      <c r="H59" s="61"/>
      <c r="I59" s="60">
        <f t="shared" si="1"/>
        <v>621251</v>
      </c>
      <c r="J59" s="158"/>
      <c r="K59" s="152"/>
    </row>
    <row r="60" spans="1:11" s="139" customFormat="1" ht="25.5" customHeight="1">
      <c r="A60" s="134">
        <v>41014</v>
      </c>
      <c r="B60" s="43" t="s">
        <v>375</v>
      </c>
      <c r="C60" s="62">
        <v>564</v>
      </c>
      <c r="D60" s="61"/>
      <c r="E60" s="61"/>
      <c r="F60" s="61"/>
      <c r="G60" s="61"/>
      <c r="H60" s="61"/>
      <c r="I60" s="60">
        <f t="shared" si="1"/>
        <v>564</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5731</v>
      </c>
      <c r="D62" s="54">
        <f t="shared" si="22"/>
        <v>0</v>
      </c>
      <c r="E62" s="54">
        <f t="shared" si="22"/>
        <v>0</v>
      </c>
      <c r="F62" s="54">
        <f t="shared" si="22"/>
        <v>0</v>
      </c>
      <c r="G62" s="54">
        <f t="shared" si="22"/>
        <v>0</v>
      </c>
      <c r="H62" s="54">
        <f t="shared" si="22"/>
        <v>0</v>
      </c>
      <c r="I62" s="60">
        <f t="shared" si="1"/>
        <v>5731</v>
      </c>
      <c r="J62" s="158"/>
      <c r="K62" s="152"/>
    </row>
    <row r="63" spans="1:11" s="139" customFormat="1" ht="25.5" customHeight="1">
      <c r="A63" s="134">
        <v>41021</v>
      </c>
      <c r="B63" s="43" t="s">
        <v>922</v>
      </c>
      <c r="C63" s="62">
        <v>5731</v>
      </c>
      <c r="D63" s="61"/>
      <c r="E63" s="61"/>
      <c r="F63" s="61"/>
      <c r="G63" s="61"/>
      <c r="H63" s="61"/>
      <c r="I63" s="60">
        <f t="shared" si="1"/>
        <v>5731</v>
      </c>
      <c r="J63" s="158"/>
      <c r="K63" s="152"/>
    </row>
    <row r="64" spans="1:11" s="139" customFormat="1" ht="25.5" customHeight="1">
      <c r="A64" s="42">
        <v>41030</v>
      </c>
      <c r="B64" s="49" t="s">
        <v>994</v>
      </c>
      <c r="C64" s="163">
        <f aca="true" t="shared" si="23" ref="C64:H64">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aca="true" t="shared" si="25" ref="C69:H69">SUM(C70:C74)</f>
        <v>13376</v>
      </c>
      <c r="D69" s="54">
        <f t="shared" si="25"/>
        <v>0</v>
      </c>
      <c r="E69" s="54">
        <f t="shared" si="25"/>
        <v>0</v>
      </c>
      <c r="F69" s="54">
        <f t="shared" si="25"/>
        <v>0</v>
      </c>
      <c r="G69" s="54">
        <f t="shared" si="25"/>
        <v>0</v>
      </c>
      <c r="H69" s="54">
        <f t="shared" si="25"/>
        <v>0</v>
      </c>
      <c r="I69" s="60">
        <f t="shared" si="24"/>
        <v>13376</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v>13376</v>
      </c>
      <c r="D71" s="61"/>
      <c r="E71" s="61"/>
      <c r="F71" s="61"/>
      <c r="G71" s="61"/>
      <c r="H71" s="61"/>
      <c r="I71" s="60">
        <f t="shared" si="24"/>
        <v>13376</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5785380</v>
      </c>
      <c r="D76" s="53">
        <f t="shared" si="26"/>
        <v>0</v>
      </c>
      <c r="E76" s="53">
        <f t="shared" si="26"/>
        <v>0</v>
      </c>
      <c r="F76" s="53">
        <f t="shared" si="26"/>
        <v>0</v>
      </c>
      <c r="G76" s="53">
        <f t="shared" si="26"/>
        <v>0</v>
      </c>
      <c r="H76" s="53">
        <f t="shared" si="26"/>
        <v>0</v>
      </c>
      <c r="I76" s="60">
        <f t="shared" si="24"/>
        <v>5785380</v>
      </c>
      <c r="J76" s="158"/>
      <c r="K76" s="152"/>
    </row>
    <row r="77" spans="1:11" s="139" customFormat="1" ht="25.5" customHeight="1">
      <c r="A77" s="42">
        <v>43010</v>
      </c>
      <c r="B77" s="49" t="s">
        <v>927</v>
      </c>
      <c r="C77" s="54">
        <f aca="true" t="shared" si="27" ref="C77:H77">SUM(C78:C81)</f>
        <v>1011647</v>
      </c>
      <c r="D77" s="54">
        <f t="shared" si="27"/>
        <v>0</v>
      </c>
      <c r="E77" s="54">
        <f t="shared" si="27"/>
        <v>0</v>
      </c>
      <c r="F77" s="54">
        <f t="shared" si="27"/>
        <v>0</v>
      </c>
      <c r="G77" s="54">
        <f t="shared" si="27"/>
        <v>0</v>
      </c>
      <c r="H77" s="54">
        <f t="shared" si="27"/>
        <v>0</v>
      </c>
      <c r="I77" s="60">
        <f t="shared" si="24"/>
        <v>1011647</v>
      </c>
      <c r="J77" s="158"/>
      <c r="K77" s="152"/>
    </row>
    <row r="78" spans="1:11" s="139" customFormat="1" ht="25.5" customHeight="1">
      <c r="A78" s="132">
        <v>43011</v>
      </c>
      <c r="B78" s="43" t="s">
        <v>935</v>
      </c>
      <c r="C78" s="62">
        <v>1010904</v>
      </c>
      <c r="D78" s="55"/>
      <c r="E78" s="55"/>
      <c r="F78" s="55"/>
      <c r="G78" s="55"/>
      <c r="H78" s="55"/>
      <c r="I78" s="60">
        <f t="shared" si="24"/>
        <v>1010904</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v>743</v>
      </c>
      <c r="D81" s="55"/>
      <c r="E81" s="55"/>
      <c r="F81" s="55"/>
      <c r="G81" s="55"/>
      <c r="H81" s="55"/>
      <c r="I81" s="60">
        <f t="shared" si="24"/>
        <v>743</v>
      </c>
      <c r="J81" s="158"/>
      <c r="K81" s="152"/>
    </row>
    <row r="82" spans="1:11" s="139" customFormat="1" ht="25.5" customHeight="1">
      <c r="A82" s="42">
        <v>43020</v>
      </c>
      <c r="B82" s="49" t="s">
        <v>928</v>
      </c>
      <c r="C82" s="54">
        <f aca="true" t="shared" si="28" ref="C82:H82">SUM(C83:C85)</f>
        <v>244066</v>
      </c>
      <c r="D82" s="54">
        <f t="shared" si="28"/>
        <v>0</v>
      </c>
      <c r="E82" s="54">
        <f t="shared" si="28"/>
        <v>0</v>
      </c>
      <c r="F82" s="54">
        <f t="shared" si="28"/>
        <v>0</v>
      </c>
      <c r="G82" s="54">
        <f t="shared" si="28"/>
        <v>0</v>
      </c>
      <c r="H82" s="54">
        <f t="shared" si="28"/>
        <v>0</v>
      </c>
      <c r="I82" s="60">
        <f t="shared" si="24"/>
        <v>244066</v>
      </c>
      <c r="J82" s="158"/>
      <c r="K82" s="152"/>
    </row>
    <row r="83" spans="1:11" s="142" customFormat="1" ht="25.5" customHeight="1">
      <c r="A83" s="137">
        <v>43021</v>
      </c>
      <c r="B83" s="141" t="s">
        <v>941</v>
      </c>
      <c r="C83" s="62">
        <v>235645</v>
      </c>
      <c r="I83" s="60">
        <f t="shared" si="24"/>
        <v>235645</v>
      </c>
      <c r="J83" s="160"/>
      <c r="K83" s="154"/>
    </row>
    <row r="84" spans="1:11" s="142" customFormat="1" ht="25.5" customHeight="1">
      <c r="A84" s="137">
        <v>43022</v>
      </c>
      <c r="B84" s="141" t="s">
        <v>942</v>
      </c>
      <c r="C84" s="62">
        <v>357</v>
      </c>
      <c r="I84" s="60">
        <f t="shared" si="24"/>
        <v>357</v>
      </c>
      <c r="J84" s="160"/>
      <c r="K84" s="154"/>
    </row>
    <row r="85" spans="1:11" s="142" customFormat="1" ht="25.5" customHeight="1">
      <c r="A85" s="137">
        <v>43029</v>
      </c>
      <c r="B85" s="141" t="s">
        <v>986</v>
      </c>
      <c r="C85" s="62">
        <v>8064</v>
      </c>
      <c r="I85" s="60">
        <f t="shared" si="24"/>
        <v>8064</v>
      </c>
      <c r="J85" s="160"/>
      <c r="K85" s="154"/>
    </row>
    <row r="86" spans="1:11" s="139" customFormat="1" ht="25.5" customHeight="1">
      <c r="A86" s="42">
        <v>43030</v>
      </c>
      <c r="B86" s="49" t="s">
        <v>386</v>
      </c>
      <c r="C86" s="54">
        <f aca="true" t="shared" si="29" ref="C86:H86">SUM(C87:C93)</f>
        <v>2074273</v>
      </c>
      <c r="D86" s="54">
        <f t="shared" si="29"/>
        <v>0</v>
      </c>
      <c r="E86" s="54">
        <f t="shared" si="29"/>
        <v>0</v>
      </c>
      <c r="F86" s="54">
        <f t="shared" si="29"/>
        <v>0</v>
      </c>
      <c r="G86" s="54">
        <f t="shared" si="29"/>
        <v>0</v>
      </c>
      <c r="H86" s="54">
        <f t="shared" si="29"/>
        <v>0</v>
      </c>
      <c r="I86" s="60">
        <f t="shared" si="24"/>
        <v>2074273</v>
      </c>
      <c r="J86" s="158"/>
      <c r="K86" s="152"/>
    </row>
    <row r="87" spans="1:11" s="142" customFormat="1" ht="25.5" customHeight="1">
      <c r="A87" s="137">
        <v>43031</v>
      </c>
      <c r="B87" s="141" t="s">
        <v>943</v>
      </c>
      <c r="C87" s="62">
        <v>2074273</v>
      </c>
      <c r="I87" s="60">
        <f t="shared" si="24"/>
        <v>2074273</v>
      </c>
      <c r="J87" s="160"/>
      <c r="K87" s="154"/>
    </row>
    <row r="88" spans="1:11" s="142" customFormat="1" ht="25.5" customHeight="1">
      <c r="A88" s="137">
        <v>43032</v>
      </c>
      <c r="B88" s="141" t="s">
        <v>944</v>
      </c>
      <c r="C88" s="62"/>
      <c r="I88" s="60">
        <f t="shared" si="24"/>
        <v>0</v>
      </c>
      <c r="J88" s="160"/>
      <c r="K88" s="154"/>
    </row>
    <row r="89" spans="1:11" s="142" customFormat="1" ht="25.5" customHeight="1">
      <c r="A89" s="137">
        <v>43033</v>
      </c>
      <c r="B89" s="141" t="s">
        <v>945</v>
      </c>
      <c r="C89" s="62"/>
      <c r="I89" s="60">
        <f t="shared" si="24"/>
        <v>0</v>
      </c>
      <c r="J89" s="160"/>
      <c r="K89" s="154"/>
    </row>
    <row r="90" spans="1:11" s="142" customFormat="1" ht="25.5" customHeight="1">
      <c r="A90" s="137">
        <v>43034</v>
      </c>
      <c r="B90" s="141" t="s">
        <v>946</v>
      </c>
      <c r="C90" s="62"/>
      <c r="I90" s="60">
        <f t="shared" si="24"/>
        <v>0</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c r="I93" s="60">
        <f t="shared" si="24"/>
        <v>0</v>
      </c>
      <c r="J93" s="160"/>
      <c r="K93" s="154"/>
    </row>
    <row r="94" spans="1:11" s="142" customFormat="1" ht="25.5" customHeight="1">
      <c r="A94" s="42">
        <v>43040</v>
      </c>
      <c r="B94" s="49" t="s">
        <v>949</v>
      </c>
      <c r="C94" s="54">
        <f aca="true" t="shared" si="30" ref="C94:H94">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aca="true" t="shared" si="31" ref="C99:H99">SUM(C100:C102)</f>
        <v>780884</v>
      </c>
      <c r="D99" s="54">
        <f t="shared" si="31"/>
        <v>0</v>
      </c>
      <c r="E99" s="54">
        <f t="shared" si="31"/>
        <v>0</v>
      </c>
      <c r="F99" s="54">
        <f t="shared" si="31"/>
        <v>0</v>
      </c>
      <c r="G99" s="54">
        <f t="shared" si="31"/>
        <v>0</v>
      </c>
      <c r="H99" s="54">
        <f t="shared" si="31"/>
        <v>0</v>
      </c>
      <c r="I99" s="60">
        <f t="shared" si="24"/>
        <v>780884</v>
      </c>
      <c r="J99" s="158"/>
      <c r="K99" s="152"/>
    </row>
    <row r="100" spans="1:11" s="139" customFormat="1" ht="25.5" customHeight="1">
      <c r="A100" s="132">
        <v>43051</v>
      </c>
      <c r="B100" s="44" t="s">
        <v>954</v>
      </c>
      <c r="C100" s="62">
        <v>107580</v>
      </c>
      <c r="D100" s="55"/>
      <c r="E100" s="55"/>
      <c r="F100" s="55"/>
      <c r="G100" s="55"/>
      <c r="H100" s="55"/>
      <c r="I100" s="60">
        <f t="shared" si="24"/>
        <v>107580</v>
      </c>
      <c r="J100" s="158"/>
      <c r="K100" s="152"/>
    </row>
    <row r="101" spans="1:11" s="139" customFormat="1" ht="25.5" customHeight="1">
      <c r="A101" s="132">
        <v>43052</v>
      </c>
      <c r="B101" s="44" t="s">
        <v>953</v>
      </c>
      <c r="C101" s="62">
        <v>673304</v>
      </c>
      <c r="D101" s="55"/>
      <c r="E101" s="55"/>
      <c r="F101" s="55"/>
      <c r="G101" s="55"/>
      <c r="H101" s="55"/>
      <c r="I101" s="60">
        <f t="shared" si="24"/>
        <v>673304</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955</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10863</v>
      </c>
      <c r="D107" s="54">
        <f t="shared" si="33"/>
        <v>0</v>
      </c>
      <c r="E107" s="54">
        <f t="shared" si="33"/>
        <v>0</v>
      </c>
      <c r="F107" s="54">
        <f t="shared" si="33"/>
        <v>0</v>
      </c>
      <c r="G107" s="54">
        <f t="shared" si="33"/>
        <v>0</v>
      </c>
      <c r="H107" s="54">
        <f t="shared" si="33"/>
        <v>0</v>
      </c>
      <c r="I107" s="60">
        <f t="shared" si="24"/>
        <v>10863</v>
      </c>
      <c r="J107" s="158"/>
      <c r="K107" s="152"/>
    </row>
    <row r="108" spans="1:11" s="139" customFormat="1" ht="25.5" customHeight="1">
      <c r="A108" s="134">
        <v>43071</v>
      </c>
      <c r="B108" s="43" t="s">
        <v>620</v>
      </c>
      <c r="C108" s="62">
        <v>9733</v>
      </c>
      <c r="D108" s="55"/>
      <c r="E108" s="55"/>
      <c r="F108" s="55"/>
      <c r="G108" s="55"/>
      <c r="H108" s="55"/>
      <c r="I108" s="60">
        <f t="shared" si="24"/>
        <v>9733</v>
      </c>
      <c r="J108" s="158"/>
      <c r="K108" s="152"/>
    </row>
    <row r="109" spans="1:11" s="139" customFormat="1" ht="25.5" customHeight="1">
      <c r="A109" s="134">
        <v>43072</v>
      </c>
      <c r="B109" s="43" t="s">
        <v>415</v>
      </c>
      <c r="C109" s="62">
        <v>1130</v>
      </c>
      <c r="D109" s="55"/>
      <c r="E109" s="55"/>
      <c r="F109" s="55"/>
      <c r="G109" s="55"/>
      <c r="H109" s="55"/>
      <c r="I109" s="60">
        <f t="shared" si="24"/>
        <v>1130</v>
      </c>
      <c r="J109" s="158"/>
      <c r="K109" s="152"/>
    </row>
    <row r="110" spans="1:11" s="139" customFormat="1" ht="25.5" customHeight="1">
      <c r="A110" s="134">
        <v>43073</v>
      </c>
      <c r="B110" s="43" t="s">
        <v>956</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989</v>
      </c>
      <c r="C112" s="54">
        <f aca="true" t="shared" si="34" ref="C112:H112">SUM(C113:C118)</f>
        <v>319732</v>
      </c>
      <c r="D112" s="54">
        <f t="shared" si="34"/>
        <v>0</v>
      </c>
      <c r="E112" s="54">
        <f t="shared" si="34"/>
        <v>0</v>
      </c>
      <c r="F112" s="54">
        <f t="shared" si="34"/>
        <v>0</v>
      </c>
      <c r="G112" s="54">
        <f t="shared" si="34"/>
        <v>0</v>
      </c>
      <c r="H112" s="54">
        <f t="shared" si="34"/>
        <v>0</v>
      </c>
      <c r="I112" s="60">
        <f t="shared" si="24"/>
        <v>319732</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v>280</v>
      </c>
      <c r="D115" s="55"/>
      <c r="E115" s="55"/>
      <c r="F115" s="55"/>
      <c r="G115" s="55"/>
      <c r="H115" s="55"/>
      <c r="I115" s="60">
        <f t="shared" si="24"/>
        <v>280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995</v>
      </c>
      <c r="C117" s="62">
        <v>96593</v>
      </c>
      <c r="D117" s="55"/>
      <c r="E117" s="55"/>
      <c r="F117" s="55"/>
      <c r="G117" s="55"/>
      <c r="H117" s="55"/>
      <c r="I117" s="60">
        <f t="shared" si="24"/>
        <v>96593</v>
      </c>
      <c r="J117" s="158"/>
      <c r="K117" s="152"/>
    </row>
    <row r="118" spans="1:11" s="139" customFormat="1" ht="25.5" customHeight="1">
      <c r="A118" s="132">
        <v>43089</v>
      </c>
      <c r="B118" s="43" t="s">
        <v>410</v>
      </c>
      <c r="C118" s="62">
        <v>222859</v>
      </c>
      <c r="D118" s="55"/>
      <c r="E118" s="55"/>
      <c r="F118" s="55"/>
      <c r="G118" s="55"/>
      <c r="H118" s="55"/>
      <c r="I118" s="60">
        <f t="shared" si="24"/>
        <v>222859</v>
      </c>
      <c r="J118" s="158"/>
      <c r="K118" s="152"/>
    </row>
    <row r="119" spans="1:11" s="139" customFormat="1" ht="25.5" customHeight="1">
      <c r="A119" s="42">
        <v>43090</v>
      </c>
      <c r="B119" s="49" t="s">
        <v>957</v>
      </c>
      <c r="C119" s="54">
        <f aca="true" t="shared" si="35" ref="C119:H119">SUM(C120:C127)</f>
        <v>0</v>
      </c>
      <c r="D119" s="54">
        <f t="shared" si="35"/>
        <v>0</v>
      </c>
      <c r="E119" s="54">
        <f t="shared" si="35"/>
        <v>0</v>
      </c>
      <c r="F119" s="54">
        <f t="shared" si="35"/>
        <v>0</v>
      </c>
      <c r="G119" s="54">
        <f t="shared" si="35"/>
        <v>0</v>
      </c>
      <c r="H119" s="54">
        <f t="shared" si="35"/>
        <v>0</v>
      </c>
      <c r="I119" s="60">
        <f t="shared" si="24"/>
        <v>0</v>
      </c>
      <c r="J119" s="158"/>
      <c r="K119" s="152"/>
    </row>
    <row r="120" spans="1:11" s="139" customFormat="1" ht="25.5" customHeight="1">
      <c r="A120" s="132">
        <v>43091</v>
      </c>
      <c r="B120" s="43" t="s">
        <v>958</v>
      </c>
      <c r="C120" s="62"/>
      <c r="D120" s="55"/>
      <c r="E120" s="55"/>
      <c r="F120" s="55"/>
      <c r="G120" s="55"/>
      <c r="H120" s="55"/>
      <c r="I120" s="60">
        <f t="shared" si="24"/>
        <v>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c r="D124" s="55"/>
      <c r="E124" s="55"/>
      <c r="F124" s="55"/>
      <c r="G124" s="55"/>
      <c r="H124" s="55"/>
      <c r="I124" s="60">
        <f t="shared" si="24"/>
        <v>0</v>
      </c>
      <c r="J124" s="158"/>
      <c r="K124" s="152"/>
    </row>
    <row r="125" spans="1:11" s="139" customFormat="1" ht="25.5" customHeight="1">
      <c r="A125" s="132">
        <v>43096</v>
      </c>
      <c r="B125" s="43" t="s">
        <v>473</v>
      </c>
      <c r="C125" s="62"/>
      <c r="D125" s="55"/>
      <c r="E125" s="55"/>
      <c r="F125" s="55"/>
      <c r="G125" s="55"/>
      <c r="H125" s="55"/>
      <c r="I125" s="60">
        <f t="shared" si="24"/>
        <v>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c r="D127" s="55"/>
      <c r="E127" s="55"/>
      <c r="F127" s="55"/>
      <c r="G127" s="55"/>
      <c r="H127" s="55"/>
      <c r="I127" s="60">
        <f t="shared" si="24"/>
        <v>0</v>
      </c>
      <c r="J127" s="158"/>
      <c r="K127" s="152"/>
    </row>
    <row r="128" spans="1:11" s="139" customFormat="1" ht="25.5" customHeight="1">
      <c r="A128" s="42">
        <v>43100</v>
      </c>
      <c r="B128" s="49" t="s">
        <v>407</v>
      </c>
      <c r="C128" s="54">
        <f aca="true" t="shared" si="36" ref="C128:H128">SUM(C129:C136)</f>
        <v>225886</v>
      </c>
      <c r="D128" s="54">
        <f t="shared" si="36"/>
        <v>0</v>
      </c>
      <c r="E128" s="54">
        <f t="shared" si="36"/>
        <v>0</v>
      </c>
      <c r="F128" s="54">
        <f t="shared" si="36"/>
        <v>0</v>
      </c>
      <c r="G128" s="54">
        <f t="shared" si="36"/>
        <v>0</v>
      </c>
      <c r="H128" s="54">
        <f t="shared" si="36"/>
        <v>0</v>
      </c>
      <c r="I128" s="60">
        <f t="shared" si="24"/>
        <v>225886</v>
      </c>
      <c r="J128" s="158"/>
      <c r="K128" s="152"/>
    </row>
    <row r="129" spans="1:11" s="139" customFormat="1" ht="25.5" customHeight="1">
      <c r="A129" s="132">
        <v>43101</v>
      </c>
      <c r="B129" s="43" t="s">
        <v>963</v>
      </c>
      <c r="C129" s="62">
        <v>201854</v>
      </c>
      <c r="D129" s="55"/>
      <c r="E129" s="55"/>
      <c r="F129" s="55"/>
      <c r="G129" s="55"/>
      <c r="H129" s="55"/>
      <c r="I129" s="60">
        <f t="shared" si="24"/>
        <v>201854</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v>24032</v>
      </c>
      <c r="D132" s="55"/>
      <c r="E132" s="55"/>
      <c r="F132" s="55"/>
      <c r="G132" s="55"/>
      <c r="H132" s="55"/>
      <c r="I132" s="60">
        <f t="shared" si="37"/>
        <v>24032</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44927</v>
      </c>
      <c r="D137" s="54">
        <f t="shared" si="38"/>
        <v>0</v>
      </c>
      <c r="E137" s="54">
        <f t="shared" si="38"/>
        <v>0</v>
      </c>
      <c r="F137" s="54">
        <f t="shared" si="38"/>
        <v>0</v>
      </c>
      <c r="G137" s="54">
        <f t="shared" si="38"/>
        <v>0</v>
      </c>
      <c r="H137" s="54">
        <f t="shared" si="38"/>
        <v>0</v>
      </c>
      <c r="I137" s="60">
        <f t="shared" si="37"/>
        <v>44927</v>
      </c>
      <c r="J137" s="158"/>
      <c r="K137" s="152"/>
    </row>
    <row r="138" spans="1:11" s="139" customFormat="1" ht="25.5" customHeight="1">
      <c r="A138" s="132">
        <v>43111</v>
      </c>
      <c r="B138" s="43" t="s">
        <v>966</v>
      </c>
      <c r="C138" s="62">
        <v>37363</v>
      </c>
      <c r="D138" s="55"/>
      <c r="E138" s="55"/>
      <c r="F138" s="55"/>
      <c r="G138" s="55"/>
      <c r="H138" s="55"/>
      <c r="I138" s="60">
        <f t="shared" si="37"/>
        <v>37363</v>
      </c>
      <c r="J138" s="158"/>
      <c r="K138" s="152"/>
    </row>
    <row r="139" spans="1:11" s="139" customFormat="1" ht="25.5" customHeight="1">
      <c r="A139" s="132">
        <v>43112</v>
      </c>
      <c r="B139" s="43" t="s">
        <v>400</v>
      </c>
      <c r="C139" s="62">
        <v>6444</v>
      </c>
      <c r="D139" s="55"/>
      <c r="E139" s="55"/>
      <c r="F139" s="55"/>
      <c r="G139" s="55"/>
      <c r="H139" s="55"/>
      <c r="I139" s="60">
        <f t="shared" si="37"/>
        <v>6444</v>
      </c>
      <c r="J139" s="158"/>
      <c r="K139" s="152"/>
    </row>
    <row r="140" spans="1:11" s="139" customFormat="1" ht="25.5" customHeight="1">
      <c r="A140" s="132">
        <v>43113</v>
      </c>
      <c r="B140" s="43" t="s">
        <v>399</v>
      </c>
      <c r="C140" s="62">
        <v>1120</v>
      </c>
      <c r="D140" s="55"/>
      <c r="E140" s="55"/>
      <c r="F140" s="55"/>
      <c r="G140" s="55"/>
      <c r="H140" s="55"/>
      <c r="I140" s="60">
        <f t="shared" si="37"/>
        <v>1120</v>
      </c>
      <c r="J140" s="158"/>
      <c r="K140" s="152"/>
    </row>
    <row r="141" spans="1:11" s="139" customFormat="1" ht="25.5" customHeight="1">
      <c r="A141" s="42">
        <v>43120</v>
      </c>
      <c r="B141" s="49" t="s">
        <v>398</v>
      </c>
      <c r="C141" s="54">
        <f aca="true" t="shared" si="39" ref="C141:H141">SUM(C142:C144)</f>
        <v>663606</v>
      </c>
      <c r="D141" s="54">
        <f t="shared" si="39"/>
        <v>0</v>
      </c>
      <c r="E141" s="54">
        <f t="shared" si="39"/>
        <v>0</v>
      </c>
      <c r="F141" s="54">
        <f t="shared" si="39"/>
        <v>0</v>
      </c>
      <c r="G141" s="54">
        <f t="shared" si="39"/>
        <v>0</v>
      </c>
      <c r="H141" s="54">
        <f t="shared" si="39"/>
        <v>0</v>
      </c>
      <c r="I141" s="60">
        <f t="shared" si="37"/>
        <v>663606</v>
      </c>
      <c r="J141" s="158"/>
      <c r="K141" s="152"/>
    </row>
    <row r="142" spans="1:11" s="139" customFormat="1" ht="25.5" customHeight="1">
      <c r="A142" s="132">
        <v>43121</v>
      </c>
      <c r="B142" s="43" t="s">
        <v>397</v>
      </c>
      <c r="C142" s="62">
        <v>517647</v>
      </c>
      <c r="D142" s="55"/>
      <c r="E142" s="55"/>
      <c r="F142" s="55"/>
      <c r="G142" s="55"/>
      <c r="H142" s="55"/>
      <c r="I142" s="60">
        <f t="shared" si="37"/>
        <v>517647</v>
      </c>
      <c r="J142" s="158"/>
      <c r="K142" s="152"/>
    </row>
    <row r="143" spans="1:11" s="139" customFormat="1" ht="25.5" customHeight="1">
      <c r="A143" s="132">
        <v>43122</v>
      </c>
      <c r="B143" s="43" t="s">
        <v>396</v>
      </c>
      <c r="C143" s="62"/>
      <c r="D143" s="55"/>
      <c r="E143" s="55"/>
      <c r="F143" s="55"/>
      <c r="G143" s="55"/>
      <c r="H143" s="55"/>
      <c r="I143" s="60">
        <f t="shared" si="37"/>
        <v>0</v>
      </c>
      <c r="J143" s="158"/>
      <c r="K143" s="152"/>
    </row>
    <row r="144" spans="1:11" s="139" customFormat="1" ht="25.5" customHeight="1">
      <c r="A144" s="132">
        <v>43123</v>
      </c>
      <c r="B144" s="43" t="s">
        <v>967</v>
      </c>
      <c r="C144" s="62">
        <v>145959</v>
      </c>
      <c r="D144" s="55"/>
      <c r="E144" s="55"/>
      <c r="F144" s="55"/>
      <c r="G144" s="55"/>
      <c r="H144" s="55"/>
      <c r="I144" s="60">
        <f t="shared" si="37"/>
        <v>145959</v>
      </c>
      <c r="J144" s="158"/>
      <c r="K144" s="152"/>
    </row>
    <row r="145" spans="1:11" s="139" customFormat="1" ht="25.5" customHeight="1">
      <c r="A145" s="42">
        <v>43130</v>
      </c>
      <c r="B145" s="49" t="s">
        <v>968</v>
      </c>
      <c r="C145" s="54">
        <f aca="true" t="shared" si="40" ref="C145:H145">SUM(C146:C151)</f>
        <v>409496</v>
      </c>
      <c r="D145" s="54">
        <f t="shared" si="40"/>
        <v>0</v>
      </c>
      <c r="E145" s="54">
        <f t="shared" si="40"/>
        <v>0</v>
      </c>
      <c r="F145" s="54">
        <f t="shared" si="40"/>
        <v>0</v>
      </c>
      <c r="G145" s="54">
        <f t="shared" si="40"/>
        <v>0</v>
      </c>
      <c r="H145" s="54">
        <f t="shared" si="40"/>
        <v>0</v>
      </c>
      <c r="I145" s="60">
        <f t="shared" si="37"/>
        <v>409496</v>
      </c>
      <c r="J145" s="158"/>
      <c r="K145" s="152"/>
    </row>
    <row r="146" spans="1:11" s="139" customFormat="1" ht="25.5" customHeight="1">
      <c r="A146" s="132">
        <v>43131</v>
      </c>
      <c r="B146" s="43" t="s">
        <v>395</v>
      </c>
      <c r="C146" s="62">
        <v>12802</v>
      </c>
      <c r="D146" s="55"/>
      <c r="E146" s="55"/>
      <c r="F146" s="55"/>
      <c r="G146" s="55"/>
      <c r="H146" s="55"/>
      <c r="I146" s="60">
        <f t="shared" si="37"/>
        <v>12802</v>
      </c>
      <c r="J146" s="158"/>
      <c r="K146" s="152"/>
    </row>
    <row r="147" spans="1:11" s="139" customFormat="1" ht="25.5" customHeight="1">
      <c r="A147" s="132">
        <v>43132</v>
      </c>
      <c r="B147" s="43" t="s">
        <v>394</v>
      </c>
      <c r="C147" s="62">
        <v>166533</v>
      </c>
      <c r="D147" s="55"/>
      <c r="E147" s="55"/>
      <c r="F147" s="55"/>
      <c r="G147" s="55"/>
      <c r="H147" s="55"/>
      <c r="I147" s="60">
        <f t="shared" si="37"/>
        <v>166533</v>
      </c>
      <c r="J147" s="158"/>
      <c r="K147" s="152"/>
    </row>
    <row r="148" spans="1:11" s="139" customFormat="1" ht="25.5" customHeight="1">
      <c r="A148" s="132">
        <v>43133</v>
      </c>
      <c r="B148" s="43" t="s">
        <v>393</v>
      </c>
      <c r="C148" s="62">
        <v>19144</v>
      </c>
      <c r="D148" s="55"/>
      <c r="E148" s="55"/>
      <c r="F148" s="55"/>
      <c r="G148" s="55"/>
      <c r="H148" s="55"/>
      <c r="I148" s="60">
        <f t="shared" si="37"/>
        <v>19144</v>
      </c>
      <c r="J148" s="158"/>
      <c r="K148" s="152"/>
    </row>
    <row r="149" spans="1:11" s="139" customFormat="1" ht="25.5" customHeight="1">
      <c r="A149" s="132">
        <v>43134</v>
      </c>
      <c r="B149" s="43" t="s">
        <v>392</v>
      </c>
      <c r="C149" s="62">
        <v>19040</v>
      </c>
      <c r="D149" s="55"/>
      <c r="E149" s="55"/>
      <c r="F149" s="55"/>
      <c r="G149" s="55"/>
      <c r="H149" s="55"/>
      <c r="I149" s="60">
        <f t="shared" si="37"/>
        <v>19040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191977</v>
      </c>
      <c r="D151" s="55"/>
      <c r="E151" s="55"/>
      <c r="F151" s="55"/>
      <c r="G151" s="55"/>
      <c r="H151" s="55"/>
      <c r="I151" s="60">
        <f t="shared" si="37"/>
        <v>191977</v>
      </c>
      <c r="J151" s="158"/>
      <c r="K151" s="152"/>
    </row>
    <row r="152" spans="1:11" s="139" customFormat="1" ht="25.5" customHeight="1">
      <c r="A152" s="40">
        <v>44</v>
      </c>
      <c r="B152" s="46" t="s">
        <v>387</v>
      </c>
      <c r="C152" s="53">
        <f aca="true" t="shared" si="41" ref="C152:H152">C153</f>
        <v>930044</v>
      </c>
      <c r="D152" s="53">
        <f t="shared" si="41"/>
        <v>0</v>
      </c>
      <c r="E152" s="53">
        <f t="shared" si="41"/>
        <v>0</v>
      </c>
      <c r="F152" s="53">
        <f t="shared" si="41"/>
        <v>0</v>
      </c>
      <c r="G152" s="53">
        <f t="shared" si="41"/>
        <v>0</v>
      </c>
      <c r="H152" s="53">
        <f t="shared" si="41"/>
        <v>0</v>
      </c>
      <c r="I152" s="60">
        <f t="shared" si="37"/>
        <v>930044</v>
      </c>
      <c r="J152" s="158"/>
      <c r="K152" s="152"/>
    </row>
    <row r="153" spans="1:11" s="139" customFormat="1" ht="25.5" customHeight="1">
      <c r="A153" s="42">
        <v>43010</v>
      </c>
      <c r="B153" s="49" t="s">
        <v>383</v>
      </c>
      <c r="C153" s="54">
        <f aca="true" t="shared" si="42" ref="C153:H153">SUM(C154:C158)</f>
        <v>930044</v>
      </c>
      <c r="D153" s="54">
        <f t="shared" si="42"/>
        <v>0</v>
      </c>
      <c r="E153" s="54">
        <f t="shared" si="42"/>
        <v>0</v>
      </c>
      <c r="F153" s="54">
        <f t="shared" si="42"/>
        <v>0</v>
      </c>
      <c r="G153" s="54">
        <f t="shared" si="42"/>
        <v>0</v>
      </c>
      <c r="H153" s="54">
        <f t="shared" si="42"/>
        <v>0</v>
      </c>
      <c r="I153" s="60">
        <f t="shared" si="37"/>
        <v>930044</v>
      </c>
      <c r="J153" s="158"/>
      <c r="K153" s="152"/>
    </row>
    <row r="154" spans="1:11" s="139" customFormat="1" ht="25.5" customHeight="1">
      <c r="A154" s="132">
        <v>43011</v>
      </c>
      <c r="B154" s="44" t="s">
        <v>382</v>
      </c>
      <c r="C154" s="62"/>
      <c r="D154" s="55"/>
      <c r="E154" s="55"/>
      <c r="F154" s="55"/>
      <c r="G154" s="55"/>
      <c r="H154" s="55"/>
      <c r="I154" s="60">
        <f t="shared" si="37"/>
        <v>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v>925917</v>
      </c>
      <c r="D157" s="55"/>
      <c r="E157" s="55"/>
      <c r="F157" s="55"/>
      <c r="G157" s="55"/>
      <c r="H157" s="55"/>
      <c r="I157" s="60">
        <f t="shared" si="37"/>
        <v>925917</v>
      </c>
      <c r="J157" s="158"/>
      <c r="K157" s="152"/>
    </row>
    <row r="158" spans="1:11" s="139" customFormat="1" ht="25.5" customHeight="1">
      <c r="A158" s="132">
        <v>43019</v>
      </c>
      <c r="B158" s="44" t="s">
        <v>990</v>
      </c>
      <c r="C158" s="62">
        <v>4127</v>
      </c>
      <c r="D158" s="55"/>
      <c r="E158" s="55"/>
      <c r="F158" s="55"/>
      <c r="G158" s="55"/>
      <c r="H158" s="55"/>
      <c r="I158" s="60">
        <f t="shared" si="37"/>
        <v>4127</v>
      </c>
      <c r="J158" s="158"/>
      <c r="K158" s="152"/>
    </row>
    <row r="159" spans="1:11" s="139" customFormat="1" ht="25.5" customHeight="1">
      <c r="A159" s="40">
        <v>45</v>
      </c>
      <c r="B159" s="41" t="s">
        <v>969</v>
      </c>
      <c r="C159" s="53">
        <f aca="true" t="shared" si="43" ref="C159:H159">C160+C162+C164+C166+C170</f>
        <v>166771</v>
      </c>
      <c r="D159" s="53">
        <f t="shared" si="43"/>
        <v>0</v>
      </c>
      <c r="E159" s="53">
        <f t="shared" si="43"/>
        <v>0</v>
      </c>
      <c r="F159" s="53">
        <f t="shared" si="43"/>
        <v>0</v>
      </c>
      <c r="G159" s="53">
        <f t="shared" si="43"/>
        <v>0</v>
      </c>
      <c r="H159" s="53">
        <f t="shared" si="43"/>
        <v>0</v>
      </c>
      <c r="I159" s="60">
        <f t="shared" si="37"/>
        <v>166771</v>
      </c>
      <c r="J159" s="158"/>
      <c r="K159" s="152"/>
    </row>
    <row r="160" spans="1:11" s="139" customFormat="1" ht="25.5" customHeight="1">
      <c r="A160" s="42">
        <v>45010</v>
      </c>
      <c r="B160" s="49" t="s">
        <v>366</v>
      </c>
      <c r="C160" s="54">
        <f aca="true" t="shared" si="44" ref="C160:H160">SUM(C161)</f>
        <v>32506</v>
      </c>
      <c r="D160" s="54">
        <f t="shared" si="44"/>
        <v>0</v>
      </c>
      <c r="E160" s="54">
        <f t="shared" si="44"/>
        <v>0</v>
      </c>
      <c r="F160" s="54">
        <f t="shared" si="44"/>
        <v>0</v>
      </c>
      <c r="G160" s="54">
        <f t="shared" si="44"/>
        <v>0</v>
      </c>
      <c r="H160" s="54">
        <f t="shared" si="44"/>
        <v>0</v>
      </c>
      <c r="I160" s="60">
        <f t="shared" si="37"/>
        <v>32506</v>
      </c>
      <c r="J160" s="158"/>
      <c r="K160" s="152"/>
    </row>
    <row r="161" spans="1:11" s="139" customFormat="1" ht="25.5" customHeight="1">
      <c r="A161" s="132">
        <v>45011</v>
      </c>
      <c r="B161" s="43" t="s">
        <v>365</v>
      </c>
      <c r="C161" s="62">
        <v>32506</v>
      </c>
      <c r="D161" s="55"/>
      <c r="E161" s="55"/>
      <c r="F161" s="55"/>
      <c r="G161" s="55"/>
      <c r="H161" s="55"/>
      <c r="I161" s="60">
        <f t="shared" si="37"/>
        <v>32506</v>
      </c>
      <c r="J161" s="158"/>
      <c r="K161" s="152"/>
    </row>
    <row r="162" spans="1:11" s="139" customFormat="1" ht="25.5" customHeight="1">
      <c r="A162" s="42">
        <v>45020</v>
      </c>
      <c r="B162" s="49" t="s">
        <v>388</v>
      </c>
      <c r="C162" s="54">
        <f aca="true" t="shared" si="45" ref="C162:H162">SUM(C163)</f>
        <v>13392</v>
      </c>
      <c r="D162" s="54">
        <f t="shared" si="45"/>
        <v>0</v>
      </c>
      <c r="E162" s="54">
        <f t="shared" si="45"/>
        <v>0</v>
      </c>
      <c r="F162" s="54">
        <f t="shared" si="45"/>
        <v>0</v>
      </c>
      <c r="G162" s="54">
        <f t="shared" si="45"/>
        <v>0</v>
      </c>
      <c r="H162" s="54">
        <f t="shared" si="45"/>
        <v>0</v>
      </c>
      <c r="I162" s="60">
        <f t="shared" si="37"/>
        <v>13392</v>
      </c>
      <c r="J162" s="158"/>
      <c r="K162" s="152"/>
    </row>
    <row r="163" spans="1:11" s="139" customFormat="1" ht="25.5" customHeight="1">
      <c r="A163" s="132">
        <v>45021</v>
      </c>
      <c r="B163" s="43" t="s">
        <v>993</v>
      </c>
      <c r="C163" s="62">
        <v>13392</v>
      </c>
      <c r="D163" s="55"/>
      <c r="E163" s="55"/>
      <c r="F163" s="55"/>
      <c r="G163" s="55"/>
      <c r="H163" s="55"/>
      <c r="I163" s="60">
        <f t="shared" si="37"/>
        <v>13392</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aca="true" t="shared" si="47" ref="C166:H166">SUM(C167:C169)</f>
        <v>50276</v>
      </c>
      <c r="D166" s="54">
        <f t="shared" si="47"/>
        <v>0</v>
      </c>
      <c r="E166" s="54">
        <f t="shared" si="47"/>
        <v>0</v>
      </c>
      <c r="F166" s="54">
        <f t="shared" si="47"/>
        <v>0</v>
      </c>
      <c r="G166" s="54">
        <f t="shared" si="47"/>
        <v>0</v>
      </c>
      <c r="H166" s="54">
        <f t="shared" si="47"/>
        <v>0</v>
      </c>
      <c r="I166" s="60">
        <f t="shared" si="37"/>
        <v>50276</v>
      </c>
      <c r="J166" s="158"/>
      <c r="K166" s="152"/>
    </row>
    <row r="167" spans="1:11" s="139" customFormat="1" ht="25.5" customHeight="1">
      <c r="A167" s="132">
        <v>45041</v>
      </c>
      <c r="B167" s="43" t="s">
        <v>914</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v>50276</v>
      </c>
      <c r="D169" s="55"/>
      <c r="E169" s="55"/>
      <c r="F169" s="55"/>
      <c r="G169" s="55"/>
      <c r="H169" s="55"/>
      <c r="I169" s="60">
        <f t="shared" si="37"/>
        <v>50276</v>
      </c>
      <c r="J169" s="158"/>
      <c r="K169" s="152"/>
    </row>
    <row r="170" spans="1:11" s="139" customFormat="1" ht="25.5" customHeight="1">
      <c r="A170" s="42">
        <v>45990</v>
      </c>
      <c r="B170" s="49" t="s">
        <v>359</v>
      </c>
      <c r="C170" s="54">
        <f aca="true" t="shared" si="48" ref="C170:H170">SUM(C171)</f>
        <v>70597</v>
      </c>
      <c r="D170" s="54">
        <f t="shared" si="48"/>
        <v>0</v>
      </c>
      <c r="E170" s="54">
        <f t="shared" si="48"/>
        <v>0</v>
      </c>
      <c r="F170" s="54">
        <f t="shared" si="48"/>
        <v>0</v>
      </c>
      <c r="G170" s="54">
        <f t="shared" si="48"/>
        <v>0</v>
      </c>
      <c r="H170" s="54">
        <f t="shared" si="48"/>
        <v>0</v>
      </c>
      <c r="I170" s="60">
        <f t="shared" si="37"/>
        <v>70597</v>
      </c>
      <c r="J170" s="158"/>
      <c r="K170" s="152"/>
    </row>
    <row r="171" spans="1:11" s="139" customFormat="1" ht="25.5" customHeight="1">
      <c r="A171" s="132">
        <v>45999</v>
      </c>
      <c r="B171" s="43" t="s">
        <v>551</v>
      </c>
      <c r="C171" s="62">
        <v>70597</v>
      </c>
      <c r="D171" s="55"/>
      <c r="E171" s="55"/>
      <c r="F171" s="55"/>
      <c r="G171" s="55"/>
      <c r="H171" s="55"/>
      <c r="I171" s="60">
        <f t="shared" si="37"/>
        <v>70597</v>
      </c>
      <c r="J171" s="158"/>
      <c r="K171" s="152"/>
    </row>
    <row r="172" spans="1:11" s="139" customFormat="1" ht="25.5" customHeight="1">
      <c r="A172" s="38">
        <v>5</v>
      </c>
      <c r="B172" s="47" t="s">
        <v>552</v>
      </c>
      <c r="C172" s="52">
        <f>C173+C195+C198</f>
        <v>6640964</v>
      </c>
      <c r="D172" s="52">
        <f>D173+D195</f>
        <v>0</v>
      </c>
      <c r="E172" s="52">
        <f>E173+E195</f>
        <v>0</v>
      </c>
      <c r="F172" s="52">
        <f>F173+F195</f>
        <v>0</v>
      </c>
      <c r="G172" s="52">
        <f>G173+G195</f>
        <v>0</v>
      </c>
      <c r="H172" s="52">
        <f>H173+H195</f>
        <v>0</v>
      </c>
      <c r="I172" s="60">
        <f t="shared" si="37"/>
        <v>6640964</v>
      </c>
      <c r="J172" s="158"/>
      <c r="K172" s="152"/>
    </row>
    <row r="173" spans="1:11" s="139" customFormat="1" ht="25.5" customHeight="1">
      <c r="A173" s="40">
        <v>51</v>
      </c>
      <c r="B173" s="46" t="s">
        <v>379</v>
      </c>
      <c r="C173" s="53">
        <f aca="true" t="shared" si="49" ref="C173:H173">C174+C180+C185</f>
        <v>6640964</v>
      </c>
      <c r="D173" s="53">
        <f t="shared" si="49"/>
        <v>0</v>
      </c>
      <c r="E173" s="53">
        <f t="shared" si="49"/>
        <v>0</v>
      </c>
      <c r="F173" s="53">
        <f t="shared" si="49"/>
        <v>0</v>
      </c>
      <c r="G173" s="53">
        <f t="shared" si="49"/>
        <v>0</v>
      </c>
      <c r="H173" s="53">
        <f t="shared" si="49"/>
        <v>0</v>
      </c>
      <c r="I173" s="60">
        <f t="shared" si="37"/>
        <v>6640964</v>
      </c>
      <c r="J173" s="158"/>
      <c r="K173" s="152"/>
    </row>
    <row r="174" spans="1:11" s="139" customFormat="1" ht="25.5" customHeight="1">
      <c r="A174" s="42">
        <v>51010</v>
      </c>
      <c r="B174" s="49" t="s">
        <v>926</v>
      </c>
      <c r="C174" s="54">
        <f aca="true" t="shared" si="50" ref="C174:H174">SUM(C175:C179)</f>
        <v>2070044</v>
      </c>
      <c r="D174" s="54">
        <f t="shared" si="50"/>
        <v>0</v>
      </c>
      <c r="E174" s="54">
        <f t="shared" si="50"/>
        <v>0</v>
      </c>
      <c r="F174" s="54">
        <f t="shared" si="50"/>
        <v>0</v>
      </c>
      <c r="G174" s="54">
        <f t="shared" si="50"/>
        <v>0</v>
      </c>
      <c r="H174" s="54">
        <f t="shared" si="50"/>
        <v>0</v>
      </c>
      <c r="I174" s="60">
        <f t="shared" si="37"/>
        <v>2070044</v>
      </c>
      <c r="J174" s="158"/>
      <c r="K174" s="152"/>
    </row>
    <row r="175" spans="1:11" s="139" customFormat="1" ht="25.5" customHeight="1">
      <c r="A175" s="134">
        <v>51011</v>
      </c>
      <c r="B175" s="43" t="s">
        <v>931</v>
      </c>
      <c r="C175" s="62">
        <v>169165</v>
      </c>
      <c r="D175" s="61"/>
      <c r="E175" s="61"/>
      <c r="F175" s="61"/>
      <c r="G175" s="61"/>
      <c r="H175" s="61"/>
      <c r="I175" s="60">
        <f t="shared" si="37"/>
        <v>169165</v>
      </c>
      <c r="J175" s="158"/>
      <c r="K175" s="152"/>
    </row>
    <row r="176" spans="1:11" s="139" customFormat="1" ht="25.5" customHeight="1">
      <c r="A176" s="134">
        <v>51012</v>
      </c>
      <c r="B176" s="43" t="s">
        <v>932</v>
      </c>
      <c r="C176" s="62"/>
      <c r="D176" s="61"/>
      <c r="E176" s="61"/>
      <c r="F176" s="61"/>
      <c r="G176" s="61"/>
      <c r="H176" s="61"/>
      <c r="I176" s="60">
        <f t="shared" si="37"/>
        <v>0</v>
      </c>
      <c r="J176" s="158"/>
      <c r="K176" s="152"/>
    </row>
    <row r="177" spans="1:11" s="139" customFormat="1" ht="25.5" customHeight="1">
      <c r="A177" s="134">
        <v>51013</v>
      </c>
      <c r="B177" s="43" t="s">
        <v>933</v>
      </c>
      <c r="C177" s="62">
        <v>365918</v>
      </c>
      <c r="D177" s="61"/>
      <c r="E177" s="61"/>
      <c r="F177" s="61"/>
      <c r="G177" s="61"/>
      <c r="H177" s="61"/>
      <c r="I177" s="60">
        <f t="shared" si="37"/>
        <v>365918</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v>1534961</v>
      </c>
      <c r="D179" s="61"/>
      <c r="E179" s="61"/>
      <c r="F179" s="61"/>
      <c r="G179" s="61"/>
      <c r="H179" s="61"/>
      <c r="I179" s="60">
        <f t="shared" si="37"/>
        <v>1534961</v>
      </c>
      <c r="J179" s="158"/>
      <c r="K179" s="152"/>
    </row>
    <row r="180" spans="1:11" s="139" customFormat="1" ht="25.5" customHeight="1">
      <c r="A180" s="42">
        <v>51020</v>
      </c>
      <c r="B180" s="49" t="s">
        <v>971</v>
      </c>
      <c r="C180" s="163">
        <f aca="true" t="shared" si="51" ref="C180:H180">SUM(C181:C184)</f>
        <v>194215</v>
      </c>
      <c r="D180" s="163">
        <f t="shared" si="51"/>
        <v>0</v>
      </c>
      <c r="E180" s="163">
        <f t="shared" si="51"/>
        <v>0</v>
      </c>
      <c r="F180" s="163">
        <f t="shared" si="51"/>
        <v>0</v>
      </c>
      <c r="G180" s="163">
        <f t="shared" si="51"/>
        <v>0</v>
      </c>
      <c r="H180" s="163">
        <f t="shared" si="51"/>
        <v>0</v>
      </c>
      <c r="I180" s="60">
        <f t="shared" si="37"/>
        <v>194215</v>
      </c>
      <c r="J180" s="158"/>
      <c r="K180" s="152"/>
    </row>
    <row r="181" spans="1:11" s="139" customFormat="1" ht="25.5" customHeight="1">
      <c r="A181" s="134">
        <v>51021</v>
      </c>
      <c r="B181" s="43" t="s">
        <v>940</v>
      </c>
      <c r="C181" s="62">
        <v>16894</v>
      </c>
      <c r="D181" s="61"/>
      <c r="E181" s="61"/>
      <c r="F181" s="61"/>
      <c r="G181" s="61"/>
      <c r="H181" s="61"/>
      <c r="I181" s="60">
        <f t="shared" si="37"/>
        <v>16894</v>
      </c>
      <c r="J181" s="158"/>
      <c r="K181" s="152"/>
    </row>
    <row r="182" spans="1:11" s="139" customFormat="1" ht="25.5" customHeight="1">
      <c r="A182" s="134">
        <v>51022</v>
      </c>
      <c r="B182" s="43" t="s">
        <v>923</v>
      </c>
      <c r="C182" s="62">
        <v>171486</v>
      </c>
      <c r="D182" s="61"/>
      <c r="E182" s="61"/>
      <c r="F182" s="61"/>
      <c r="G182" s="61"/>
      <c r="H182" s="61"/>
      <c r="I182" s="60">
        <f t="shared" si="37"/>
        <v>171486</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5835</v>
      </c>
      <c r="D184" s="61"/>
      <c r="E184" s="61"/>
      <c r="F184" s="61"/>
      <c r="G184" s="61"/>
      <c r="H184" s="61"/>
      <c r="I184" s="60">
        <f t="shared" si="37"/>
        <v>5835</v>
      </c>
      <c r="J184" s="158"/>
      <c r="K184" s="152"/>
    </row>
    <row r="185" spans="1:11" s="139" customFormat="1" ht="25.5" customHeight="1">
      <c r="A185" s="42">
        <v>51990</v>
      </c>
      <c r="B185" s="49" t="s">
        <v>373</v>
      </c>
      <c r="C185" s="54">
        <f aca="true" t="shared" si="52" ref="C185:H185">SUM(C186:C194)</f>
        <v>4376705</v>
      </c>
      <c r="D185" s="54">
        <f t="shared" si="52"/>
        <v>0</v>
      </c>
      <c r="E185" s="54">
        <f t="shared" si="52"/>
        <v>0</v>
      </c>
      <c r="F185" s="54">
        <f t="shared" si="52"/>
        <v>0</v>
      </c>
      <c r="G185" s="54">
        <f t="shared" si="52"/>
        <v>0</v>
      </c>
      <c r="H185" s="54">
        <f t="shared" si="52"/>
        <v>0</v>
      </c>
      <c r="I185" s="60">
        <f t="shared" si="37"/>
        <v>4376705</v>
      </c>
      <c r="J185" s="158"/>
      <c r="K185" s="152"/>
    </row>
    <row r="186" spans="1:11" s="139" customFormat="1" ht="25.5" customHeight="1">
      <c r="A186" s="132">
        <v>51991</v>
      </c>
      <c r="B186" s="44" t="s">
        <v>974</v>
      </c>
      <c r="C186" s="62">
        <v>655001</v>
      </c>
      <c r="D186" s="55"/>
      <c r="E186" s="55"/>
      <c r="F186" s="55"/>
      <c r="G186" s="55"/>
      <c r="H186" s="55"/>
      <c r="I186" s="60">
        <f t="shared" si="37"/>
        <v>655001</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v>3721704</v>
      </c>
      <c r="D194" s="55"/>
      <c r="E194" s="55"/>
      <c r="F194" s="55"/>
      <c r="G194" s="55"/>
      <c r="H194" s="55"/>
      <c r="I194" s="60">
        <f t="shared" si="37"/>
        <v>3721704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976</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8148408</v>
      </c>
      <c r="D201" s="52">
        <f t="shared" si="58"/>
        <v>0</v>
      </c>
      <c r="E201" s="52">
        <f t="shared" si="58"/>
        <v>0</v>
      </c>
      <c r="F201" s="52">
        <f t="shared" si="58"/>
        <v>0</v>
      </c>
      <c r="G201" s="52">
        <f t="shared" si="58"/>
        <v>0</v>
      </c>
      <c r="H201" s="52">
        <f t="shared" si="58"/>
        <v>0</v>
      </c>
      <c r="I201" s="60">
        <f t="shared" si="54"/>
        <v>8148408</v>
      </c>
      <c r="J201" s="158"/>
      <c r="K201" s="152"/>
    </row>
    <row r="202" spans="1:11" s="139" customFormat="1" ht="25.5" customHeight="1">
      <c r="A202" s="40">
        <v>61</v>
      </c>
      <c r="B202" s="46" t="s">
        <v>367</v>
      </c>
      <c r="C202" s="53">
        <f aca="true" t="shared" si="59" ref="C202:H202">C203+C205+C207+C211+C209+C213+C215</f>
        <v>8101033</v>
      </c>
      <c r="D202" s="53">
        <f t="shared" si="59"/>
        <v>0</v>
      </c>
      <c r="E202" s="53">
        <f t="shared" si="59"/>
        <v>0</v>
      </c>
      <c r="F202" s="53">
        <f t="shared" si="59"/>
        <v>0</v>
      </c>
      <c r="G202" s="53">
        <f t="shared" si="59"/>
        <v>0</v>
      </c>
      <c r="H202" s="53">
        <f t="shared" si="59"/>
        <v>0</v>
      </c>
      <c r="I202" s="60">
        <f t="shared" si="54"/>
        <v>8101033</v>
      </c>
      <c r="J202" s="158"/>
      <c r="K202" s="152"/>
    </row>
    <row r="203" spans="1:11" s="139" customFormat="1" ht="25.5" customHeight="1">
      <c r="A203" s="42">
        <v>61010</v>
      </c>
      <c r="B203" s="49" t="s">
        <v>997</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7000</v>
      </c>
      <c r="D205" s="54">
        <f t="shared" si="61"/>
        <v>0</v>
      </c>
      <c r="E205" s="54">
        <f t="shared" si="61"/>
        <v>0</v>
      </c>
      <c r="F205" s="54">
        <f t="shared" si="61"/>
        <v>0</v>
      </c>
      <c r="G205" s="54">
        <f t="shared" si="61"/>
        <v>0</v>
      </c>
      <c r="H205" s="54">
        <f t="shared" si="61"/>
        <v>0</v>
      </c>
      <c r="I205" s="60">
        <f t="shared" si="54"/>
        <v>7000</v>
      </c>
      <c r="J205" s="158"/>
      <c r="K205" s="152"/>
    </row>
    <row r="206" spans="1:11" s="139" customFormat="1" ht="25.5" customHeight="1">
      <c r="A206" s="132">
        <v>61021</v>
      </c>
      <c r="B206" s="43" t="s">
        <v>993</v>
      </c>
      <c r="C206" s="62">
        <v>7000</v>
      </c>
      <c r="D206" s="55"/>
      <c r="E206" s="55"/>
      <c r="F206" s="55"/>
      <c r="G206" s="55"/>
      <c r="H206" s="55"/>
      <c r="I206" s="60">
        <f t="shared" si="54"/>
        <v>7000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aca="true" t="shared" si="64" ref="C211:H211">SUM(C212)</f>
        <v>8094033</v>
      </c>
      <c r="D211" s="54">
        <f t="shared" si="64"/>
        <v>0</v>
      </c>
      <c r="E211" s="54">
        <f t="shared" si="64"/>
        <v>0</v>
      </c>
      <c r="F211" s="54">
        <f t="shared" si="64"/>
        <v>0</v>
      </c>
      <c r="G211" s="54">
        <f t="shared" si="64"/>
        <v>0</v>
      </c>
      <c r="H211" s="54">
        <f t="shared" si="64"/>
        <v>0</v>
      </c>
      <c r="I211" s="60">
        <f t="shared" si="54"/>
        <v>8094033</v>
      </c>
      <c r="J211" s="158"/>
      <c r="K211" s="152"/>
    </row>
    <row r="212" spans="1:11" s="139" customFormat="1" ht="25.5" customHeight="1">
      <c r="A212" s="132">
        <v>61051</v>
      </c>
      <c r="B212" s="43" t="s">
        <v>999</v>
      </c>
      <c r="C212" s="62">
        <v>8094033</v>
      </c>
      <c r="D212" s="55"/>
      <c r="E212" s="55"/>
      <c r="F212" s="55"/>
      <c r="G212" s="55"/>
      <c r="H212" s="55"/>
      <c r="I212" s="60">
        <f t="shared" si="54"/>
        <v>8094033</v>
      </c>
      <c r="J212" s="158"/>
      <c r="K212" s="152"/>
    </row>
    <row r="213" spans="1:11" s="139" customFormat="1" ht="25.5" customHeight="1">
      <c r="A213" s="42">
        <v>61060</v>
      </c>
      <c r="B213" s="49" t="s">
        <v>1000</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aca="true" t="shared" si="67" ref="C218:H218">C219</f>
        <v>47375</v>
      </c>
      <c r="D218" s="53">
        <f t="shared" si="67"/>
        <v>0</v>
      </c>
      <c r="E218" s="53">
        <f t="shared" si="67"/>
        <v>0</v>
      </c>
      <c r="F218" s="53">
        <f t="shared" si="67"/>
        <v>0</v>
      </c>
      <c r="G218" s="53">
        <f t="shared" si="67"/>
        <v>0</v>
      </c>
      <c r="H218" s="53">
        <f t="shared" si="67"/>
        <v>0</v>
      </c>
      <c r="I218" s="60">
        <f t="shared" si="54"/>
        <v>47375</v>
      </c>
      <c r="J218" s="158"/>
      <c r="K218" s="152"/>
    </row>
    <row r="219" spans="1:11" s="139" customFormat="1" ht="25.5" customHeight="1">
      <c r="A219" s="42">
        <v>63990</v>
      </c>
      <c r="B219" s="49" t="s">
        <v>358</v>
      </c>
      <c r="C219" s="54">
        <f aca="true" t="shared" si="68" ref="C219:H219">SUM(C220:C220)</f>
        <v>47375</v>
      </c>
      <c r="D219" s="54">
        <f t="shared" si="68"/>
        <v>0</v>
      </c>
      <c r="E219" s="54">
        <f t="shared" si="68"/>
        <v>0</v>
      </c>
      <c r="F219" s="54">
        <f t="shared" si="68"/>
        <v>0</v>
      </c>
      <c r="G219" s="54">
        <f t="shared" si="68"/>
        <v>0</v>
      </c>
      <c r="H219" s="54">
        <f t="shared" si="68"/>
        <v>0</v>
      </c>
      <c r="I219" s="60">
        <f t="shared" si="54"/>
        <v>47375</v>
      </c>
      <c r="J219" s="158"/>
      <c r="K219" s="152"/>
    </row>
    <row r="220" spans="1:11" s="139" customFormat="1" ht="25.5" customHeight="1">
      <c r="A220" s="132">
        <v>63999</v>
      </c>
      <c r="B220" s="43" t="s">
        <v>1004</v>
      </c>
      <c r="C220" s="62">
        <v>47375</v>
      </c>
      <c r="D220" s="55"/>
      <c r="E220" s="55"/>
      <c r="F220" s="55"/>
      <c r="G220" s="55"/>
      <c r="H220" s="55"/>
      <c r="I220" s="60">
        <f t="shared" si="54"/>
        <v>47375</v>
      </c>
      <c r="J220" s="158"/>
      <c r="K220" s="152"/>
    </row>
    <row r="221" spans="1:11" s="139" customFormat="1" ht="25.5" customHeight="1">
      <c r="A221" s="40">
        <v>64</v>
      </c>
      <c r="B221" s="46" t="s">
        <v>1002</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43185961</v>
      </c>
      <c r="D237" s="52">
        <f t="shared" si="78"/>
        <v>8068599</v>
      </c>
      <c r="E237" s="52">
        <f t="shared" si="78"/>
        <v>20895833</v>
      </c>
      <c r="F237" s="52">
        <f t="shared" si="78"/>
        <v>2800000</v>
      </c>
      <c r="G237" s="52">
        <f t="shared" si="78"/>
        <v>8000000</v>
      </c>
      <c r="H237" s="52">
        <f t="shared" si="78"/>
        <v>0</v>
      </c>
      <c r="I237" s="60">
        <f t="shared" si="54"/>
        <v>82950393</v>
      </c>
      <c r="J237" s="158"/>
      <c r="K237" s="152"/>
    </row>
    <row r="238" spans="1:11" s="139" customFormat="1" ht="25.5" customHeight="1">
      <c r="A238" s="40">
        <v>81</v>
      </c>
      <c r="B238" s="46" t="s">
        <v>256</v>
      </c>
      <c r="C238" s="53">
        <f aca="true" t="shared" si="79" ref="C238:H238">C239</f>
        <v>43185961</v>
      </c>
      <c r="D238" s="53">
        <f t="shared" si="79"/>
        <v>0</v>
      </c>
      <c r="E238" s="53">
        <f t="shared" si="79"/>
        <v>0</v>
      </c>
      <c r="F238" s="53">
        <f t="shared" si="79"/>
        <v>0</v>
      </c>
      <c r="G238" s="53">
        <f t="shared" si="79"/>
        <v>0</v>
      </c>
      <c r="H238" s="53">
        <f t="shared" si="79"/>
        <v>0</v>
      </c>
      <c r="I238" s="60">
        <f t="shared" si="54"/>
        <v>43185961</v>
      </c>
      <c r="J238" s="158"/>
      <c r="K238" s="152"/>
    </row>
    <row r="239" spans="1:11" s="139" customFormat="1" ht="25.5" customHeight="1">
      <c r="A239" s="42">
        <v>81010</v>
      </c>
      <c r="B239" s="50" t="s">
        <v>559</v>
      </c>
      <c r="C239" s="54">
        <f aca="true" t="shared" si="80" ref="C239:H239">SUM(C240:C241)</f>
        <v>43185961</v>
      </c>
      <c r="D239" s="54">
        <f t="shared" si="80"/>
        <v>0</v>
      </c>
      <c r="E239" s="54">
        <f t="shared" si="80"/>
        <v>0</v>
      </c>
      <c r="F239" s="54">
        <f t="shared" si="80"/>
        <v>0</v>
      </c>
      <c r="G239" s="54">
        <f t="shared" si="80"/>
        <v>0</v>
      </c>
      <c r="H239" s="54">
        <f t="shared" si="80"/>
        <v>0</v>
      </c>
      <c r="I239" s="60">
        <f t="shared" si="54"/>
        <v>43185961</v>
      </c>
      <c r="J239" s="158"/>
      <c r="K239" s="152"/>
    </row>
    <row r="240" spans="1:11" s="139" customFormat="1" ht="25.5" customHeight="1">
      <c r="A240" s="132">
        <v>81011</v>
      </c>
      <c r="B240" s="44" t="s">
        <v>357</v>
      </c>
      <c r="C240" s="62">
        <v>37013742</v>
      </c>
      <c r="D240" s="55"/>
      <c r="E240" s="55"/>
      <c r="F240" s="55"/>
      <c r="G240" s="55"/>
      <c r="H240" s="55"/>
      <c r="I240" s="60">
        <f t="shared" si="54"/>
        <v>37013742</v>
      </c>
      <c r="J240" s="158"/>
      <c r="K240" s="152"/>
    </row>
    <row r="241" spans="1:11" s="139" customFormat="1" ht="25.5" customHeight="1">
      <c r="A241" s="132">
        <v>81012</v>
      </c>
      <c r="B241" s="44" t="s">
        <v>356</v>
      </c>
      <c r="C241" s="62">
        <v>6172219</v>
      </c>
      <c r="D241" s="55"/>
      <c r="E241" s="55"/>
      <c r="F241" s="55"/>
      <c r="G241" s="55"/>
      <c r="H241" s="55"/>
      <c r="I241" s="60">
        <f t="shared" si="54"/>
        <v>6172219</v>
      </c>
      <c r="J241" s="158"/>
      <c r="K241" s="152"/>
    </row>
    <row r="242" spans="1:11" s="139" customFormat="1" ht="25.5" customHeight="1">
      <c r="A242" s="40">
        <v>82</v>
      </c>
      <c r="B242" s="46" t="s">
        <v>262</v>
      </c>
      <c r="C242" s="53">
        <f aca="true" t="shared" si="81" ref="C242:H242">C243</f>
        <v>0</v>
      </c>
      <c r="D242" s="53">
        <f t="shared" si="81"/>
        <v>8068599</v>
      </c>
      <c r="E242" s="53">
        <f t="shared" si="81"/>
        <v>20895833</v>
      </c>
      <c r="F242" s="53">
        <f t="shared" si="81"/>
        <v>0</v>
      </c>
      <c r="G242" s="53">
        <f t="shared" si="81"/>
        <v>0</v>
      </c>
      <c r="H242" s="53">
        <f t="shared" si="81"/>
        <v>0</v>
      </c>
      <c r="I242" s="60">
        <f t="shared" si="54"/>
        <v>28964432</v>
      </c>
      <c r="J242" s="158"/>
      <c r="K242" s="152"/>
    </row>
    <row r="243" spans="1:11" s="139" customFormat="1" ht="25.5" customHeight="1">
      <c r="A243" s="42">
        <v>82010</v>
      </c>
      <c r="B243" s="49" t="s">
        <v>627</v>
      </c>
      <c r="C243" s="54">
        <f aca="true" t="shared" si="82" ref="C243:H243">SUM(C244:C247)</f>
        <v>0</v>
      </c>
      <c r="D243" s="54">
        <f t="shared" si="82"/>
        <v>8068599</v>
      </c>
      <c r="E243" s="54">
        <f t="shared" si="82"/>
        <v>20895833</v>
      </c>
      <c r="F243" s="54">
        <f t="shared" si="82"/>
        <v>0</v>
      </c>
      <c r="G243" s="54">
        <f t="shared" si="82"/>
        <v>0</v>
      </c>
      <c r="H243" s="54">
        <f t="shared" si="82"/>
        <v>0</v>
      </c>
      <c r="I243" s="60">
        <f t="shared" si="54"/>
        <v>28964432</v>
      </c>
      <c r="J243" s="158"/>
      <c r="K243" s="152"/>
    </row>
    <row r="244" spans="1:11" s="139" customFormat="1" ht="25.5" customHeight="1">
      <c r="A244" s="132">
        <v>82011</v>
      </c>
      <c r="B244" s="44" t="s">
        <v>354</v>
      </c>
      <c r="C244" s="55"/>
      <c r="D244" s="62">
        <v>7683780</v>
      </c>
      <c r="E244" s="55"/>
      <c r="F244" s="55"/>
      <c r="G244" s="55"/>
      <c r="H244" s="55"/>
      <c r="I244" s="60">
        <f t="shared" si="54"/>
        <v>7683780</v>
      </c>
      <c r="J244" s="158"/>
      <c r="K244" s="152"/>
    </row>
    <row r="245" spans="1:11" s="139" customFormat="1" ht="25.5" customHeight="1">
      <c r="A245" s="132">
        <v>82012</v>
      </c>
      <c r="B245" s="44" t="s">
        <v>353</v>
      </c>
      <c r="C245" s="55"/>
      <c r="D245" s="62">
        <v>384819</v>
      </c>
      <c r="E245" s="55"/>
      <c r="F245" s="55"/>
      <c r="G245" s="55"/>
      <c r="H245" s="55"/>
      <c r="I245" s="60">
        <f t="shared" si="54"/>
        <v>384819</v>
      </c>
      <c r="J245" s="158"/>
      <c r="K245" s="152"/>
    </row>
    <row r="246" spans="1:11" s="139" customFormat="1" ht="25.5" customHeight="1">
      <c r="A246" s="132">
        <v>82013</v>
      </c>
      <c r="B246" s="44" t="s">
        <v>352</v>
      </c>
      <c r="C246" s="55"/>
      <c r="D246" s="55"/>
      <c r="E246" s="62">
        <v>19900794</v>
      </c>
      <c r="F246" s="55"/>
      <c r="G246" s="55"/>
      <c r="H246" s="55"/>
      <c r="I246" s="60">
        <f t="shared" si="54"/>
        <v>19900794</v>
      </c>
      <c r="J246" s="158"/>
      <c r="K246" s="152"/>
    </row>
    <row r="247" spans="1:11" s="139" customFormat="1" ht="25.5" customHeight="1">
      <c r="A247" s="132">
        <v>82014</v>
      </c>
      <c r="B247" s="44" t="s">
        <v>351</v>
      </c>
      <c r="C247" s="55"/>
      <c r="D247" s="55"/>
      <c r="E247" s="62">
        <v>995039</v>
      </c>
      <c r="F247" s="55"/>
      <c r="G247" s="55"/>
      <c r="H247" s="55"/>
      <c r="I247" s="60">
        <f t="shared" si="54"/>
        <v>995039</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2800000</v>
      </c>
      <c r="G248" s="53">
        <f t="shared" si="83"/>
        <v>8000000</v>
      </c>
      <c r="H248" s="53">
        <f t="shared" si="83"/>
        <v>0</v>
      </c>
      <c r="I248" s="60">
        <f t="shared" si="54"/>
        <v>10800000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2800000</v>
      </c>
      <c r="G249" s="54">
        <f t="shared" si="84"/>
        <v>8000000</v>
      </c>
      <c r="H249" s="54">
        <f t="shared" si="84"/>
        <v>0</v>
      </c>
      <c r="I249" s="60">
        <f t="shared" si="54"/>
        <v>10800000</v>
      </c>
      <c r="J249" s="158"/>
      <c r="K249" s="152"/>
    </row>
    <row r="250" spans="1:11" s="139" customFormat="1" ht="25.5" customHeight="1">
      <c r="A250" s="134">
        <v>83011</v>
      </c>
      <c r="B250" s="44" t="s">
        <v>569</v>
      </c>
      <c r="C250" s="61"/>
      <c r="D250" s="61"/>
      <c r="E250" s="61"/>
      <c r="F250" s="62">
        <v>2800000</v>
      </c>
      <c r="G250" s="62">
        <v>8000000</v>
      </c>
      <c r="H250" s="62"/>
      <c r="I250" s="60">
        <f t="shared" si="54"/>
        <v>10800000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978</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82782022</v>
      </c>
      <c r="D278" s="261">
        <f t="shared" si="98"/>
        <v>8068599</v>
      </c>
      <c r="E278" s="261">
        <f t="shared" si="98"/>
        <v>20895833</v>
      </c>
      <c r="F278" s="261">
        <f t="shared" si="98"/>
        <v>2800000</v>
      </c>
      <c r="G278" s="261">
        <f t="shared" si="98"/>
        <v>8000000</v>
      </c>
      <c r="H278" s="261">
        <f t="shared" si="98"/>
        <v>0</v>
      </c>
      <c r="I278" s="509">
        <f t="shared" si="98"/>
        <v>122546454</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zoomScalePageLayoutView="90" workbookViewId="0" topLeftCell="A42">
      <selection activeCell="B147" sqref="B147"/>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1018</v>
      </c>
      <c r="G1" s="514"/>
      <c r="H1" s="514" t="s">
        <v>535</v>
      </c>
      <c r="I1" s="514" t="s">
        <v>519</v>
      </c>
    </row>
    <row r="2" spans="1:9" s="22" customFormat="1" ht="22.5">
      <c r="A2" s="515"/>
      <c r="B2" s="516"/>
      <c r="C2" s="517"/>
      <c r="D2" s="173" t="s">
        <v>1014</v>
      </c>
      <c r="E2" s="173" t="s">
        <v>1015</v>
      </c>
      <c r="F2" s="173" t="s">
        <v>1016</v>
      </c>
      <c r="G2" s="173" t="s">
        <v>1017</v>
      </c>
      <c r="H2" s="514"/>
      <c r="I2" s="514"/>
    </row>
    <row r="3" spans="1:9" ht="25.5" customHeight="1">
      <c r="A3" s="177">
        <v>1000</v>
      </c>
      <c r="B3" s="178" t="s">
        <v>0</v>
      </c>
      <c r="C3" s="179">
        <f aca="true" t="shared" si="0" ref="C3:H3">C4+C9+C14+C23+C28+C35+C37</f>
        <v>33744249</v>
      </c>
      <c r="D3" s="179">
        <f t="shared" si="0"/>
        <v>0</v>
      </c>
      <c r="E3" s="179">
        <f t="shared" si="0"/>
        <v>9670863</v>
      </c>
      <c r="F3" s="179">
        <f t="shared" si="0"/>
        <v>0</v>
      </c>
      <c r="G3" s="179">
        <f t="shared" si="0"/>
        <v>0</v>
      </c>
      <c r="H3" s="179">
        <f t="shared" si="0"/>
        <v>0</v>
      </c>
      <c r="I3" s="180">
        <f>C3+D3+E3+F3+H3+G3</f>
        <v>43415112</v>
      </c>
    </row>
    <row r="4" spans="1:11" ht="25.5" customHeight="1">
      <c r="A4" s="174">
        <v>1100</v>
      </c>
      <c r="B4" s="175" t="s">
        <v>1</v>
      </c>
      <c r="C4" s="176">
        <f aca="true" t="shared" si="1" ref="C4:H4">SUM(C5:C8)</f>
        <v>21768530</v>
      </c>
      <c r="D4" s="176">
        <f t="shared" si="1"/>
        <v>0</v>
      </c>
      <c r="E4" s="176">
        <f t="shared" si="1"/>
        <v>8515630</v>
      </c>
      <c r="F4" s="176">
        <f t="shared" si="1"/>
        <v>0</v>
      </c>
      <c r="G4" s="176">
        <f t="shared" si="1"/>
        <v>0</v>
      </c>
      <c r="H4" s="176">
        <f t="shared" si="1"/>
        <v>0</v>
      </c>
      <c r="I4" s="180">
        <f aca="true" t="shared" si="2" ref="I4:I67">C4+D4+E4+F4+H4+G4</f>
        <v>30284160</v>
      </c>
      <c r="K4">
        <v>1</v>
      </c>
    </row>
    <row r="5" spans="1:11" ht="25.5" customHeight="1">
      <c r="A5" s="25">
        <v>111</v>
      </c>
      <c r="B5" s="37" t="s">
        <v>2</v>
      </c>
      <c r="C5" s="36">
        <v>3094200</v>
      </c>
      <c r="D5" s="101"/>
      <c r="E5" s="101"/>
      <c r="F5" s="101"/>
      <c r="G5" s="101"/>
      <c r="H5" s="101"/>
      <c r="I5" s="180">
        <f t="shared" si="2"/>
        <v>3094200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18674330</v>
      </c>
      <c r="D7" s="36"/>
      <c r="E7" s="36">
        <v>8515630</v>
      </c>
      <c r="F7" s="101"/>
      <c r="G7" s="101"/>
      <c r="H7" s="101"/>
      <c r="I7" s="180">
        <f t="shared" si="2"/>
        <v>27189960</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8656535</v>
      </c>
      <c r="D9" s="31">
        <f t="shared" si="3"/>
        <v>0</v>
      </c>
      <c r="E9" s="31">
        <f t="shared" si="3"/>
        <v>980625</v>
      </c>
      <c r="F9" s="31">
        <f t="shared" si="3"/>
        <v>0</v>
      </c>
      <c r="G9" s="31">
        <f t="shared" si="3"/>
        <v>0</v>
      </c>
      <c r="H9" s="31">
        <f t="shared" si="3"/>
        <v>0</v>
      </c>
      <c r="I9" s="180">
        <f t="shared" si="2"/>
        <v>9637160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8656535</v>
      </c>
      <c r="D11" s="36"/>
      <c r="E11" s="36">
        <v>980625</v>
      </c>
      <c r="F11" s="36"/>
      <c r="G11" s="36"/>
      <c r="H11" s="36"/>
      <c r="I11" s="180">
        <f t="shared" si="2"/>
        <v>9637160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1887591</v>
      </c>
      <c r="D14" s="31">
        <f t="shared" si="4"/>
        <v>0</v>
      </c>
      <c r="E14" s="31">
        <f t="shared" si="4"/>
        <v>0</v>
      </c>
      <c r="F14" s="31">
        <f t="shared" si="4"/>
        <v>0</v>
      </c>
      <c r="G14" s="31">
        <f t="shared" si="4"/>
        <v>0</v>
      </c>
      <c r="H14" s="31">
        <f t="shared" si="4"/>
        <v>0</v>
      </c>
      <c r="I14" s="180">
        <f t="shared" si="2"/>
        <v>1887591</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692506</v>
      </c>
      <c r="D16" s="101"/>
      <c r="E16" s="36"/>
      <c r="F16" s="101"/>
      <c r="G16" s="101"/>
      <c r="H16" s="101"/>
      <c r="I16" s="180">
        <f t="shared" si="2"/>
        <v>692506</v>
      </c>
      <c r="K16" s="32" t="s">
        <v>548</v>
      </c>
    </row>
    <row r="17" spans="1:11" ht="25.5" customHeight="1">
      <c r="A17" s="25">
        <v>133</v>
      </c>
      <c r="B17" s="26" t="s">
        <v>12</v>
      </c>
      <c r="C17" s="36">
        <v>733358</v>
      </c>
      <c r="D17" s="101"/>
      <c r="E17" s="36"/>
      <c r="F17" s="101"/>
      <c r="G17" s="101"/>
      <c r="H17" s="101"/>
      <c r="I17" s="180">
        <f t="shared" si="2"/>
        <v>733358</v>
      </c>
      <c r="K17">
        <v>201</v>
      </c>
    </row>
    <row r="18" spans="1:11" ht="25.5" customHeight="1">
      <c r="A18" s="25">
        <v>134</v>
      </c>
      <c r="B18" s="26" t="s">
        <v>13</v>
      </c>
      <c r="C18" s="36">
        <v>461727</v>
      </c>
      <c r="D18" s="101"/>
      <c r="E18" s="101"/>
      <c r="F18" s="101"/>
      <c r="G18" s="101"/>
      <c r="H18" s="101"/>
      <c r="I18" s="180">
        <f t="shared" si="2"/>
        <v>461727</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401361</v>
      </c>
      <c r="D23" s="31">
        <f t="shared" si="5"/>
        <v>0</v>
      </c>
      <c r="E23" s="31">
        <f t="shared" si="5"/>
        <v>174608</v>
      </c>
      <c r="F23" s="31">
        <f t="shared" si="5"/>
        <v>0</v>
      </c>
      <c r="G23" s="31">
        <f t="shared" si="5"/>
        <v>0</v>
      </c>
      <c r="H23" s="31">
        <f t="shared" si="5"/>
        <v>0</v>
      </c>
      <c r="I23" s="180">
        <f t="shared" si="2"/>
        <v>575969</v>
      </c>
      <c r="K23">
        <v>213</v>
      </c>
    </row>
    <row r="24" spans="1:11" ht="25.5" customHeight="1">
      <c r="A24" s="25">
        <v>141</v>
      </c>
      <c r="B24" s="26" t="s">
        <v>19</v>
      </c>
      <c r="C24" s="36">
        <v>401361</v>
      </c>
      <c r="D24" s="101"/>
      <c r="E24" s="36">
        <v>174608</v>
      </c>
      <c r="F24" s="101"/>
      <c r="G24" s="101"/>
      <c r="H24" s="101"/>
      <c r="I24" s="180">
        <f t="shared" si="2"/>
        <v>575969</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1030232</v>
      </c>
      <c r="D28" s="31">
        <f t="shared" si="6"/>
        <v>0</v>
      </c>
      <c r="E28" s="31">
        <f t="shared" si="6"/>
        <v>0</v>
      </c>
      <c r="F28" s="31">
        <f t="shared" si="6"/>
        <v>0</v>
      </c>
      <c r="G28" s="31">
        <f t="shared" si="6"/>
        <v>0</v>
      </c>
      <c r="H28" s="31">
        <f t="shared" si="6"/>
        <v>0</v>
      </c>
      <c r="I28" s="180">
        <f t="shared" si="2"/>
        <v>1030232</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1030232</v>
      </c>
      <c r="D30" s="101"/>
      <c r="E30" s="36"/>
      <c r="F30" s="101"/>
      <c r="G30" s="101"/>
      <c r="H30" s="101"/>
      <c r="I30" s="180">
        <f t="shared" si="2"/>
        <v>1030232</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14935635</v>
      </c>
      <c r="D40" s="33">
        <f t="shared" si="9"/>
        <v>0</v>
      </c>
      <c r="E40" s="33">
        <f t="shared" si="9"/>
        <v>1840247</v>
      </c>
      <c r="F40" s="33">
        <f t="shared" si="9"/>
        <v>0</v>
      </c>
      <c r="G40" s="33">
        <f t="shared" si="9"/>
        <v>0</v>
      </c>
      <c r="H40" s="33">
        <f t="shared" si="9"/>
        <v>0</v>
      </c>
      <c r="I40" s="180">
        <f t="shared" si="2"/>
        <v>16775882</v>
      </c>
      <c r="K40">
        <v>216</v>
      </c>
    </row>
    <row r="41" spans="1:11" ht="25.5" customHeight="1">
      <c r="A41" s="29">
        <v>2100</v>
      </c>
      <c r="B41" s="24" t="s">
        <v>33</v>
      </c>
      <c r="C41" s="31">
        <f aca="true" t="shared" si="10" ref="C41:H41">SUM(C42:C49)</f>
        <v>1400808</v>
      </c>
      <c r="D41" s="31">
        <f t="shared" si="10"/>
        <v>0</v>
      </c>
      <c r="E41" s="31">
        <f t="shared" si="10"/>
        <v>20196</v>
      </c>
      <c r="F41" s="31">
        <f t="shared" si="10"/>
        <v>0</v>
      </c>
      <c r="G41" s="31">
        <f t="shared" si="10"/>
        <v>0</v>
      </c>
      <c r="H41" s="31">
        <f t="shared" si="10"/>
        <v>0</v>
      </c>
      <c r="I41" s="180">
        <f t="shared" si="2"/>
        <v>1421004</v>
      </c>
      <c r="K41">
        <v>224</v>
      </c>
    </row>
    <row r="42" spans="1:11" ht="25.5" customHeight="1">
      <c r="A42" s="25">
        <v>211</v>
      </c>
      <c r="B42" s="26" t="s">
        <v>34</v>
      </c>
      <c r="C42" s="36">
        <v>336095</v>
      </c>
      <c r="D42" s="101"/>
      <c r="E42" s="36"/>
      <c r="F42" s="101"/>
      <c r="G42" s="101"/>
      <c r="H42" s="101"/>
      <c r="I42" s="180">
        <f t="shared" si="2"/>
        <v>336095</v>
      </c>
      <c r="K42">
        <v>226</v>
      </c>
    </row>
    <row r="43" spans="1:11" ht="25.5" customHeight="1">
      <c r="A43" s="25">
        <v>212</v>
      </c>
      <c r="B43" s="26" t="s">
        <v>35</v>
      </c>
      <c r="C43" s="36">
        <v>288148</v>
      </c>
      <c r="D43" s="101"/>
      <c r="E43" s="36"/>
      <c r="F43" s="101"/>
      <c r="G43" s="101"/>
      <c r="H43" s="101"/>
      <c r="I43" s="180">
        <f t="shared" si="2"/>
        <v>288148</v>
      </c>
      <c r="K43" s="130">
        <v>228</v>
      </c>
    </row>
    <row r="44" spans="1:11" ht="25.5" customHeight="1">
      <c r="A44" s="25">
        <v>213</v>
      </c>
      <c r="B44" s="26" t="s">
        <v>36</v>
      </c>
      <c r="C44" s="36">
        <v>84680</v>
      </c>
      <c r="D44" s="101"/>
      <c r="E44" s="36"/>
      <c r="F44" s="101"/>
      <c r="G44" s="101"/>
      <c r="H44" s="101"/>
      <c r="I44" s="180">
        <f t="shared" si="2"/>
        <v>84680</v>
      </c>
      <c r="K44">
        <v>230</v>
      </c>
    </row>
    <row r="45" spans="1:9" ht="25.5" customHeight="1">
      <c r="A45" s="25">
        <v>214</v>
      </c>
      <c r="B45" s="26" t="s">
        <v>37</v>
      </c>
      <c r="C45" s="36">
        <v>11790</v>
      </c>
      <c r="D45" s="101"/>
      <c r="E45" s="36"/>
      <c r="F45" s="101"/>
      <c r="G45" s="101"/>
      <c r="H45" s="101"/>
      <c r="I45" s="180">
        <f t="shared" si="2"/>
        <v>11790</v>
      </c>
    </row>
    <row r="46" spans="1:11" ht="25.5" customHeight="1">
      <c r="A46" s="25">
        <v>215</v>
      </c>
      <c r="B46" s="26" t="s">
        <v>309</v>
      </c>
      <c r="C46" s="36">
        <v>383788</v>
      </c>
      <c r="D46" s="101"/>
      <c r="E46" s="36">
        <v>8235</v>
      </c>
      <c r="F46" s="101"/>
      <c r="G46" s="101"/>
      <c r="H46" s="101"/>
      <c r="I46" s="180">
        <f t="shared" si="2"/>
        <v>392023</v>
      </c>
      <c r="K46">
        <v>301</v>
      </c>
    </row>
    <row r="47" spans="1:11" ht="25.5" customHeight="1">
      <c r="A47" s="25">
        <v>216</v>
      </c>
      <c r="B47" s="26" t="s">
        <v>38</v>
      </c>
      <c r="C47" s="36">
        <v>62450</v>
      </c>
      <c r="D47" s="101"/>
      <c r="E47" s="36">
        <v>2400</v>
      </c>
      <c r="F47" s="101"/>
      <c r="G47" s="101"/>
      <c r="H47" s="101"/>
      <c r="I47" s="180">
        <f t="shared" si="2"/>
        <v>64850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233857</v>
      </c>
      <c r="D49" s="101"/>
      <c r="E49" s="36">
        <v>9561</v>
      </c>
      <c r="F49" s="101"/>
      <c r="G49" s="101"/>
      <c r="H49" s="101"/>
      <c r="I49" s="180">
        <f t="shared" si="2"/>
        <v>243418</v>
      </c>
      <c r="K49">
        <v>304</v>
      </c>
    </row>
    <row r="50" spans="1:11" ht="25.5" customHeight="1">
      <c r="A50" s="29">
        <v>2200</v>
      </c>
      <c r="B50" s="24" t="s">
        <v>41</v>
      </c>
      <c r="C50" s="31">
        <f aca="true" t="shared" si="11" ref="C50:H50">SUM(C51:C53)</f>
        <v>402167</v>
      </c>
      <c r="D50" s="31">
        <f t="shared" si="11"/>
        <v>0</v>
      </c>
      <c r="E50" s="31">
        <f t="shared" si="11"/>
        <v>56968</v>
      </c>
      <c r="F50" s="31">
        <f t="shared" si="11"/>
        <v>0</v>
      </c>
      <c r="G50" s="31">
        <f t="shared" si="11"/>
        <v>0</v>
      </c>
      <c r="H50" s="31">
        <f t="shared" si="11"/>
        <v>0</v>
      </c>
      <c r="I50" s="180">
        <f t="shared" si="2"/>
        <v>459135</v>
      </c>
      <c r="K50">
        <v>305</v>
      </c>
    </row>
    <row r="51" spans="1:11" ht="25.5" customHeight="1">
      <c r="A51" s="25">
        <v>221</v>
      </c>
      <c r="B51" s="26" t="s">
        <v>42</v>
      </c>
      <c r="C51" s="36">
        <v>399102</v>
      </c>
      <c r="D51" s="101"/>
      <c r="E51" s="36">
        <v>56968</v>
      </c>
      <c r="F51" s="101"/>
      <c r="G51" s="101"/>
      <c r="H51" s="101"/>
      <c r="I51" s="180">
        <f t="shared" si="2"/>
        <v>456070</v>
      </c>
      <c r="K51">
        <v>306</v>
      </c>
    </row>
    <row r="52" spans="1:11" ht="25.5" customHeight="1">
      <c r="A52" s="25">
        <v>222</v>
      </c>
      <c r="B52" s="26" t="s">
        <v>43</v>
      </c>
      <c r="C52" s="36">
        <v>2400</v>
      </c>
      <c r="D52" s="101"/>
      <c r="E52" s="36"/>
      <c r="F52" s="101"/>
      <c r="G52" s="101"/>
      <c r="H52" s="101"/>
      <c r="I52" s="180">
        <f t="shared" si="2"/>
        <v>2400</v>
      </c>
      <c r="K52">
        <v>307</v>
      </c>
    </row>
    <row r="53" spans="1:11" ht="25.5" customHeight="1">
      <c r="A53" s="25">
        <v>223</v>
      </c>
      <c r="B53" s="26" t="s">
        <v>44</v>
      </c>
      <c r="C53" s="36">
        <v>665</v>
      </c>
      <c r="D53" s="101"/>
      <c r="E53" s="36"/>
      <c r="F53" s="101"/>
      <c r="G53" s="101"/>
      <c r="H53" s="101"/>
      <c r="I53" s="180">
        <f t="shared" si="2"/>
        <v>665</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5354367</v>
      </c>
      <c r="D64" s="31">
        <f t="shared" si="13"/>
        <v>0</v>
      </c>
      <c r="E64" s="31">
        <f t="shared" si="13"/>
        <v>0</v>
      </c>
      <c r="F64" s="31">
        <f t="shared" si="13"/>
        <v>0</v>
      </c>
      <c r="G64" s="31">
        <f t="shared" si="13"/>
        <v>0</v>
      </c>
      <c r="H64" s="31">
        <f t="shared" si="13"/>
        <v>0</v>
      </c>
      <c r="I64" s="180">
        <f t="shared" si="2"/>
        <v>5354367</v>
      </c>
    </row>
    <row r="65" spans="1:11" ht="25.5" customHeight="1">
      <c r="A65" s="25">
        <v>241</v>
      </c>
      <c r="B65" s="26" t="s">
        <v>54</v>
      </c>
      <c r="C65" s="36">
        <v>2486967</v>
      </c>
      <c r="D65" s="101"/>
      <c r="E65" s="36"/>
      <c r="F65" s="101"/>
      <c r="G65" s="101"/>
      <c r="H65" s="101"/>
      <c r="I65" s="180">
        <f t="shared" si="2"/>
        <v>2486967</v>
      </c>
      <c r="K65">
        <v>401</v>
      </c>
    </row>
    <row r="66" spans="1:11" ht="25.5" customHeight="1">
      <c r="A66" s="25">
        <v>242</v>
      </c>
      <c r="B66" s="26" t="s">
        <v>55</v>
      </c>
      <c r="C66" s="36">
        <v>847397</v>
      </c>
      <c r="D66" s="101"/>
      <c r="E66" s="36"/>
      <c r="F66" s="101"/>
      <c r="G66" s="101"/>
      <c r="H66" s="101"/>
      <c r="I66" s="180">
        <f t="shared" si="2"/>
        <v>847397</v>
      </c>
      <c r="K66">
        <v>402</v>
      </c>
    </row>
    <row r="67" spans="1:11" ht="25.5" customHeight="1">
      <c r="A67" s="25">
        <v>243</v>
      </c>
      <c r="B67" s="26" t="s">
        <v>56</v>
      </c>
      <c r="C67" s="36">
        <v>58388</v>
      </c>
      <c r="D67" s="101"/>
      <c r="E67" s="36"/>
      <c r="F67" s="101"/>
      <c r="G67" s="101"/>
      <c r="H67" s="101"/>
      <c r="I67" s="180">
        <f t="shared" si="2"/>
        <v>58388</v>
      </c>
      <c r="K67">
        <v>403</v>
      </c>
    </row>
    <row r="68" spans="1:11" ht="25.5" customHeight="1">
      <c r="A68" s="25">
        <v>244</v>
      </c>
      <c r="B68" s="26" t="s">
        <v>57</v>
      </c>
      <c r="C68" s="36">
        <v>92348</v>
      </c>
      <c r="D68" s="101"/>
      <c r="E68" s="36"/>
      <c r="F68" s="101"/>
      <c r="G68" s="101"/>
      <c r="H68" s="101"/>
      <c r="I68" s="180">
        <f aca="true" t="shared" si="14" ref="I68:I131">C68+D68+E68+F68+H68+G68</f>
        <v>92348</v>
      </c>
      <c r="K68">
        <v>404</v>
      </c>
    </row>
    <row r="69" spans="1:11" ht="25.5" customHeight="1">
      <c r="A69" s="25">
        <v>245</v>
      </c>
      <c r="B69" s="26" t="s">
        <v>58</v>
      </c>
      <c r="C69" s="36">
        <v>3866</v>
      </c>
      <c r="D69" s="101"/>
      <c r="E69" s="36"/>
      <c r="F69" s="101"/>
      <c r="G69" s="101"/>
      <c r="H69" s="101"/>
      <c r="I69" s="180">
        <f t="shared" si="14"/>
        <v>3866</v>
      </c>
      <c r="K69">
        <v>405</v>
      </c>
    </row>
    <row r="70" spans="1:11" ht="25.5" customHeight="1">
      <c r="A70" s="25">
        <v>246</v>
      </c>
      <c r="B70" s="26" t="s">
        <v>321</v>
      </c>
      <c r="C70" s="36">
        <v>226636</v>
      </c>
      <c r="D70" s="101"/>
      <c r="E70" s="36"/>
      <c r="F70" s="101"/>
      <c r="G70" s="101"/>
      <c r="H70" s="101"/>
      <c r="I70" s="180">
        <f t="shared" si="14"/>
        <v>226636</v>
      </c>
      <c r="K70">
        <v>406</v>
      </c>
    </row>
    <row r="71" spans="1:11" ht="25.5" customHeight="1">
      <c r="A71" s="25">
        <v>247</v>
      </c>
      <c r="B71" s="26" t="s">
        <v>59</v>
      </c>
      <c r="C71" s="36">
        <v>495831</v>
      </c>
      <c r="D71" s="101"/>
      <c r="E71" s="36"/>
      <c r="F71" s="101"/>
      <c r="G71" s="101"/>
      <c r="H71" s="101"/>
      <c r="I71" s="180">
        <f t="shared" si="14"/>
        <v>495831</v>
      </c>
      <c r="K71">
        <v>407</v>
      </c>
    </row>
    <row r="72" spans="1:11" ht="25.5" customHeight="1">
      <c r="A72" s="25">
        <v>248</v>
      </c>
      <c r="B72" s="26" t="s">
        <v>60</v>
      </c>
      <c r="C72" s="36">
        <v>161847</v>
      </c>
      <c r="D72" s="101"/>
      <c r="E72" s="36"/>
      <c r="F72" s="101"/>
      <c r="G72" s="101"/>
      <c r="H72" s="101"/>
      <c r="I72" s="180">
        <f t="shared" si="14"/>
        <v>161847</v>
      </c>
      <c r="K72">
        <v>499</v>
      </c>
    </row>
    <row r="73" spans="1:9" ht="25.5" customHeight="1">
      <c r="A73" s="25">
        <v>249</v>
      </c>
      <c r="B73" s="26" t="s">
        <v>61</v>
      </c>
      <c r="C73" s="36">
        <v>981087</v>
      </c>
      <c r="D73" s="101"/>
      <c r="E73" s="36"/>
      <c r="F73" s="101"/>
      <c r="G73" s="101"/>
      <c r="H73" s="101"/>
      <c r="I73" s="180">
        <f t="shared" si="14"/>
        <v>981087</v>
      </c>
    </row>
    <row r="74" spans="1:11" ht="25.5" customHeight="1">
      <c r="A74" s="29">
        <v>2500</v>
      </c>
      <c r="B74" s="24" t="s">
        <v>591</v>
      </c>
      <c r="C74" s="31">
        <f aca="true" t="shared" si="15" ref="C74:H74">SUM(C75:C81)</f>
        <v>1394965</v>
      </c>
      <c r="D74" s="31">
        <f t="shared" si="15"/>
        <v>0</v>
      </c>
      <c r="E74" s="31">
        <f t="shared" si="15"/>
        <v>966954</v>
      </c>
      <c r="F74" s="31">
        <f t="shared" si="15"/>
        <v>0</v>
      </c>
      <c r="G74" s="31">
        <f t="shared" si="15"/>
        <v>0</v>
      </c>
      <c r="H74" s="31">
        <f t="shared" si="15"/>
        <v>0</v>
      </c>
      <c r="I74" s="180">
        <f t="shared" si="14"/>
        <v>2361919</v>
      </c>
      <c r="K74">
        <v>501</v>
      </c>
    </row>
    <row r="75" spans="1:11" ht="25.5" customHeight="1">
      <c r="A75" s="25">
        <v>251</v>
      </c>
      <c r="B75" s="26" t="s">
        <v>62</v>
      </c>
      <c r="C75" s="36">
        <v>7723</v>
      </c>
      <c r="D75" s="101"/>
      <c r="E75" s="36"/>
      <c r="F75" s="101"/>
      <c r="G75" s="101"/>
      <c r="H75" s="101"/>
      <c r="I75" s="180">
        <f t="shared" si="14"/>
        <v>7723</v>
      </c>
      <c r="K75">
        <v>502</v>
      </c>
    </row>
    <row r="76" spans="1:11" ht="25.5" customHeight="1">
      <c r="A76" s="25">
        <v>252</v>
      </c>
      <c r="B76" s="26" t="s">
        <v>63</v>
      </c>
      <c r="C76" s="36">
        <v>30350</v>
      </c>
      <c r="D76" s="101"/>
      <c r="E76" s="36"/>
      <c r="F76" s="101"/>
      <c r="G76" s="101"/>
      <c r="H76" s="101"/>
      <c r="I76" s="180">
        <f t="shared" si="14"/>
        <v>30350</v>
      </c>
      <c r="K76">
        <v>503</v>
      </c>
    </row>
    <row r="77" spans="1:11" ht="25.5" customHeight="1">
      <c r="A77" s="25">
        <v>253</v>
      </c>
      <c r="B77" s="26" t="s">
        <v>322</v>
      </c>
      <c r="C77" s="36">
        <v>721824</v>
      </c>
      <c r="D77" s="101"/>
      <c r="E77" s="36">
        <v>945073</v>
      </c>
      <c r="F77" s="101"/>
      <c r="G77" s="101"/>
      <c r="H77" s="101"/>
      <c r="I77" s="180">
        <f t="shared" si="14"/>
        <v>1666897</v>
      </c>
      <c r="K77">
        <v>599</v>
      </c>
    </row>
    <row r="78" spans="1:9" ht="25.5" customHeight="1">
      <c r="A78" s="25">
        <v>254</v>
      </c>
      <c r="B78" s="26" t="s">
        <v>66</v>
      </c>
      <c r="C78" s="36">
        <v>444652</v>
      </c>
      <c r="D78" s="101"/>
      <c r="E78" s="36">
        <v>21881</v>
      </c>
      <c r="F78" s="101"/>
      <c r="G78" s="101"/>
      <c r="H78" s="101"/>
      <c r="I78" s="180">
        <f t="shared" si="14"/>
        <v>466533</v>
      </c>
    </row>
    <row r="79" spans="1:11" ht="25.5" customHeight="1">
      <c r="A79" s="25">
        <v>255</v>
      </c>
      <c r="B79" s="26" t="s">
        <v>64</v>
      </c>
      <c r="C79" s="36">
        <v>22889</v>
      </c>
      <c r="D79" s="101"/>
      <c r="E79" s="36"/>
      <c r="F79" s="101"/>
      <c r="G79" s="101"/>
      <c r="H79" s="101"/>
      <c r="I79" s="180">
        <f t="shared" si="14"/>
        <v>22889</v>
      </c>
      <c r="K79">
        <v>901</v>
      </c>
    </row>
    <row r="80" spans="1:11" ht="25.5" customHeight="1">
      <c r="A80" s="25">
        <v>256</v>
      </c>
      <c r="B80" s="26" t="s">
        <v>67</v>
      </c>
      <c r="C80" s="36">
        <v>167527</v>
      </c>
      <c r="D80" s="101"/>
      <c r="E80" s="36"/>
      <c r="F80" s="101"/>
      <c r="G80" s="101"/>
      <c r="H80" s="101"/>
      <c r="I80" s="180">
        <f t="shared" si="14"/>
        <v>167527</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4909988</v>
      </c>
      <c r="D82" s="31">
        <f t="shared" si="16"/>
        <v>0</v>
      </c>
      <c r="E82" s="31">
        <f t="shared" si="16"/>
        <v>445628</v>
      </c>
      <c r="F82" s="31">
        <f t="shared" si="16"/>
        <v>0</v>
      </c>
      <c r="G82" s="31">
        <f t="shared" si="16"/>
        <v>0</v>
      </c>
      <c r="H82" s="31">
        <f t="shared" si="16"/>
        <v>0</v>
      </c>
      <c r="I82" s="180">
        <f t="shared" si="14"/>
        <v>5355616</v>
      </c>
      <c r="K82">
        <v>904</v>
      </c>
    </row>
    <row r="83" spans="1:11" ht="25.5" customHeight="1">
      <c r="A83" s="25">
        <v>261</v>
      </c>
      <c r="B83" s="26" t="s">
        <v>69</v>
      </c>
      <c r="C83" s="36">
        <v>4909988</v>
      </c>
      <c r="D83" s="101"/>
      <c r="E83" s="36">
        <v>445628</v>
      </c>
      <c r="F83" s="101"/>
      <c r="G83" s="101"/>
      <c r="H83" s="101"/>
      <c r="I83" s="180">
        <f t="shared" si="14"/>
        <v>5355616</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399163</v>
      </c>
      <c r="D85" s="31">
        <f t="shared" si="17"/>
        <v>0</v>
      </c>
      <c r="E85" s="31">
        <f t="shared" si="17"/>
        <v>256594</v>
      </c>
      <c r="F85" s="31">
        <f t="shared" si="17"/>
        <v>0</v>
      </c>
      <c r="G85" s="31">
        <f t="shared" si="17"/>
        <v>0</v>
      </c>
      <c r="H85" s="31">
        <f t="shared" si="17"/>
        <v>0</v>
      </c>
      <c r="I85" s="180">
        <f t="shared" si="14"/>
        <v>655757</v>
      </c>
    </row>
    <row r="86" spans="1:9" ht="25.5" customHeight="1">
      <c r="A86" s="25">
        <v>271</v>
      </c>
      <c r="B86" s="26" t="s">
        <v>72</v>
      </c>
      <c r="C86" s="36">
        <v>195420</v>
      </c>
      <c r="D86" s="101"/>
      <c r="E86" s="36">
        <v>59977</v>
      </c>
      <c r="F86" s="101"/>
      <c r="G86" s="101"/>
      <c r="H86" s="101"/>
      <c r="I86" s="180">
        <f t="shared" si="14"/>
        <v>255397</v>
      </c>
    </row>
    <row r="87" spans="1:9" ht="25.5" customHeight="1">
      <c r="A87" s="25">
        <v>272</v>
      </c>
      <c r="B87" s="26" t="s">
        <v>73</v>
      </c>
      <c r="C87" s="36">
        <v>24769</v>
      </c>
      <c r="D87" s="101"/>
      <c r="E87" s="36">
        <v>196617</v>
      </c>
      <c r="F87" s="101"/>
      <c r="G87" s="101"/>
      <c r="H87" s="101"/>
      <c r="I87" s="180">
        <f t="shared" si="14"/>
        <v>221386</v>
      </c>
    </row>
    <row r="88" spans="1:9" ht="25.5" customHeight="1">
      <c r="A88" s="25">
        <v>273</v>
      </c>
      <c r="B88" s="26" t="s">
        <v>74</v>
      </c>
      <c r="C88" s="36">
        <v>178974</v>
      </c>
      <c r="D88" s="101"/>
      <c r="E88" s="36"/>
      <c r="F88" s="101"/>
      <c r="G88" s="101"/>
      <c r="H88" s="101"/>
      <c r="I88" s="180">
        <f t="shared" si="14"/>
        <v>178974</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3623</v>
      </c>
      <c r="F91" s="31">
        <f t="shared" si="18"/>
        <v>0</v>
      </c>
      <c r="G91" s="31">
        <f t="shared" si="18"/>
        <v>0</v>
      </c>
      <c r="H91" s="31">
        <f t="shared" si="18"/>
        <v>0</v>
      </c>
      <c r="I91" s="180">
        <f t="shared" si="14"/>
        <v>3623</v>
      </c>
    </row>
    <row r="92" spans="1:9" ht="25.5" customHeight="1">
      <c r="A92" s="25">
        <v>281</v>
      </c>
      <c r="B92" s="26" t="s">
        <v>78</v>
      </c>
      <c r="C92" s="36"/>
      <c r="D92" s="101"/>
      <c r="E92" s="36">
        <v>1066</v>
      </c>
      <c r="F92" s="101"/>
      <c r="G92" s="101"/>
      <c r="H92" s="101"/>
      <c r="I92" s="180">
        <f t="shared" si="14"/>
        <v>1066</v>
      </c>
    </row>
    <row r="93" spans="1:9" ht="25.5" customHeight="1">
      <c r="A93" s="25">
        <v>282</v>
      </c>
      <c r="B93" s="26" t="s">
        <v>79</v>
      </c>
      <c r="C93" s="36"/>
      <c r="D93" s="101"/>
      <c r="E93" s="36">
        <v>2557</v>
      </c>
      <c r="F93" s="101"/>
      <c r="G93" s="101"/>
      <c r="H93" s="101"/>
      <c r="I93" s="180">
        <f t="shared" si="14"/>
        <v>2557</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1074177</v>
      </c>
      <c r="D95" s="31">
        <f t="shared" si="19"/>
        <v>0</v>
      </c>
      <c r="E95" s="31">
        <f t="shared" si="19"/>
        <v>90284</v>
      </c>
      <c r="F95" s="31">
        <f t="shared" si="19"/>
        <v>0</v>
      </c>
      <c r="G95" s="31">
        <f t="shared" si="19"/>
        <v>0</v>
      </c>
      <c r="H95" s="31">
        <f t="shared" si="19"/>
        <v>0</v>
      </c>
      <c r="I95" s="180">
        <f t="shared" si="14"/>
        <v>1164461</v>
      </c>
    </row>
    <row r="96" spans="1:9" ht="25.5" customHeight="1">
      <c r="A96" s="25">
        <v>291</v>
      </c>
      <c r="B96" s="26" t="s">
        <v>81</v>
      </c>
      <c r="C96" s="36">
        <v>86243</v>
      </c>
      <c r="D96" s="101"/>
      <c r="E96" s="36">
        <v>14390</v>
      </c>
      <c r="F96" s="101"/>
      <c r="G96" s="101"/>
      <c r="H96" s="101"/>
      <c r="I96" s="180">
        <f t="shared" si="14"/>
        <v>100633</v>
      </c>
    </row>
    <row r="97" spans="1:9" ht="25.5" customHeight="1">
      <c r="A97" s="25">
        <v>292</v>
      </c>
      <c r="B97" s="26" t="s">
        <v>82</v>
      </c>
      <c r="C97" s="36">
        <v>1156</v>
      </c>
      <c r="D97" s="101"/>
      <c r="E97" s="36">
        <v>3184</v>
      </c>
      <c r="F97" s="101"/>
      <c r="G97" s="101"/>
      <c r="H97" s="101"/>
      <c r="I97" s="180">
        <f t="shared" si="14"/>
        <v>4340</v>
      </c>
    </row>
    <row r="98" spans="1:9" ht="25.5" customHeight="1">
      <c r="A98" s="25">
        <v>293</v>
      </c>
      <c r="B98" s="26" t="s">
        <v>594</v>
      </c>
      <c r="C98" s="36">
        <v>3727</v>
      </c>
      <c r="D98" s="101"/>
      <c r="E98" s="36"/>
      <c r="F98" s="101"/>
      <c r="G98" s="101"/>
      <c r="H98" s="101"/>
      <c r="I98" s="180">
        <f t="shared" si="14"/>
        <v>3727</v>
      </c>
    </row>
    <row r="99" spans="1:9" ht="25.5" customHeight="1">
      <c r="A99" s="25">
        <v>294</v>
      </c>
      <c r="B99" s="26" t="s">
        <v>83</v>
      </c>
      <c r="C99" s="36">
        <v>109029</v>
      </c>
      <c r="D99" s="101"/>
      <c r="E99" s="36"/>
      <c r="F99" s="101"/>
      <c r="G99" s="101"/>
      <c r="H99" s="101"/>
      <c r="I99" s="180">
        <f t="shared" si="14"/>
        <v>109029</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873438</v>
      </c>
      <c r="D101" s="101"/>
      <c r="E101" s="36">
        <v>60090</v>
      </c>
      <c r="F101" s="101"/>
      <c r="G101" s="101"/>
      <c r="H101" s="101"/>
      <c r="I101" s="180">
        <f t="shared" si="14"/>
        <v>933528</v>
      </c>
    </row>
    <row r="102" spans="1:9" ht="25.5" customHeight="1">
      <c r="A102" s="25">
        <v>297</v>
      </c>
      <c r="B102" s="26" t="s">
        <v>86</v>
      </c>
      <c r="C102" s="36">
        <v>584</v>
      </c>
      <c r="D102" s="101"/>
      <c r="E102" s="36">
        <v>12620</v>
      </c>
      <c r="F102" s="101"/>
      <c r="G102" s="101"/>
      <c r="H102" s="101"/>
      <c r="I102" s="180">
        <f t="shared" si="14"/>
        <v>13204</v>
      </c>
    </row>
    <row r="103" spans="1:9" ht="25.5" customHeight="1">
      <c r="A103" s="25">
        <v>298</v>
      </c>
      <c r="B103" s="26" t="s">
        <v>87</v>
      </c>
      <c r="C103" s="36"/>
      <c r="D103" s="101"/>
      <c r="E103" s="36"/>
      <c r="F103" s="101"/>
      <c r="G103" s="101"/>
      <c r="H103" s="101"/>
      <c r="I103" s="180">
        <f t="shared" si="14"/>
        <v>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18469186</v>
      </c>
      <c r="D105" s="33">
        <f t="shared" si="20"/>
        <v>0</v>
      </c>
      <c r="E105" s="33">
        <f t="shared" si="20"/>
        <v>372625</v>
      </c>
      <c r="F105" s="33">
        <f t="shared" si="20"/>
        <v>0</v>
      </c>
      <c r="G105" s="33">
        <f t="shared" si="20"/>
        <v>0</v>
      </c>
      <c r="H105" s="33">
        <f t="shared" si="20"/>
        <v>0</v>
      </c>
      <c r="I105" s="180">
        <f t="shared" si="14"/>
        <v>18841811</v>
      </c>
    </row>
    <row r="106" spans="1:9" ht="25.5" customHeight="1">
      <c r="A106" s="29">
        <v>3100</v>
      </c>
      <c r="B106" s="24" t="s">
        <v>90</v>
      </c>
      <c r="C106" s="31">
        <f aca="true" t="shared" si="21" ref="C106:H106">SUM(C107:C115)</f>
        <v>4678749</v>
      </c>
      <c r="D106" s="31">
        <f t="shared" si="21"/>
        <v>0</v>
      </c>
      <c r="E106" s="31">
        <f t="shared" si="21"/>
        <v>31125</v>
      </c>
      <c r="F106" s="31">
        <f t="shared" si="21"/>
        <v>0</v>
      </c>
      <c r="G106" s="31">
        <f t="shared" si="21"/>
        <v>0</v>
      </c>
      <c r="H106" s="31">
        <f t="shared" si="21"/>
        <v>0</v>
      </c>
      <c r="I106" s="180">
        <f t="shared" si="14"/>
        <v>4709874</v>
      </c>
    </row>
    <row r="107" spans="1:9" ht="25.5" customHeight="1">
      <c r="A107" s="25">
        <v>311</v>
      </c>
      <c r="B107" s="26" t="s">
        <v>91</v>
      </c>
      <c r="C107" s="36">
        <v>3294246</v>
      </c>
      <c r="D107" s="101"/>
      <c r="E107" s="36"/>
      <c r="F107" s="101"/>
      <c r="G107" s="101"/>
      <c r="H107" s="101"/>
      <c r="I107" s="180">
        <f t="shared" si="14"/>
        <v>3294246</v>
      </c>
    </row>
    <row r="108" spans="1:9" ht="25.5" customHeight="1">
      <c r="A108" s="25">
        <v>312</v>
      </c>
      <c r="B108" s="26" t="s">
        <v>92</v>
      </c>
      <c r="C108" s="36">
        <v>445</v>
      </c>
      <c r="D108" s="101"/>
      <c r="E108" s="36"/>
      <c r="F108" s="101"/>
      <c r="G108" s="101"/>
      <c r="H108" s="101"/>
      <c r="I108" s="180">
        <f t="shared" si="14"/>
        <v>445</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647403</v>
      </c>
      <c r="D110" s="101"/>
      <c r="E110" s="36">
        <v>4254</v>
      </c>
      <c r="F110" s="101"/>
      <c r="G110" s="101"/>
      <c r="H110" s="101"/>
      <c r="I110" s="180">
        <f t="shared" si="14"/>
        <v>651657</v>
      </c>
    </row>
    <row r="111" spans="1:9" ht="25.5" customHeight="1">
      <c r="A111" s="25">
        <v>315</v>
      </c>
      <c r="B111" s="26" t="s">
        <v>95</v>
      </c>
      <c r="C111" s="36">
        <v>730423</v>
      </c>
      <c r="D111" s="101"/>
      <c r="E111" s="36">
        <v>25015</v>
      </c>
      <c r="F111" s="101"/>
      <c r="G111" s="101"/>
      <c r="H111" s="101"/>
      <c r="I111" s="180">
        <f t="shared" si="14"/>
        <v>755438</v>
      </c>
    </row>
    <row r="112" spans="1:9" ht="25.5" customHeight="1">
      <c r="A112" s="25">
        <v>316</v>
      </c>
      <c r="B112" s="26" t="s">
        <v>323</v>
      </c>
      <c r="C112" s="36"/>
      <c r="D112" s="101"/>
      <c r="E112" s="36">
        <v>1856</v>
      </c>
      <c r="F112" s="101"/>
      <c r="G112" s="101"/>
      <c r="H112" s="101"/>
      <c r="I112" s="180">
        <f t="shared" si="14"/>
        <v>1856</v>
      </c>
    </row>
    <row r="113" spans="1:9" ht="25.5" customHeight="1">
      <c r="A113" s="25">
        <v>317</v>
      </c>
      <c r="B113" s="26" t="s">
        <v>981</v>
      </c>
      <c r="C113" s="36">
        <v>4000</v>
      </c>
      <c r="D113" s="101"/>
      <c r="E113" s="36"/>
      <c r="F113" s="101"/>
      <c r="G113" s="101"/>
      <c r="H113" s="101"/>
      <c r="I113" s="180">
        <f t="shared" si="14"/>
        <v>4000</v>
      </c>
    </row>
    <row r="114" spans="1:9" ht="25.5" customHeight="1">
      <c r="A114" s="25">
        <v>318</v>
      </c>
      <c r="B114" s="26" t="s">
        <v>96</v>
      </c>
      <c r="C114" s="36">
        <v>1902</v>
      </c>
      <c r="D114" s="101"/>
      <c r="E114" s="36"/>
      <c r="F114" s="101"/>
      <c r="G114" s="101"/>
      <c r="H114" s="101"/>
      <c r="I114" s="180">
        <f t="shared" si="14"/>
        <v>1902</v>
      </c>
    </row>
    <row r="115" spans="1:9" ht="25.5" customHeight="1">
      <c r="A115" s="25">
        <v>319</v>
      </c>
      <c r="B115" s="26" t="s">
        <v>97</v>
      </c>
      <c r="C115" s="36">
        <v>330</v>
      </c>
      <c r="D115" s="101"/>
      <c r="E115" s="36"/>
      <c r="F115" s="101"/>
      <c r="G115" s="101"/>
      <c r="H115" s="101"/>
      <c r="I115" s="180">
        <f t="shared" si="14"/>
        <v>330</v>
      </c>
    </row>
    <row r="116" spans="1:9" ht="25.5" customHeight="1">
      <c r="A116" s="29">
        <v>3200</v>
      </c>
      <c r="B116" s="24" t="s">
        <v>98</v>
      </c>
      <c r="C116" s="31">
        <f aca="true" t="shared" si="22" ref="C116:H116">SUM(C117:C125)</f>
        <v>1414659</v>
      </c>
      <c r="D116" s="31">
        <f t="shared" si="22"/>
        <v>0</v>
      </c>
      <c r="E116" s="31">
        <f t="shared" si="22"/>
        <v>9044</v>
      </c>
      <c r="F116" s="31">
        <f t="shared" si="22"/>
        <v>0</v>
      </c>
      <c r="G116" s="31">
        <f t="shared" si="22"/>
        <v>0</v>
      </c>
      <c r="H116" s="31">
        <f t="shared" si="22"/>
        <v>0</v>
      </c>
      <c r="I116" s="180">
        <f t="shared" si="14"/>
        <v>1423703</v>
      </c>
    </row>
    <row r="117" spans="1:9" ht="25.5" customHeight="1">
      <c r="A117" s="25">
        <v>321</v>
      </c>
      <c r="B117" s="26" t="s">
        <v>99</v>
      </c>
      <c r="C117" s="36">
        <v>5333</v>
      </c>
      <c r="D117" s="101"/>
      <c r="E117" s="36"/>
      <c r="F117" s="101"/>
      <c r="G117" s="101"/>
      <c r="H117" s="101"/>
      <c r="I117" s="180">
        <f t="shared" si="14"/>
        <v>5333</v>
      </c>
    </row>
    <row r="118" spans="1:9" ht="25.5" customHeight="1">
      <c r="A118" s="25">
        <v>322</v>
      </c>
      <c r="B118" s="26" t="s">
        <v>100</v>
      </c>
      <c r="C118" s="36">
        <v>805841</v>
      </c>
      <c r="D118" s="101"/>
      <c r="E118" s="36">
        <v>9044</v>
      </c>
      <c r="F118" s="101"/>
      <c r="G118" s="101"/>
      <c r="H118" s="101"/>
      <c r="I118" s="180">
        <f t="shared" si="14"/>
        <v>814885</v>
      </c>
    </row>
    <row r="119" spans="1:9" ht="25.5" customHeight="1">
      <c r="A119" s="25">
        <v>323</v>
      </c>
      <c r="B119" s="26" t="s">
        <v>311</v>
      </c>
      <c r="C119" s="36">
        <v>62653</v>
      </c>
      <c r="D119" s="101"/>
      <c r="E119" s="36"/>
      <c r="F119" s="101"/>
      <c r="G119" s="101"/>
      <c r="H119" s="101"/>
      <c r="I119" s="180">
        <f t="shared" si="14"/>
        <v>62653</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280870</v>
      </c>
      <c r="D121" s="101"/>
      <c r="E121" s="36"/>
      <c r="F121" s="101"/>
      <c r="G121" s="101"/>
      <c r="H121" s="101"/>
      <c r="I121" s="180">
        <f t="shared" si="14"/>
        <v>280870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259962</v>
      </c>
      <c r="D125" s="101"/>
      <c r="E125" s="36"/>
      <c r="F125" s="101"/>
      <c r="G125" s="101"/>
      <c r="H125" s="101"/>
      <c r="I125" s="180">
        <f t="shared" si="14"/>
        <v>259962</v>
      </c>
    </row>
    <row r="126" spans="1:9" ht="25.5" customHeight="1">
      <c r="A126" s="29">
        <v>3300</v>
      </c>
      <c r="B126" s="24" t="s">
        <v>595</v>
      </c>
      <c r="C126" s="31">
        <f aca="true" t="shared" si="23" ref="C126:H126">SUM(C127:C135)</f>
        <v>634325</v>
      </c>
      <c r="D126" s="31">
        <f t="shared" si="23"/>
        <v>0</v>
      </c>
      <c r="E126" s="31">
        <f t="shared" si="23"/>
        <v>0</v>
      </c>
      <c r="F126" s="31">
        <f t="shared" si="23"/>
        <v>0</v>
      </c>
      <c r="G126" s="31">
        <f t="shared" si="23"/>
        <v>0</v>
      </c>
      <c r="H126" s="31">
        <f t="shared" si="23"/>
        <v>0</v>
      </c>
      <c r="I126" s="180">
        <f t="shared" si="14"/>
        <v>634325</v>
      </c>
    </row>
    <row r="127" spans="1:9" ht="25.5" customHeight="1">
      <c r="A127" s="25">
        <v>331</v>
      </c>
      <c r="B127" s="37" t="s">
        <v>122</v>
      </c>
      <c r="C127" s="36">
        <v>228000</v>
      </c>
      <c r="D127" s="101"/>
      <c r="E127" s="36"/>
      <c r="F127" s="101"/>
      <c r="G127" s="101"/>
      <c r="H127" s="101"/>
      <c r="I127" s="180">
        <f t="shared" si="14"/>
        <v>228000</v>
      </c>
    </row>
    <row r="128" spans="1:9" ht="25.5" customHeight="1">
      <c r="A128" s="25">
        <v>332</v>
      </c>
      <c r="B128" s="26" t="s">
        <v>107</v>
      </c>
      <c r="C128" s="36">
        <v>8872</v>
      </c>
      <c r="D128" s="101"/>
      <c r="E128" s="36"/>
      <c r="F128" s="101"/>
      <c r="G128" s="101"/>
      <c r="H128" s="101"/>
      <c r="I128" s="180">
        <f t="shared" si="14"/>
        <v>8872</v>
      </c>
    </row>
    <row r="129" spans="1:9" ht="25.5" customHeight="1">
      <c r="A129" s="25">
        <v>333</v>
      </c>
      <c r="B129" s="26" t="s">
        <v>108</v>
      </c>
      <c r="C129" s="36">
        <v>1333</v>
      </c>
      <c r="D129" s="101"/>
      <c r="E129" s="36"/>
      <c r="F129" s="101"/>
      <c r="G129" s="101"/>
      <c r="H129" s="101"/>
      <c r="I129" s="180">
        <f t="shared" si="14"/>
        <v>1333</v>
      </c>
    </row>
    <row r="130" spans="1:9" ht="25.5" customHeight="1">
      <c r="A130" s="25">
        <v>334</v>
      </c>
      <c r="B130" s="26" t="s">
        <v>109</v>
      </c>
      <c r="C130" s="36">
        <v>250722</v>
      </c>
      <c r="D130" s="101"/>
      <c r="E130" s="36"/>
      <c r="F130" s="101"/>
      <c r="G130" s="101"/>
      <c r="H130" s="101"/>
      <c r="I130" s="180">
        <f t="shared" si="14"/>
        <v>250722</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70385</v>
      </c>
      <c r="D132" s="101"/>
      <c r="E132" s="36"/>
      <c r="F132" s="101"/>
      <c r="G132" s="101"/>
      <c r="H132" s="101"/>
      <c r="I132" s="180">
        <f aca="true" t="shared" si="24" ref="I132:I195">C132+D132+E132+F132+H132+G132</f>
        <v>70385</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75013</v>
      </c>
      <c r="D135" s="101"/>
      <c r="E135" s="36"/>
      <c r="F135" s="101"/>
      <c r="G135" s="101"/>
      <c r="H135" s="101"/>
      <c r="I135" s="180">
        <f t="shared" si="24"/>
        <v>75013</v>
      </c>
    </row>
    <row r="136" spans="1:9" ht="25.5" customHeight="1">
      <c r="A136" s="29">
        <v>3400</v>
      </c>
      <c r="B136" s="24" t="s">
        <v>114</v>
      </c>
      <c r="C136" s="31">
        <f aca="true" t="shared" si="25" ref="C136:H136">SUM(C137:C145)</f>
        <v>3773364</v>
      </c>
      <c r="D136" s="31">
        <f t="shared" si="25"/>
        <v>0</v>
      </c>
      <c r="E136" s="31">
        <f t="shared" si="25"/>
        <v>22533</v>
      </c>
      <c r="F136" s="31">
        <f t="shared" si="25"/>
        <v>0</v>
      </c>
      <c r="G136" s="31">
        <f t="shared" si="25"/>
        <v>0</v>
      </c>
      <c r="H136" s="31">
        <f t="shared" si="25"/>
        <v>0</v>
      </c>
      <c r="I136" s="180">
        <f t="shared" si="24"/>
        <v>3795897</v>
      </c>
    </row>
    <row r="137" spans="1:9" ht="25.5" customHeight="1">
      <c r="A137" s="25">
        <v>341</v>
      </c>
      <c r="B137" s="26" t="s">
        <v>289</v>
      </c>
      <c r="C137" s="36">
        <v>3738426</v>
      </c>
      <c r="D137" s="36"/>
      <c r="E137" s="36"/>
      <c r="F137" s="36"/>
      <c r="G137" s="36"/>
      <c r="H137" s="36"/>
      <c r="I137" s="180">
        <f t="shared" si="24"/>
        <v>3738426</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20986</v>
      </c>
      <c r="D141" s="101"/>
      <c r="E141" s="36">
        <v>22533</v>
      </c>
      <c r="F141" s="101"/>
      <c r="G141" s="101"/>
      <c r="H141" s="101"/>
      <c r="I141" s="180">
        <f t="shared" si="24"/>
        <v>43519</v>
      </c>
    </row>
    <row r="142" spans="1:9" ht="25.5" customHeight="1">
      <c r="A142" s="25">
        <v>346</v>
      </c>
      <c r="B142" s="26" t="s">
        <v>118</v>
      </c>
      <c r="C142" s="36">
        <v>4640</v>
      </c>
      <c r="D142" s="101"/>
      <c r="E142" s="36"/>
      <c r="F142" s="101"/>
      <c r="G142" s="101"/>
      <c r="H142" s="101"/>
      <c r="I142" s="180">
        <f t="shared" si="24"/>
        <v>4640</v>
      </c>
    </row>
    <row r="143" spans="1:9" ht="25.5" customHeight="1">
      <c r="A143" s="25">
        <v>347</v>
      </c>
      <c r="B143" s="26" t="s">
        <v>119</v>
      </c>
      <c r="C143" s="36">
        <v>9312</v>
      </c>
      <c r="D143" s="101"/>
      <c r="E143" s="36"/>
      <c r="F143" s="101"/>
      <c r="G143" s="101"/>
      <c r="H143" s="101"/>
      <c r="I143" s="180">
        <f t="shared" si="24"/>
        <v>9312</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5483924</v>
      </c>
      <c r="D146" s="31">
        <f t="shared" si="26"/>
        <v>0</v>
      </c>
      <c r="E146" s="31">
        <f t="shared" si="26"/>
        <v>299504</v>
      </c>
      <c r="F146" s="31">
        <f t="shared" si="26"/>
        <v>0</v>
      </c>
      <c r="G146" s="31">
        <f t="shared" si="26"/>
        <v>0</v>
      </c>
      <c r="H146" s="31">
        <f t="shared" si="26"/>
        <v>0</v>
      </c>
      <c r="I146" s="180">
        <f t="shared" si="24"/>
        <v>5783428</v>
      </c>
    </row>
    <row r="147" spans="1:9" ht="25.5" customHeight="1">
      <c r="A147" s="25">
        <v>351</v>
      </c>
      <c r="B147" s="26" t="s">
        <v>123</v>
      </c>
      <c r="C147" s="36">
        <v>3964499</v>
      </c>
      <c r="D147" s="101"/>
      <c r="E147" s="36">
        <v>135252</v>
      </c>
      <c r="F147" s="101"/>
      <c r="G147" s="101"/>
      <c r="H147" s="101"/>
      <c r="I147" s="180">
        <f t="shared" si="24"/>
        <v>4099751</v>
      </c>
    </row>
    <row r="148" spans="1:9" ht="25.5" customHeight="1">
      <c r="A148" s="25">
        <v>352</v>
      </c>
      <c r="B148" s="26" t="s">
        <v>449</v>
      </c>
      <c r="C148" s="36">
        <v>46290</v>
      </c>
      <c r="D148" s="101"/>
      <c r="E148" s="36"/>
      <c r="F148" s="101"/>
      <c r="G148" s="101"/>
      <c r="H148" s="101"/>
      <c r="I148" s="180">
        <f t="shared" si="24"/>
        <v>46290</v>
      </c>
    </row>
    <row r="149" spans="1:9" ht="25.5" customHeight="1">
      <c r="A149" s="25">
        <v>353</v>
      </c>
      <c r="B149" s="26" t="s">
        <v>290</v>
      </c>
      <c r="C149" s="36">
        <v>5366</v>
      </c>
      <c r="D149" s="101"/>
      <c r="E149" s="36"/>
      <c r="F149" s="101"/>
      <c r="G149" s="101"/>
      <c r="H149" s="101"/>
      <c r="I149" s="180">
        <f t="shared" si="24"/>
        <v>5366</v>
      </c>
    </row>
    <row r="150" spans="1:9" ht="25.5" customHeight="1">
      <c r="A150" s="25">
        <v>354</v>
      </c>
      <c r="B150" s="26" t="s">
        <v>124</v>
      </c>
      <c r="C150" s="36">
        <v>6866</v>
      </c>
      <c r="D150" s="101"/>
      <c r="E150" s="36"/>
      <c r="F150" s="101"/>
      <c r="G150" s="101"/>
      <c r="H150" s="101"/>
      <c r="I150" s="180">
        <f t="shared" si="24"/>
        <v>6866</v>
      </c>
    </row>
    <row r="151" spans="1:9" ht="25.5" customHeight="1">
      <c r="A151" s="25">
        <v>355</v>
      </c>
      <c r="B151" s="26" t="s">
        <v>128</v>
      </c>
      <c r="C151" s="36">
        <v>980364</v>
      </c>
      <c r="D151" s="101"/>
      <c r="E151" s="36">
        <v>128366</v>
      </c>
      <c r="F151" s="101"/>
      <c r="G151" s="101"/>
      <c r="H151" s="101"/>
      <c r="I151" s="180">
        <f t="shared" si="24"/>
        <v>1108730</v>
      </c>
    </row>
    <row r="152" spans="1:9" ht="25.5" customHeight="1">
      <c r="A152" s="25">
        <v>356</v>
      </c>
      <c r="B152" s="26" t="s">
        <v>125</v>
      </c>
      <c r="C152" s="36">
        <v>45317</v>
      </c>
      <c r="D152" s="101"/>
      <c r="E152" s="36"/>
      <c r="F152" s="101"/>
      <c r="G152" s="101"/>
      <c r="H152" s="101"/>
      <c r="I152" s="180">
        <f t="shared" si="24"/>
        <v>45317</v>
      </c>
    </row>
    <row r="153" spans="1:9" ht="25.5" customHeight="1">
      <c r="A153" s="25">
        <v>357</v>
      </c>
      <c r="B153" s="26" t="s">
        <v>572</v>
      </c>
      <c r="C153" s="36">
        <v>89480</v>
      </c>
      <c r="D153" s="101"/>
      <c r="E153" s="36">
        <v>16733</v>
      </c>
      <c r="F153" s="101"/>
      <c r="G153" s="101"/>
      <c r="H153" s="101"/>
      <c r="I153" s="180">
        <f t="shared" si="24"/>
        <v>106213</v>
      </c>
    </row>
    <row r="154" spans="1:9" ht="25.5" customHeight="1">
      <c r="A154" s="25">
        <v>358</v>
      </c>
      <c r="B154" s="26" t="s">
        <v>126</v>
      </c>
      <c r="C154" s="36">
        <v>2520</v>
      </c>
      <c r="D154" s="101"/>
      <c r="E154" s="36">
        <v>19153</v>
      </c>
      <c r="F154" s="101"/>
      <c r="G154" s="101"/>
      <c r="H154" s="101"/>
      <c r="I154" s="180">
        <f t="shared" si="24"/>
        <v>21673</v>
      </c>
    </row>
    <row r="155" spans="1:9" ht="25.5" customHeight="1">
      <c r="A155" s="25">
        <v>359</v>
      </c>
      <c r="B155" s="26" t="s">
        <v>127</v>
      </c>
      <c r="C155" s="36">
        <v>343222</v>
      </c>
      <c r="D155" s="101"/>
      <c r="E155" s="36"/>
      <c r="F155" s="101"/>
      <c r="G155" s="101"/>
      <c r="H155" s="101"/>
      <c r="I155" s="180">
        <f t="shared" si="24"/>
        <v>343222</v>
      </c>
    </row>
    <row r="156" spans="1:9" ht="25.5" customHeight="1">
      <c r="A156" s="29">
        <v>3600</v>
      </c>
      <c r="B156" s="24" t="s">
        <v>129</v>
      </c>
      <c r="C156" s="31">
        <f aca="true" t="shared" si="27" ref="C156:H156">SUM(C157:C163)</f>
        <v>364359</v>
      </c>
      <c r="D156" s="31">
        <f t="shared" si="27"/>
        <v>0</v>
      </c>
      <c r="E156" s="31">
        <f t="shared" si="27"/>
        <v>2582</v>
      </c>
      <c r="F156" s="31">
        <f t="shared" si="27"/>
        <v>0</v>
      </c>
      <c r="G156" s="31">
        <f t="shared" si="27"/>
        <v>0</v>
      </c>
      <c r="H156" s="31">
        <f t="shared" si="27"/>
        <v>0</v>
      </c>
      <c r="I156" s="180">
        <f t="shared" si="24"/>
        <v>366941</v>
      </c>
    </row>
    <row r="157" spans="1:9" ht="25.5" customHeight="1">
      <c r="A157" s="25">
        <v>361</v>
      </c>
      <c r="B157" s="26" t="s">
        <v>450</v>
      </c>
      <c r="C157" s="36">
        <v>339969</v>
      </c>
      <c r="D157" s="101"/>
      <c r="E157" s="36"/>
      <c r="F157" s="101"/>
      <c r="G157" s="101"/>
      <c r="H157" s="101"/>
      <c r="I157" s="180">
        <f t="shared" si="24"/>
        <v>339969</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v>18482</v>
      </c>
      <c r="D159" s="101"/>
      <c r="E159" s="36"/>
      <c r="F159" s="101"/>
      <c r="G159" s="101"/>
      <c r="H159" s="101"/>
      <c r="I159" s="180">
        <f t="shared" si="24"/>
        <v>18482</v>
      </c>
    </row>
    <row r="160" spans="1:9" ht="25.5" customHeight="1">
      <c r="A160" s="25">
        <v>364</v>
      </c>
      <c r="B160" s="26" t="s">
        <v>130</v>
      </c>
      <c r="C160" s="36">
        <v>5908</v>
      </c>
      <c r="D160" s="101"/>
      <c r="E160" s="36">
        <v>2582</v>
      </c>
      <c r="F160" s="101"/>
      <c r="G160" s="101"/>
      <c r="H160" s="101"/>
      <c r="I160" s="180">
        <f t="shared" si="24"/>
        <v>8490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244560</v>
      </c>
      <c r="D164" s="31">
        <f t="shared" si="28"/>
        <v>0</v>
      </c>
      <c r="E164" s="31">
        <f t="shared" si="28"/>
        <v>7837</v>
      </c>
      <c r="F164" s="31">
        <f t="shared" si="28"/>
        <v>0</v>
      </c>
      <c r="G164" s="31">
        <f t="shared" si="28"/>
        <v>0</v>
      </c>
      <c r="H164" s="31">
        <f t="shared" si="28"/>
        <v>0</v>
      </c>
      <c r="I164" s="180">
        <f t="shared" si="24"/>
        <v>252397</v>
      </c>
    </row>
    <row r="165" spans="1:9" ht="25.5" customHeight="1">
      <c r="A165" s="25">
        <v>371</v>
      </c>
      <c r="B165" s="26" t="s">
        <v>133</v>
      </c>
      <c r="C165" s="36">
        <v>55512</v>
      </c>
      <c r="D165" s="101"/>
      <c r="E165" s="36"/>
      <c r="F165" s="101"/>
      <c r="G165" s="101"/>
      <c r="H165" s="101"/>
      <c r="I165" s="180">
        <f t="shared" si="24"/>
        <v>55512</v>
      </c>
    </row>
    <row r="166" spans="1:9" ht="25.5" customHeight="1">
      <c r="A166" s="25">
        <v>372</v>
      </c>
      <c r="B166" s="26" t="s">
        <v>134</v>
      </c>
      <c r="C166" s="36">
        <v>10390</v>
      </c>
      <c r="D166" s="101"/>
      <c r="E166" s="36"/>
      <c r="F166" s="101"/>
      <c r="G166" s="101"/>
      <c r="H166" s="101"/>
      <c r="I166" s="180">
        <f t="shared" si="24"/>
        <v>10390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168182</v>
      </c>
      <c r="D169" s="101"/>
      <c r="E169" s="36">
        <v>7837</v>
      </c>
      <c r="F169" s="101"/>
      <c r="G169" s="101"/>
      <c r="H169" s="101"/>
      <c r="I169" s="180">
        <f t="shared" si="24"/>
        <v>176019</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10476</v>
      </c>
      <c r="D173" s="101"/>
      <c r="E173" s="36"/>
      <c r="F173" s="101"/>
      <c r="G173" s="101"/>
      <c r="H173" s="101"/>
      <c r="I173" s="180">
        <f t="shared" si="24"/>
        <v>10476</v>
      </c>
    </row>
    <row r="174" spans="1:9" ht="25.5" customHeight="1">
      <c r="A174" s="29">
        <v>3800</v>
      </c>
      <c r="B174" s="24" t="s">
        <v>138</v>
      </c>
      <c r="C174" s="31">
        <f aca="true" t="shared" si="29" ref="C174:H174">SUM(C175:C179)</f>
        <v>1575362</v>
      </c>
      <c r="D174" s="31">
        <f t="shared" si="29"/>
        <v>0</v>
      </c>
      <c r="E174" s="31">
        <f t="shared" si="29"/>
        <v>0</v>
      </c>
      <c r="F174" s="31">
        <f t="shared" si="29"/>
        <v>0</v>
      </c>
      <c r="G174" s="31">
        <f t="shared" si="29"/>
        <v>0</v>
      </c>
      <c r="H174" s="31">
        <f t="shared" si="29"/>
        <v>0</v>
      </c>
      <c r="I174" s="180">
        <f t="shared" si="24"/>
        <v>1575362</v>
      </c>
    </row>
    <row r="175" spans="1:9" ht="25.5" customHeight="1">
      <c r="A175" s="25">
        <v>381</v>
      </c>
      <c r="B175" s="26" t="s">
        <v>293</v>
      </c>
      <c r="C175" s="36">
        <v>1575362</v>
      </c>
      <c r="D175" s="101"/>
      <c r="E175" s="101"/>
      <c r="F175" s="101"/>
      <c r="G175" s="101"/>
      <c r="H175" s="101"/>
      <c r="I175" s="180">
        <f t="shared" si="24"/>
        <v>1575362</v>
      </c>
    </row>
    <row r="176" spans="1:9" ht="25.5" customHeight="1">
      <c r="A176" s="25">
        <v>382</v>
      </c>
      <c r="B176" s="26" t="s">
        <v>141</v>
      </c>
      <c r="C176" s="36"/>
      <c r="D176" s="101"/>
      <c r="E176" s="101"/>
      <c r="F176" s="101"/>
      <c r="G176" s="101"/>
      <c r="H176" s="101"/>
      <c r="I176" s="180">
        <f t="shared" si="24"/>
        <v>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299884</v>
      </c>
      <c r="D180" s="31">
        <f t="shared" si="30"/>
        <v>0</v>
      </c>
      <c r="E180" s="31">
        <f t="shared" si="30"/>
        <v>0</v>
      </c>
      <c r="F180" s="31">
        <f t="shared" si="30"/>
        <v>0</v>
      </c>
      <c r="G180" s="31">
        <f t="shared" si="30"/>
        <v>0</v>
      </c>
      <c r="H180" s="31">
        <f t="shared" si="30"/>
        <v>0</v>
      </c>
      <c r="I180" s="180">
        <f t="shared" si="24"/>
        <v>299884</v>
      </c>
    </row>
    <row r="181" spans="1:9" ht="25.5" customHeight="1">
      <c r="A181" s="25">
        <v>391</v>
      </c>
      <c r="B181" s="26" t="s">
        <v>143</v>
      </c>
      <c r="C181" s="36">
        <v>241300</v>
      </c>
      <c r="D181" s="101"/>
      <c r="E181" s="36"/>
      <c r="F181" s="101"/>
      <c r="G181" s="101"/>
      <c r="H181" s="101"/>
      <c r="I181" s="180">
        <f t="shared" si="24"/>
        <v>241300</v>
      </c>
    </row>
    <row r="182" spans="1:9" ht="25.5" customHeight="1">
      <c r="A182" s="25">
        <v>392</v>
      </c>
      <c r="B182" s="26" t="s">
        <v>144</v>
      </c>
      <c r="C182" s="36">
        <v>58584</v>
      </c>
      <c r="D182" s="101"/>
      <c r="E182" s="36"/>
      <c r="F182" s="101"/>
      <c r="G182" s="101"/>
      <c r="H182" s="101"/>
      <c r="I182" s="180">
        <f t="shared" si="24"/>
        <v>58584</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9784322</v>
      </c>
      <c r="D190" s="33">
        <f t="shared" si="31"/>
        <v>0</v>
      </c>
      <c r="E190" s="33">
        <f t="shared" si="31"/>
        <v>0</v>
      </c>
      <c r="F190" s="33">
        <f t="shared" si="31"/>
        <v>0</v>
      </c>
      <c r="G190" s="33">
        <f t="shared" si="31"/>
        <v>0</v>
      </c>
      <c r="H190" s="33">
        <f t="shared" si="31"/>
        <v>0</v>
      </c>
      <c r="I190" s="180">
        <f t="shared" si="24"/>
        <v>9784322</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6883761</v>
      </c>
      <c r="D201" s="31">
        <f t="shared" si="34"/>
        <v>0</v>
      </c>
      <c r="E201" s="31">
        <f t="shared" si="34"/>
        <v>0</v>
      </c>
      <c r="F201" s="31">
        <f t="shared" si="34"/>
        <v>0</v>
      </c>
      <c r="G201" s="31">
        <f t="shared" si="34"/>
        <v>0</v>
      </c>
      <c r="H201" s="31">
        <f t="shared" si="34"/>
        <v>0</v>
      </c>
      <c r="I201" s="180">
        <f t="shared" si="33"/>
        <v>6883761</v>
      </c>
    </row>
    <row r="202" spans="1:9" ht="25.5" customHeight="1">
      <c r="A202" s="25">
        <v>421</v>
      </c>
      <c r="B202" s="26" t="s">
        <v>453</v>
      </c>
      <c r="C202" s="36">
        <v>6883761</v>
      </c>
      <c r="D202" s="101"/>
      <c r="E202" s="101"/>
      <c r="F202" s="101"/>
      <c r="G202" s="101"/>
      <c r="H202" s="101"/>
      <c r="I202" s="180">
        <f t="shared" si="33"/>
        <v>6883761</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2403203</v>
      </c>
      <c r="D217" s="31">
        <f t="shared" si="36"/>
        <v>0</v>
      </c>
      <c r="E217" s="31">
        <f t="shared" si="36"/>
        <v>0</v>
      </c>
      <c r="F217" s="31">
        <f t="shared" si="36"/>
        <v>0</v>
      </c>
      <c r="G217" s="31">
        <f t="shared" si="36"/>
        <v>0</v>
      </c>
      <c r="H217" s="31">
        <f t="shared" si="36"/>
        <v>0</v>
      </c>
      <c r="I217" s="180">
        <f t="shared" si="33"/>
        <v>2403203</v>
      </c>
      <c r="K217" s="107"/>
    </row>
    <row r="218" spans="1:11" ht="25.5" customHeight="1">
      <c r="A218" s="25">
        <v>441</v>
      </c>
      <c r="B218" s="26" t="s">
        <v>163</v>
      </c>
      <c r="C218" s="36">
        <v>761510</v>
      </c>
      <c r="D218" s="101"/>
      <c r="E218" s="101"/>
      <c r="F218" s="36"/>
      <c r="G218" s="36"/>
      <c r="H218" s="36"/>
      <c r="I218" s="180">
        <f t="shared" si="33"/>
        <v>761510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1593693</v>
      </c>
      <c r="D220" s="101"/>
      <c r="E220" s="101"/>
      <c r="F220" s="36"/>
      <c r="G220" s="36"/>
      <c r="H220" s="36"/>
      <c r="I220" s="180">
        <f t="shared" si="33"/>
        <v>1593693</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v>48000</v>
      </c>
      <c r="D225" s="101"/>
      <c r="E225" s="101"/>
      <c r="F225" s="36"/>
      <c r="G225" s="36"/>
      <c r="H225" s="36"/>
      <c r="I225" s="180">
        <f t="shared" si="33"/>
        <v>48000</v>
      </c>
    </row>
    <row r="226" spans="1:9" ht="25.5" customHeight="1">
      <c r="A226" s="29">
        <v>4500</v>
      </c>
      <c r="B226" s="24" t="s">
        <v>166</v>
      </c>
      <c r="C226" s="31">
        <f aca="true" t="shared" si="37" ref="C226:H226">SUM(C227:C229)</f>
        <v>497358</v>
      </c>
      <c r="D226" s="31">
        <f t="shared" si="37"/>
        <v>0</v>
      </c>
      <c r="E226" s="31">
        <f t="shared" si="37"/>
        <v>0</v>
      </c>
      <c r="F226" s="31">
        <f t="shared" si="37"/>
        <v>0</v>
      </c>
      <c r="G226" s="31">
        <f t="shared" si="37"/>
        <v>0</v>
      </c>
      <c r="H226" s="31">
        <f t="shared" si="37"/>
        <v>0</v>
      </c>
      <c r="I226" s="180">
        <f t="shared" si="33"/>
        <v>497358</v>
      </c>
    </row>
    <row r="227" spans="1:9" ht="25.5" customHeight="1">
      <c r="A227" s="25">
        <v>451</v>
      </c>
      <c r="B227" s="26" t="s">
        <v>167</v>
      </c>
      <c r="C227" s="36">
        <v>497358</v>
      </c>
      <c r="D227" s="101"/>
      <c r="E227" s="101"/>
      <c r="F227" s="101"/>
      <c r="G227" s="101"/>
      <c r="H227" s="101"/>
      <c r="I227" s="180">
        <f t="shared" si="33"/>
        <v>497358</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3220000</v>
      </c>
      <c r="D249" s="33">
        <f t="shared" si="42"/>
        <v>0</v>
      </c>
      <c r="E249" s="33">
        <f t="shared" si="42"/>
        <v>0</v>
      </c>
      <c r="F249" s="33">
        <f t="shared" si="42"/>
        <v>0</v>
      </c>
      <c r="G249" s="33">
        <f t="shared" si="42"/>
        <v>0</v>
      </c>
      <c r="H249" s="33">
        <f t="shared" si="42"/>
        <v>0</v>
      </c>
      <c r="I249" s="180">
        <f t="shared" si="33"/>
        <v>3220000</v>
      </c>
    </row>
    <row r="250" spans="1:9" ht="25.5" customHeight="1">
      <c r="A250" s="29">
        <v>5100</v>
      </c>
      <c r="B250" s="24" t="s">
        <v>629</v>
      </c>
      <c r="C250" s="31">
        <f aca="true" t="shared" si="43" ref="C250:H250">SUM(C251:C256)</f>
        <v>0</v>
      </c>
      <c r="D250" s="31">
        <f t="shared" si="43"/>
        <v>0</v>
      </c>
      <c r="E250" s="31">
        <f t="shared" si="43"/>
        <v>0</v>
      </c>
      <c r="F250" s="31">
        <f t="shared" si="43"/>
        <v>0</v>
      </c>
      <c r="G250" s="31">
        <f t="shared" si="43"/>
        <v>0</v>
      </c>
      <c r="H250" s="31">
        <f t="shared" si="43"/>
        <v>0</v>
      </c>
      <c r="I250" s="180">
        <f t="shared" si="33"/>
        <v>0</v>
      </c>
    </row>
    <row r="251" spans="1:9" ht="25.5" customHeight="1">
      <c r="A251" s="25">
        <v>511</v>
      </c>
      <c r="B251" s="26" t="s">
        <v>175</v>
      </c>
      <c r="C251" s="36"/>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c r="D255" s="36"/>
      <c r="E255" s="36"/>
      <c r="F255" s="101"/>
      <c r="G255" s="101"/>
      <c r="H255" s="101"/>
      <c r="I255" s="180">
        <f t="shared" si="33"/>
        <v>0</v>
      </c>
    </row>
    <row r="256" spans="1:9" ht="25.5" customHeight="1">
      <c r="A256" s="25">
        <v>519</v>
      </c>
      <c r="B256" s="26" t="s">
        <v>178</v>
      </c>
      <c r="C256" s="36"/>
      <c r="D256" s="36"/>
      <c r="E256" s="36"/>
      <c r="F256" s="101"/>
      <c r="G256" s="101"/>
      <c r="H256" s="101"/>
      <c r="I256" s="180">
        <f t="shared" si="33"/>
        <v>0</v>
      </c>
    </row>
    <row r="257" spans="1:9" ht="25.5" customHeight="1">
      <c r="A257" s="29">
        <v>5200</v>
      </c>
      <c r="B257" s="24" t="s">
        <v>179</v>
      </c>
      <c r="C257" s="31">
        <f aca="true" t="shared" si="44" ref="C257:H257">SUM(C258:C261)</f>
        <v>0</v>
      </c>
      <c r="D257" s="31">
        <f t="shared" si="44"/>
        <v>0</v>
      </c>
      <c r="E257" s="31">
        <f t="shared" si="44"/>
        <v>0</v>
      </c>
      <c r="F257" s="31">
        <f t="shared" si="44"/>
        <v>0</v>
      </c>
      <c r="G257" s="31">
        <f t="shared" si="44"/>
        <v>0</v>
      </c>
      <c r="H257" s="31">
        <f t="shared" si="44"/>
        <v>0</v>
      </c>
      <c r="I257" s="180">
        <f t="shared" si="33"/>
        <v>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c r="D260" s="36"/>
      <c r="E260" s="36"/>
      <c r="F260" s="101"/>
      <c r="G260" s="101"/>
      <c r="H260" s="101"/>
      <c r="I260" s="180">
        <f aca="true" t="shared" si="45" ref="I260:I323">C260+D260+E260+F260+H260+G260</f>
        <v>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aca="true" t="shared" si="47" ref="C265:H265">SUM(C266:C271)</f>
        <v>2800000</v>
      </c>
      <c r="D265" s="31">
        <f t="shared" si="47"/>
        <v>0</v>
      </c>
      <c r="E265" s="31">
        <f t="shared" si="47"/>
        <v>0</v>
      </c>
      <c r="F265" s="31">
        <f t="shared" si="47"/>
        <v>0</v>
      </c>
      <c r="G265" s="31">
        <f t="shared" si="47"/>
        <v>0</v>
      </c>
      <c r="H265" s="31">
        <f t="shared" si="47"/>
        <v>0</v>
      </c>
      <c r="I265" s="180">
        <f t="shared" si="45"/>
        <v>2800000</v>
      </c>
    </row>
    <row r="266" spans="1:9" ht="25.5" customHeight="1">
      <c r="A266" s="25">
        <v>541</v>
      </c>
      <c r="B266" s="26" t="s">
        <v>984</v>
      </c>
      <c r="C266" s="36">
        <v>2800000</v>
      </c>
      <c r="D266" s="36"/>
      <c r="E266" s="36"/>
      <c r="F266" s="101"/>
      <c r="G266" s="101"/>
      <c r="H266" s="101"/>
      <c r="I266" s="180">
        <f t="shared" si="45"/>
        <v>2800000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0</v>
      </c>
      <c r="D274" s="31">
        <f t="shared" si="49"/>
        <v>0</v>
      </c>
      <c r="E274" s="31">
        <f t="shared" si="49"/>
        <v>0</v>
      </c>
      <c r="F274" s="31">
        <f t="shared" si="49"/>
        <v>0</v>
      </c>
      <c r="G274" s="31">
        <f t="shared" si="49"/>
        <v>0</v>
      </c>
      <c r="H274" s="31">
        <f t="shared" si="49"/>
        <v>0</v>
      </c>
      <c r="I274" s="180">
        <f t="shared" si="45"/>
        <v>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420000</v>
      </c>
      <c r="D298" s="31">
        <f t="shared" si="52"/>
        <v>0</v>
      </c>
      <c r="E298" s="31">
        <f t="shared" si="52"/>
        <v>0</v>
      </c>
      <c r="F298" s="31">
        <f t="shared" si="52"/>
        <v>0</v>
      </c>
      <c r="G298" s="31">
        <f t="shared" si="52"/>
        <v>0</v>
      </c>
      <c r="H298" s="31">
        <f t="shared" si="52"/>
        <v>0</v>
      </c>
      <c r="I298" s="180">
        <f t="shared" si="45"/>
        <v>420000</v>
      </c>
    </row>
    <row r="299" spans="1:9" ht="25.5" customHeight="1">
      <c r="A299" s="25">
        <v>591</v>
      </c>
      <c r="B299" s="26" t="s">
        <v>317</v>
      </c>
      <c r="C299" s="36">
        <v>420000</v>
      </c>
      <c r="D299" s="101"/>
      <c r="E299" s="101"/>
      <c r="F299" s="101"/>
      <c r="G299" s="101"/>
      <c r="H299" s="101"/>
      <c r="I299" s="180">
        <f t="shared" si="45"/>
        <v>420000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2628630</v>
      </c>
      <c r="D308" s="33">
        <f t="shared" si="53"/>
        <v>8068599</v>
      </c>
      <c r="E308" s="33">
        <f t="shared" si="53"/>
        <v>0</v>
      </c>
      <c r="F308" s="33">
        <f t="shared" si="53"/>
        <v>2800000</v>
      </c>
      <c r="G308" s="33">
        <f t="shared" si="53"/>
        <v>8000000</v>
      </c>
      <c r="H308" s="33">
        <f t="shared" si="53"/>
        <v>0</v>
      </c>
      <c r="I308" s="180">
        <f t="shared" si="45"/>
        <v>21497229</v>
      </c>
    </row>
    <row r="309" spans="1:9" ht="25.5" customHeight="1">
      <c r="A309" s="29">
        <v>6100</v>
      </c>
      <c r="B309" s="24" t="s">
        <v>319</v>
      </c>
      <c r="C309" s="31">
        <f aca="true" t="shared" si="54" ref="C309:H309">SUM(C310:C317)</f>
        <v>0</v>
      </c>
      <c r="D309" s="31">
        <f t="shared" si="54"/>
        <v>0</v>
      </c>
      <c r="E309" s="31">
        <f t="shared" si="54"/>
        <v>0</v>
      </c>
      <c r="F309" s="31">
        <f t="shared" si="54"/>
        <v>0</v>
      </c>
      <c r="G309" s="31">
        <f t="shared" si="54"/>
        <v>0</v>
      </c>
      <c r="H309" s="31">
        <f t="shared" si="54"/>
        <v>0</v>
      </c>
      <c r="I309" s="180">
        <f t="shared" si="45"/>
        <v>0</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c r="E313" s="36"/>
      <c r="F313" s="36"/>
      <c r="G313" s="36"/>
      <c r="H313" s="36"/>
      <c r="I313" s="180">
        <f t="shared" si="45"/>
        <v>0</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2628630</v>
      </c>
      <c r="D318" s="31">
        <f t="shared" si="55"/>
        <v>8068599</v>
      </c>
      <c r="E318" s="31">
        <f t="shared" si="55"/>
        <v>0</v>
      </c>
      <c r="F318" s="31">
        <f t="shared" si="55"/>
        <v>2800000</v>
      </c>
      <c r="G318" s="31">
        <f t="shared" si="55"/>
        <v>8000000</v>
      </c>
      <c r="H318" s="31">
        <f t="shared" si="55"/>
        <v>0</v>
      </c>
      <c r="I318" s="180">
        <f t="shared" si="45"/>
        <v>21497229</v>
      </c>
    </row>
    <row r="319" spans="1:9" ht="25.5" customHeight="1">
      <c r="A319" s="25">
        <v>621</v>
      </c>
      <c r="B319" s="26" t="s">
        <v>216</v>
      </c>
      <c r="C319" s="36"/>
      <c r="D319" s="36"/>
      <c r="E319" s="36"/>
      <c r="F319" s="36">
        <v>1929891</v>
      </c>
      <c r="G319" s="36">
        <v>2200000</v>
      </c>
      <c r="H319" s="36"/>
      <c r="I319" s="180">
        <f t="shared" si="45"/>
        <v>4129891</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v>3318132</v>
      </c>
      <c r="E322" s="36"/>
      <c r="F322" s="36"/>
      <c r="G322" s="36">
        <v>2924013</v>
      </c>
      <c r="H322" s="36"/>
      <c r="I322" s="180">
        <f t="shared" si="45"/>
        <v>6242145</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v>2628630</v>
      </c>
      <c r="D324" s="36">
        <v>4750467</v>
      </c>
      <c r="E324" s="36"/>
      <c r="F324" s="36">
        <v>870109</v>
      </c>
      <c r="G324" s="36">
        <v>2875987</v>
      </c>
      <c r="H324" s="36"/>
      <c r="I324" s="180">
        <f aca="true" t="shared" si="56" ref="I324:I387">C324+D324+E324+F324+H324+G324</f>
        <v>11125193</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0</v>
      </c>
      <c r="D396" s="33">
        <f t="shared" si="71"/>
        <v>0</v>
      </c>
      <c r="E396" s="33">
        <f t="shared" si="71"/>
        <v>9012098</v>
      </c>
      <c r="F396" s="33">
        <f t="shared" si="71"/>
        <v>0</v>
      </c>
      <c r="G396" s="33">
        <f t="shared" si="71"/>
        <v>0</v>
      </c>
      <c r="H396" s="33">
        <f t="shared" si="71"/>
        <v>0</v>
      </c>
      <c r="I396" s="180">
        <f t="shared" si="69"/>
        <v>9012098</v>
      </c>
    </row>
    <row r="397" spans="1:9" ht="25.5" customHeight="1">
      <c r="A397" s="112">
        <v>9100</v>
      </c>
      <c r="B397" s="108" t="s">
        <v>599</v>
      </c>
      <c r="C397" s="31">
        <f aca="true" t="shared" si="72" ref="C397:H397">SUM(C398:C405)</f>
        <v>0</v>
      </c>
      <c r="D397" s="31">
        <f t="shared" si="72"/>
        <v>0</v>
      </c>
      <c r="E397" s="31">
        <f t="shared" si="72"/>
        <v>2924435</v>
      </c>
      <c r="F397" s="31">
        <f t="shared" si="72"/>
        <v>0</v>
      </c>
      <c r="G397" s="31">
        <f t="shared" si="72"/>
        <v>0</v>
      </c>
      <c r="H397" s="31">
        <f t="shared" si="72"/>
        <v>0</v>
      </c>
      <c r="I397" s="180">
        <f t="shared" si="69"/>
        <v>2924435</v>
      </c>
    </row>
    <row r="398" spans="1:9" ht="25.5" customHeight="1">
      <c r="A398" s="25">
        <v>911</v>
      </c>
      <c r="B398" s="26" t="s">
        <v>270</v>
      </c>
      <c r="C398" s="36"/>
      <c r="D398" s="101"/>
      <c r="E398" s="36">
        <v>2924435</v>
      </c>
      <c r="F398" s="101"/>
      <c r="G398" s="101"/>
      <c r="H398" s="101"/>
      <c r="I398" s="180">
        <f t="shared" si="69"/>
        <v>2924435</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6087663</v>
      </c>
      <c r="F406" s="31">
        <f t="shared" si="73"/>
        <v>0</v>
      </c>
      <c r="G406" s="31">
        <f t="shared" si="73"/>
        <v>0</v>
      </c>
      <c r="H406" s="31">
        <f t="shared" si="73"/>
        <v>0</v>
      </c>
      <c r="I406" s="180">
        <f t="shared" si="69"/>
        <v>6087663</v>
      </c>
    </row>
    <row r="407" spans="1:9" ht="25.5" customHeight="1">
      <c r="A407" s="25">
        <v>921</v>
      </c>
      <c r="B407" s="26" t="s">
        <v>279</v>
      </c>
      <c r="C407" s="36"/>
      <c r="D407" s="101"/>
      <c r="E407" s="36">
        <v>6087663</v>
      </c>
      <c r="F407" s="101"/>
      <c r="G407" s="101"/>
      <c r="H407" s="101"/>
      <c r="I407" s="180">
        <f t="shared" si="69"/>
        <v>6087663</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985</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82782022</v>
      </c>
      <c r="D428" s="305">
        <f t="shared" si="79"/>
        <v>8068599</v>
      </c>
      <c r="E428" s="305">
        <f t="shared" si="79"/>
        <v>20895833</v>
      </c>
      <c r="F428" s="305">
        <f t="shared" si="79"/>
        <v>2800000</v>
      </c>
      <c r="G428" s="305">
        <f t="shared" si="79"/>
        <v>8000000</v>
      </c>
      <c r="H428" s="305">
        <f t="shared" si="79"/>
        <v>0</v>
      </c>
      <c r="I428" s="263">
        <f t="shared" si="79"/>
        <v>122546454</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24:C27 E24:E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206"/>
  <sheetViews>
    <sheetView showGridLines="0" zoomScalePageLayoutView="0" workbookViewId="0" topLeftCell="A1">
      <selection activeCell="A3" sqref="A3"/>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1255</v>
      </c>
      <c r="B3" s="64" t="s">
        <v>1254</v>
      </c>
      <c r="C3" s="96"/>
      <c r="D3" s="65">
        <v>9</v>
      </c>
      <c r="E3" s="66">
        <v>28650</v>
      </c>
      <c r="F3" s="67">
        <f>D3*E3</f>
        <v>257850</v>
      </c>
      <c r="G3" s="67">
        <f>F3*12</f>
        <v>3094200</v>
      </c>
    </row>
    <row r="4" spans="1:7" ht="38.25" customHeight="1">
      <c r="A4" s="64" t="s">
        <v>1256</v>
      </c>
      <c r="B4" s="64" t="s">
        <v>1257</v>
      </c>
      <c r="C4" s="96"/>
      <c r="D4" s="65">
        <v>1</v>
      </c>
      <c r="E4" s="66">
        <v>61140</v>
      </c>
      <c r="F4" s="67">
        <f aca="true" t="shared" si="0" ref="F4:F67">D4*E4</f>
        <v>61140</v>
      </c>
      <c r="G4" s="67">
        <f aca="true" t="shared" si="1" ref="G4:G67">F4*12</f>
        <v>733680</v>
      </c>
    </row>
    <row r="5" spans="1:7" ht="38.25" customHeight="1">
      <c r="A5" s="64" t="s">
        <v>1258</v>
      </c>
      <c r="B5" s="64" t="s">
        <v>1257</v>
      </c>
      <c r="C5" s="96"/>
      <c r="D5" s="65">
        <v>1</v>
      </c>
      <c r="E5" s="66">
        <v>6250</v>
      </c>
      <c r="F5" s="67">
        <f t="shared" si="0"/>
        <v>6250</v>
      </c>
      <c r="G5" s="67">
        <f t="shared" si="1"/>
        <v>75000</v>
      </c>
    </row>
    <row r="6" spans="1:7" ht="38.25" customHeight="1">
      <c r="A6" s="64" t="s">
        <v>1258</v>
      </c>
      <c r="B6" s="64" t="s">
        <v>1257</v>
      </c>
      <c r="C6" s="96"/>
      <c r="D6" s="65">
        <v>1</v>
      </c>
      <c r="E6" s="66">
        <v>5688</v>
      </c>
      <c r="F6" s="67">
        <f t="shared" si="0"/>
        <v>5688</v>
      </c>
      <c r="G6" s="67">
        <f t="shared" si="1"/>
        <v>68256</v>
      </c>
    </row>
    <row r="7" spans="1:7" ht="38.25" customHeight="1">
      <c r="A7" s="64" t="s">
        <v>1259</v>
      </c>
      <c r="B7" s="64" t="s">
        <v>1260</v>
      </c>
      <c r="C7" s="96"/>
      <c r="D7" s="65">
        <v>1</v>
      </c>
      <c r="E7" s="66">
        <v>24140</v>
      </c>
      <c r="F7" s="67">
        <f t="shared" si="0"/>
        <v>24140</v>
      </c>
      <c r="G7" s="67">
        <f t="shared" si="1"/>
        <v>289680</v>
      </c>
    </row>
    <row r="8" spans="1:7" ht="38.25" customHeight="1">
      <c r="A8" s="64" t="s">
        <v>1261</v>
      </c>
      <c r="B8" s="64" t="s">
        <v>1262</v>
      </c>
      <c r="C8" s="96"/>
      <c r="D8" s="65">
        <v>1</v>
      </c>
      <c r="E8" s="66">
        <v>28650</v>
      </c>
      <c r="F8" s="67">
        <f t="shared" si="0"/>
        <v>28650</v>
      </c>
      <c r="G8" s="67">
        <f t="shared" si="1"/>
        <v>343800</v>
      </c>
    </row>
    <row r="9" spans="1:7" ht="38.25" customHeight="1">
      <c r="A9" s="64" t="s">
        <v>1263</v>
      </c>
      <c r="B9" s="64" t="s">
        <v>1262</v>
      </c>
      <c r="C9" s="96"/>
      <c r="D9" s="65">
        <v>1</v>
      </c>
      <c r="E9" s="66">
        <v>13868</v>
      </c>
      <c r="F9" s="67">
        <f t="shared" si="0"/>
        <v>13868</v>
      </c>
      <c r="G9" s="67">
        <f t="shared" si="1"/>
        <v>166416</v>
      </c>
    </row>
    <row r="10" spans="1:7" ht="38.25" customHeight="1">
      <c r="A10" s="64" t="s">
        <v>1264</v>
      </c>
      <c r="B10" s="64" t="s">
        <v>1262</v>
      </c>
      <c r="C10" s="96"/>
      <c r="D10" s="65">
        <v>1</v>
      </c>
      <c r="E10" s="66">
        <v>11324</v>
      </c>
      <c r="F10" s="67">
        <f t="shared" si="0"/>
        <v>11324</v>
      </c>
      <c r="G10" s="67">
        <f t="shared" si="1"/>
        <v>135888</v>
      </c>
    </row>
    <row r="11" spans="1:7" ht="38.25" customHeight="1">
      <c r="A11" s="64" t="s">
        <v>1258</v>
      </c>
      <c r="B11" s="64" t="s">
        <v>1266</v>
      </c>
      <c r="C11" s="96"/>
      <c r="D11" s="65">
        <v>4</v>
      </c>
      <c r="E11" s="66">
        <v>3098</v>
      </c>
      <c r="F11" s="67">
        <f t="shared" si="0"/>
        <v>12392</v>
      </c>
      <c r="G11" s="67">
        <f t="shared" si="1"/>
        <v>148704</v>
      </c>
    </row>
    <row r="12" spans="1:7" ht="38.25" customHeight="1">
      <c r="A12" s="64" t="s">
        <v>1258</v>
      </c>
      <c r="B12" s="64" t="s">
        <v>1266</v>
      </c>
      <c r="C12" s="96"/>
      <c r="D12" s="65">
        <v>1</v>
      </c>
      <c r="E12" s="66">
        <v>3848</v>
      </c>
      <c r="F12" s="67">
        <f t="shared" si="0"/>
        <v>3848</v>
      </c>
      <c r="G12" s="67">
        <f t="shared" si="1"/>
        <v>46176</v>
      </c>
    </row>
    <row r="13" spans="1:7" ht="38.25" customHeight="1">
      <c r="A13" s="64" t="s">
        <v>1258</v>
      </c>
      <c r="B13" s="64" t="s">
        <v>1266</v>
      </c>
      <c r="C13" s="96"/>
      <c r="D13" s="65">
        <v>1</v>
      </c>
      <c r="E13" s="66">
        <v>4308</v>
      </c>
      <c r="F13" s="67">
        <f t="shared" si="0"/>
        <v>4308</v>
      </c>
      <c r="G13" s="67">
        <f t="shared" si="1"/>
        <v>51696</v>
      </c>
    </row>
    <row r="14" spans="1:7" ht="38.25" customHeight="1">
      <c r="A14" s="64" t="s">
        <v>1258</v>
      </c>
      <c r="B14" s="64" t="s">
        <v>1266</v>
      </c>
      <c r="C14" s="96"/>
      <c r="D14" s="65">
        <v>1</v>
      </c>
      <c r="E14" s="66">
        <v>4308</v>
      </c>
      <c r="F14" s="67">
        <f t="shared" si="0"/>
        <v>4308</v>
      </c>
      <c r="G14" s="67">
        <f t="shared" si="1"/>
        <v>51696</v>
      </c>
    </row>
    <row r="15" spans="1:7" ht="38.25" customHeight="1">
      <c r="A15" s="64" t="s">
        <v>1265</v>
      </c>
      <c r="B15" s="64" t="s">
        <v>1266</v>
      </c>
      <c r="C15" s="96"/>
      <c r="D15" s="65">
        <v>5</v>
      </c>
      <c r="E15" s="66">
        <v>5226</v>
      </c>
      <c r="F15" s="67">
        <f t="shared" si="0"/>
        <v>26130</v>
      </c>
      <c r="G15" s="67">
        <f t="shared" si="1"/>
        <v>313560</v>
      </c>
    </row>
    <row r="16" spans="1:7" ht="38.25" customHeight="1">
      <c r="A16" s="64" t="s">
        <v>1267</v>
      </c>
      <c r="B16" s="64" t="s">
        <v>1268</v>
      </c>
      <c r="C16" s="96"/>
      <c r="D16" s="65">
        <v>5</v>
      </c>
      <c r="E16" s="66">
        <v>4390</v>
      </c>
      <c r="F16" s="67">
        <f t="shared" si="0"/>
        <v>21950</v>
      </c>
      <c r="G16" s="67">
        <f t="shared" si="1"/>
        <v>263400</v>
      </c>
    </row>
    <row r="17" spans="1:7" ht="38.25" customHeight="1">
      <c r="A17" s="64" t="s">
        <v>1269</v>
      </c>
      <c r="B17" s="64" t="s">
        <v>1268</v>
      </c>
      <c r="C17" s="96"/>
      <c r="D17" s="65">
        <v>1</v>
      </c>
      <c r="E17" s="66">
        <v>2620</v>
      </c>
      <c r="F17" s="67">
        <f t="shared" si="0"/>
        <v>2620</v>
      </c>
      <c r="G17" s="67">
        <f t="shared" si="1"/>
        <v>31440</v>
      </c>
    </row>
    <row r="18" spans="1:7" ht="38.25" customHeight="1">
      <c r="A18" s="64" t="s">
        <v>1270</v>
      </c>
      <c r="B18" s="64" t="s">
        <v>1271</v>
      </c>
      <c r="C18" s="96"/>
      <c r="D18" s="65">
        <v>1</v>
      </c>
      <c r="E18" s="66">
        <v>13868</v>
      </c>
      <c r="F18" s="67">
        <f t="shared" si="0"/>
        <v>13868</v>
      </c>
      <c r="G18" s="67">
        <f t="shared" si="1"/>
        <v>166416</v>
      </c>
    </row>
    <row r="19" spans="1:7" ht="38.25" customHeight="1">
      <c r="A19" s="64" t="s">
        <v>1269</v>
      </c>
      <c r="B19" s="64" t="s">
        <v>1271</v>
      </c>
      <c r="C19" s="96"/>
      <c r="D19" s="65">
        <v>2</v>
      </c>
      <c r="E19" s="66">
        <v>7098</v>
      </c>
      <c r="F19" s="67">
        <f t="shared" si="0"/>
        <v>14196</v>
      </c>
      <c r="G19" s="67">
        <f t="shared" si="1"/>
        <v>170352</v>
      </c>
    </row>
    <row r="20" spans="1:7" ht="38.25" customHeight="1">
      <c r="A20" s="64" t="s">
        <v>1269</v>
      </c>
      <c r="B20" s="64" t="s">
        <v>1271</v>
      </c>
      <c r="C20" s="96"/>
      <c r="D20" s="65">
        <v>1</v>
      </c>
      <c r="E20" s="66">
        <v>9500</v>
      </c>
      <c r="F20" s="67">
        <f t="shared" si="0"/>
        <v>9500</v>
      </c>
      <c r="G20" s="67">
        <f t="shared" si="1"/>
        <v>114000</v>
      </c>
    </row>
    <row r="21" spans="1:7" ht="38.25" customHeight="1">
      <c r="A21" s="64" t="s">
        <v>1272</v>
      </c>
      <c r="B21" s="64" t="s">
        <v>1273</v>
      </c>
      <c r="C21" s="96"/>
      <c r="D21" s="65">
        <v>1</v>
      </c>
      <c r="E21" s="66">
        <v>13868</v>
      </c>
      <c r="F21" s="67">
        <f t="shared" si="0"/>
        <v>13868</v>
      </c>
      <c r="G21" s="67">
        <f t="shared" si="1"/>
        <v>166416</v>
      </c>
    </row>
    <row r="22" spans="1:7" ht="38.25" customHeight="1">
      <c r="A22" s="64" t="s">
        <v>1275</v>
      </c>
      <c r="B22" s="64" t="s">
        <v>1276</v>
      </c>
      <c r="C22" s="96"/>
      <c r="D22" s="65">
        <v>1</v>
      </c>
      <c r="E22" s="66">
        <v>13868</v>
      </c>
      <c r="F22" s="67">
        <f t="shared" si="0"/>
        <v>13868</v>
      </c>
      <c r="G22" s="67">
        <f t="shared" si="1"/>
        <v>166416</v>
      </c>
    </row>
    <row r="23" spans="1:7" ht="38.25" customHeight="1">
      <c r="A23" s="64" t="s">
        <v>1277</v>
      </c>
      <c r="B23" s="64" t="s">
        <v>1278</v>
      </c>
      <c r="C23" s="96"/>
      <c r="D23" s="65">
        <v>1</v>
      </c>
      <c r="E23" s="66">
        <v>28650</v>
      </c>
      <c r="F23" s="67">
        <f t="shared" si="0"/>
        <v>28650</v>
      </c>
      <c r="G23" s="67">
        <f t="shared" si="1"/>
        <v>343800</v>
      </c>
    </row>
    <row r="24" spans="1:7" ht="38.25" customHeight="1">
      <c r="A24" s="64" t="s">
        <v>1258</v>
      </c>
      <c r="B24" s="64" t="s">
        <v>1278</v>
      </c>
      <c r="C24" s="96"/>
      <c r="D24" s="65">
        <v>1</v>
      </c>
      <c r="E24" s="66">
        <v>7052</v>
      </c>
      <c r="F24" s="67">
        <f t="shared" si="0"/>
        <v>7052</v>
      </c>
      <c r="G24" s="67">
        <f t="shared" si="1"/>
        <v>84624</v>
      </c>
    </row>
    <row r="25" spans="1:7" ht="38.25" customHeight="1">
      <c r="A25" s="64" t="s">
        <v>1279</v>
      </c>
      <c r="B25" s="64" t="s">
        <v>1280</v>
      </c>
      <c r="C25" s="96"/>
      <c r="D25" s="65">
        <v>1</v>
      </c>
      <c r="E25" s="66">
        <v>13868</v>
      </c>
      <c r="F25" s="67">
        <f t="shared" si="0"/>
        <v>13868</v>
      </c>
      <c r="G25" s="67">
        <f t="shared" si="1"/>
        <v>166416</v>
      </c>
    </row>
    <row r="26" spans="1:7" ht="38.25" customHeight="1">
      <c r="A26" s="64" t="s">
        <v>1269</v>
      </c>
      <c r="B26" s="64" t="s">
        <v>1280</v>
      </c>
      <c r="C26" s="96"/>
      <c r="D26" s="65">
        <v>1</v>
      </c>
      <c r="E26" s="66">
        <v>9800</v>
      </c>
      <c r="F26" s="67">
        <f t="shared" si="0"/>
        <v>9800</v>
      </c>
      <c r="G26" s="67">
        <f t="shared" si="1"/>
        <v>117600</v>
      </c>
    </row>
    <row r="27" spans="1:7" ht="38.25" customHeight="1">
      <c r="A27" s="64" t="s">
        <v>1281</v>
      </c>
      <c r="B27" s="64" t="s">
        <v>1282</v>
      </c>
      <c r="C27" s="96"/>
      <c r="D27" s="65">
        <v>2</v>
      </c>
      <c r="E27" s="66">
        <v>11324</v>
      </c>
      <c r="F27" s="67">
        <f t="shared" si="0"/>
        <v>22648</v>
      </c>
      <c r="G27" s="67">
        <f t="shared" si="1"/>
        <v>271776</v>
      </c>
    </row>
    <row r="28" spans="1:7" ht="38.25" customHeight="1">
      <c r="A28" s="64" t="s">
        <v>1283</v>
      </c>
      <c r="B28" s="64" t="s">
        <v>1284</v>
      </c>
      <c r="C28" s="96"/>
      <c r="D28" s="65">
        <v>1</v>
      </c>
      <c r="E28" s="66">
        <v>29184</v>
      </c>
      <c r="F28" s="67">
        <f t="shared" si="0"/>
        <v>29184</v>
      </c>
      <c r="G28" s="67">
        <f t="shared" si="1"/>
        <v>350208</v>
      </c>
    </row>
    <row r="29" spans="1:7" ht="38.25" customHeight="1">
      <c r="A29" s="64" t="s">
        <v>1285</v>
      </c>
      <c r="B29" s="64" t="s">
        <v>1284</v>
      </c>
      <c r="C29" s="96"/>
      <c r="D29" s="65">
        <v>1</v>
      </c>
      <c r="E29" s="66">
        <v>4182</v>
      </c>
      <c r="F29" s="67">
        <f t="shared" si="0"/>
        <v>4182</v>
      </c>
      <c r="G29" s="67">
        <f t="shared" si="1"/>
        <v>50184</v>
      </c>
    </row>
    <row r="30" spans="1:7" ht="38.25" customHeight="1">
      <c r="A30" s="64" t="s">
        <v>1258</v>
      </c>
      <c r="B30" s="64" t="s">
        <v>1284</v>
      </c>
      <c r="C30" s="96"/>
      <c r="D30" s="65">
        <v>1</v>
      </c>
      <c r="E30" s="66">
        <v>5244</v>
      </c>
      <c r="F30" s="67">
        <f t="shared" si="0"/>
        <v>5244</v>
      </c>
      <c r="G30" s="67">
        <f t="shared" si="1"/>
        <v>62928</v>
      </c>
    </row>
    <row r="31" spans="1:7" ht="38.25" customHeight="1">
      <c r="A31" s="64" t="s">
        <v>1269</v>
      </c>
      <c r="B31" s="64" t="s">
        <v>1284</v>
      </c>
      <c r="C31" s="96"/>
      <c r="D31" s="65">
        <v>1</v>
      </c>
      <c r="E31" s="66">
        <v>3020</v>
      </c>
      <c r="F31" s="67">
        <f t="shared" si="0"/>
        <v>3020</v>
      </c>
      <c r="G31" s="67">
        <f t="shared" si="1"/>
        <v>36240</v>
      </c>
    </row>
    <row r="32" spans="1:7" ht="38.25" customHeight="1">
      <c r="A32" s="64" t="s">
        <v>1286</v>
      </c>
      <c r="B32" s="64" t="s">
        <v>1287</v>
      </c>
      <c r="C32" s="96"/>
      <c r="D32" s="65">
        <v>1</v>
      </c>
      <c r="E32" s="66">
        <v>13868</v>
      </c>
      <c r="F32" s="67">
        <f t="shared" si="0"/>
        <v>13868</v>
      </c>
      <c r="G32" s="67">
        <f t="shared" si="1"/>
        <v>166416</v>
      </c>
    </row>
    <row r="33" spans="1:7" ht="38.25" customHeight="1">
      <c r="A33" s="64" t="s">
        <v>1269</v>
      </c>
      <c r="B33" s="64" t="s">
        <v>1287</v>
      </c>
      <c r="C33" s="96"/>
      <c r="D33" s="65">
        <v>1</v>
      </c>
      <c r="E33" s="66">
        <v>12012</v>
      </c>
      <c r="F33" s="67">
        <f t="shared" si="0"/>
        <v>12012</v>
      </c>
      <c r="G33" s="67">
        <f t="shared" si="1"/>
        <v>144144</v>
      </c>
    </row>
    <row r="34" spans="1:7" ht="38.25" customHeight="1">
      <c r="A34" s="64" t="s">
        <v>1288</v>
      </c>
      <c r="B34" s="64" t="s">
        <v>1287</v>
      </c>
      <c r="C34" s="96"/>
      <c r="D34" s="65">
        <v>2</v>
      </c>
      <c r="E34" s="66">
        <v>6552</v>
      </c>
      <c r="F34" s="67">
        <f t="shared" si="0"/>
        <v>13104</v>
      </c>
      <c r="G34" s="67">
        <f t="shared" si="1"/>
        <v>157248</v>
      </c>
    </row>
    <row r="35" spans="1:7" ht="38.25" customHeight="1">
      <c r="A35" s="64" t="s">
        <v>1289</v>
      </c>
      <c r="B35" s="64" t="s">
        <v>1287</v>
      </c>
      <c r="C35" s="96"/>
      <c r="D35" s="65">
        <v>4</v>
      </c>
      <c r="E35" s="66">
        <v>2408</v>
      </c>
      <c r="F35" s="67">
        <f t="shared" si="0"/>
        <v>9632</v>
      </c>
      <c r="G35" s="67">
        <f t="shared" si="1"/>
        <v>115584</v>
      </c>
    </row>
    <row r="36" spans="1:7" ht="38.25" customHeight="1">
      <c r="A36" s="64" t="s">
        <v>1290</v>
      </c>
      <c r="B36" s="64" t="s">
        <v>1287</v>
      </c>
      <c r="C36" s="96"/>
      <c r="D36" s="65">
        <v>1</v>
      </c>
      <c r="E36" s="66">
        <v>6552</v>
      </c>
      <c r="F36" s="67">
        <f t="shared" si="0"/>
        <v>6552</v>
      </c>
      <c r="G36" s="67">
        <f t="shared" si="1"/>
        <v>78624</v>
      </c>
    </row>
    <row r="37" spans="1:7" ht="38.25" customHeight="1">
      <c r="A37" s="64" t="s">
        <v>1269</v>
      </c>
      <c r="B37" s="64" t="s">
        <v>1287</v>
      </c>
      <c r="C37" s="96"/>
      <c r="D37" s="65">
        <v>1</v>
      </c>
      <c r="E37" s="66">
        <v>11466</v>
      </c>
      <c r="F37" s="67">
        <f t="shared" si="0"/>
        <v>11466</v>
      </c>
      <c r="G37" s="67">
        <f t="shared" si="1"/>
        <v>137592</v>
      </c>
    </row>
    <row r="38" spans="1:7" ht="38.25" customHeight="1">
      <c r="A38" s="64" t="s">
        <v>1418</v>
      </c>
      <c r="B38" s="64" t="s">
        <v>1291</v>
      </c>
      <c r="C38" s="96"/>
      <c r="D38" s="65">
        <v>1</v>
      </c>
      <c r="E38" s="66">
        <v>13868</v>
      </c>
      <c r="F38" s="67">
        <f t="shared" si="0"/>
        <v>13868</v>
      </c>
      <c r="G38" s="67">
        <f t="shared" si="1"/>
        <v>166416</v>
      </c>
    </row>
    <row r="39" spans="1:7" ht="38.25" customHeight="1">
      <c r="A39" s="64" t="s">
        <v>1292</v>
      </c>
      <c r="B39" s="64" t="s">
        <v>1291</v>
      </c>
      <c r="C39" s="96"/>
      <c r="D39" s="65">
        <v>1</v>
      </c>
      <c r="E39" s="66">
        <v>7146</v>
      </c>
      <c r="F39" s="67">
        <f t="shared" si="0"/>
        <v>7146</v>
      </c>
      <c r="G39" s="67">
        <f t="shared" si="1"/>
        <v>85752</v>
      </c>
    </row>
    <row r="40" spans="1:7" ht="38.25" customHeight="1">
      <c r="A40" s="64" t="s">
        <v>1269</v>
      </c>
      <c r="B40" s="64" t="s">
        <v>1291</v>
      </c>
      <c r="C40" s="96"/>
      <c r="D40" s="65">
        <v>1</v>
      </c>
      <c r="E40" s="66">
        <v>10832</v>
      </c>
      <c r="F40" s="67">
        <f t="shared" si="0"/>
        <v>10832</v>
      </c>
      <c r="G40" s="67">
        <f t="shared" si="1"/>
        <v>129984</v>
      </c>
    </row>
    <row r="41" spans="1:7" ht="38.25" customHeight="1">
      <c r="A41" s="64" t="s">
        <v>1293</v>
      </c>
      <c r="B41" s="64" t="s">
        <v>1291</v>
      </c>
      <c r="C41" s="96"/>
      <c r="D41" s="65">
        <v>1</v>
      </c>
      <c r="E41" s="66">
        <v>13104</v>
      </c>
      <c r="F41" s="67">
        <f t="shared" si="0"/>
        <v>13104</v>
      </c>
      <c r="G41" s="67">
        <f t="shared" si="1"/>
        <v>157248</v>
      </c>
    </row>
    <row r="42" spans="1:7" ht="38.25" customHeight="1">
      <c r="A42" s="64" t="s">
        <v>1274</v>
      </c>
      <c r="B42" s="64" t="s">
        <v>1294</v>
      </c>
      <c r="C42" s="96"/>
      <c r="D42" s="65">
        <v>1</v>
      </c>
      <c r="E42" s="66">
        <v>13868</v>
      </c>
      <c r="F42" s="67">
        <f t="shared" si="0"/>
        <v>13868</v>
      </c>
      <c r="G42" s="67">
        <f t="shared" si="1"/>
        <v>166416</v>
      </c>
    </row>
    <row r="43" spans="1:7" ht="38.25" customHeight="1">
      <c r="A43" s="64" t="s">
        <v>1295</v>
      </c>
      <c r="B43" s="64" t="s">
        <v>1296</v>
      </c>
      <c r="C43" s="96"/>
      <c r="D43" s="65">
        <v>1</v>
      </c>
      <c r="E43" s="66">
        <v>13868</v>
      </c>
      <c r="F43" s="67">
        <f t="shared" si="0"/>
        <v>13868</v>
      </c>
      <c r="G43" s="67">
        <f t="shared" si="1"/>
        <v>166416</v>
      </c>
    </row>
    <row r="44" spans="1:7" ht="38.25" customHeight="1">
      <c r="A44" s="64" t="s">
        <v>1269</v>
      </c>
      <c r="B44" s="64" t="s">
        <v>1296</v>
      </c>
      <c r="C44" s="96"/>
      <c r="D44" s="65">
        <v>1</v>
      </c>
      <c r="E44" s="66">
        <v>6552</v>
      </c>
      <c r="F44" s="67">
        <f t="shared" si="0"/>
        <v>6552</v>
      </c>
      <c r="G44" s="67">
        <f t="shared" si="1"/>
        <v>78624</v>
      </c>
    </row>
    <row r="45" spans="1:7" ht="38.25" customHeight="1">
      <c r="A45" s="64" t="s">
        <v>1258</v>
      </c>
      <c r="B45" s="64" t="s">
        <v>1296</v>
      </c>
      <c r="C45" s="96"/>
      <c r="D45" s="65">
        <v>1</v>
      </c>
      <c r="E45" s="66">
        <v>7558</v>
      </c>
      <c r="F45" s="67">
        <f t="shared" si="0"/>
        <v>7558</v>
      </c>
      <c r="G45" s="67">
        <f t="shared" si="1"/>
        <v>90696</v>
      </c>
    </row>
    <row r="46" spans="1:7" ht="38.25" customHeight="1">
      <c r="A46" s="64" t="s">
        <v>1269</v>
      </c>
      <c r="B46" s="64" t="s">
        <v>1296</v>
      </c>
      <c r="C46" s="96"/>
      <c r="D46" s="65">
        <v>1</v>
      </c>
      <c r="E46" s="66">
        <v>12012</v>
      </c>
      <c r="F46" s="67">
        <f t="shared" si="0"/>
        <v>12012</v>
      </c>
      <c r="G46" s="67">
        <f t="shared" si="1"/>
        <v>144144</v>
      </c>
    </row>
    <row r="47" spans="1:7" ht="38.25" customHeight="1">
      <c r="A47" s="64" t="s">
        <v>1258</v>
      </c>
      <c r="B47" s="64" t="s">
        <v>1296</v>
      </c>
      <c r="C47" s="96"/>
      <c r="D47" s="65">
        <v>1</v>
      </c>
      <c r="E47" s="66">
        <v>6552</v>
      </c>
      <c r="F47" s="67">
        <f t="shared" si="0"/>
        <v>6552</v>
      </c>
      <c r="G47" s="67">
        <f t="shared" si="1"/>
        <v>78624</v>
      </c>
    </row>
    <row r="48" spans="1:7" ht="38.25" customHeight="1">
      <c r="A48" s="64" t="s">
        <v>1297</v>
      </c>
      <c r="B48" s="64" t="s">
        <v>1296</v>
      </c>
      <c r="C48" s="96"/>
      <c r="D48" s="65">
        <v>1</v>
      </c>
      <c r="E48" s="66">
        <v>8518</v>
      </c>
      <c r="F48" s="67">
        <f t="shared" si="0"/>
        <v>8518</v>
      </c>
      <c r="G48" s="67">
        <f t="shared" si="1"/>
        <v>102216</v>
      </c>
    </row>
    <row r="49" spans="1:7" ht="38.25" customHeight="1">
      <c r="A49" s="64" t="s">
        <v>1298</v>
      </c>
      <c r="B49" s="64" t="s">
        <v>1296</v>
      </c>
      <c r="C49" s="96"/>
      <c r="D49" s="65">
        <v>1</v>
      </c>
      <c r="E49" s="66">
        <v>6296</v>
      </c>
      <c r="F49" s="67">
        <f t="shared" si="0"/>
        <v>6296</v>
      </c>
      <c r="G49" s="67">
        <f t="shared" si="1"/>
        <v>75552</v>
      </c>
    </row>
    <row r="50" spans="1:7" ht="38.25" customHeight="1">
      <c r="A50" s="64" t="s">
        <v>1299</v>
      </c>
      <c r="B50" s="64" t="s">
        <v>1296</v>
      </c>
      <c r="C50" s="96"/>
      <c r="D50" s="65">
        <v>1</v>
      </c>
      <c r="E50" s="66">
        <v>9610</v>
      </c>
      <c r="F50" s="67">
        <f t="shared" si="0"/>
        <v>9610</v>
      </c>
      <c r="G50" s="67">
        <f t="shared" si="1"/>
        <v>115320</v>
      </c>
    </row>
    <row r="51" spans="1:7" ht="38.25" customHeight="1">
      <c r="A51" s="64" t="s">
        <v>1300</v>
      </c>
      <c r="B51" s="64" t="s">
        <v>1296</v>
      </c>
      <c r="C51" s="96"/>
      <c r="D51" s="65">
        <v>1</v>
      </c>
      <c r="E51" s="66">
        <v>8518</v>
      </c>
      <c r="F51" s="67">
        <f t="shared" si="0"/>
        <v>8518</v>
      </c>
      <c r="G51" s="67">
        <f t="shared" si="1"/>
        <v>102216</v>
      </c>
    </row>
    <row r="52" spans="1:7" ht="38.25" customHeight="1">
      <c r="A52" s="64" t="s">
        <v>1298</v>
      </c>
      <c r="B52" s="64" t="s">
        <v>1296</v>
      </c>
      <c r="C52" s="96"/>
      <c r="D52" s="65">
        <v>1</v>
      </c>
      <c r="E52" s="66">
        <v>7098</v>
      </c>
      <c r="F52" s="67">
        <f t="shared" si="0"/>
        <v>7098</v>
      </c>
      <c r="G52" s="67">
        <f t="shared" si="1"/>
        <v>85176</v>
      </c>
    </row>
    <row r="53" spans="1:7" ht="38.25" customHeight="1">
      <c r="A53" s="64" t="s">
        <v>1301</v>
      </c>
      <c r="B53" s="64" t="s">
        <v>1302</v>
      </c>
      <c r="C53" s="96"/>
      <c r="D53" s="65">
        <v>1</v>
      </c>
      <c r="E53" s="66">
        <v>11324</v>
      </c>
      <c r="F53" s="67">
        <f t="shared" si="0"/>
        <v>11324</v>
      </c>
      <c r="G53" s="67">
        <f t="shared" si="1"/>
        <v>135888</v>
      </c>
    </row>
    <row r="54" spans="1:7" ht="38.25" customHeight="1">
      <c r="A54" s="64" t="s">
        <v>1304</v>
      </c>
      <c r="B54" s="64" t="s">
        <v>1305</v>
      </c>
      <c r="C54" s="96"/>
      <c r="D54" s="65">
        <v>1</v>
      </c>
      <c r="E54" s="66">
        <v>13868</v>
      </c>
      <c r="F54" s="67">
        <f t="shared" si="0"/>
        <v>13868</v>
      </c>
      <c r="G54" s="67">
        <f t="shared" si="1"/>
        <v>166416</v>
      </c>
    </row>
    <row r="55" spans="1:7" ht="38.25" customHeight="1">
      <c r="A55" s="64" t="s">
        <v>1306</v>
      </c>
      <c r="B55" s="64" t="s">
        <v>1305</v>
      </c>
      <c r="C55" s="96"/>
      <c r="D55" s="65">
        <v>1</v>
      </c>
      <c r="E55" s="66">
        <v>4040</v>
      </c>
      <c r="F55" s="67">
        <f t="shared" si="0"/>
        <v>4040</v>
      </c>
      <c r="G55" s="67">
        <f t="shared" si="1"/>
        <v>48480</v>
      </c>
    </row>
    <row r="56" spans="1:7" ht="38.25" customHeight="1">
      <c r="A56" s="64" t="s">
        <v>1303</v>
      </c>
      <c r="B56" s="64" t="s">
        <v>1307</v>
      </c>
      <c r="C56" s="96"/>
      <c r="D56" s="65">
        <v>1</v>
      </c>
      <c r="E56" s="66">
        <v>13868</v>
      </c>
      <c r="F56" s="67">
        <f t="shared" si="0"/>
        <v>13868</v>
      </c>
      <c r="G56" s="67">
        <f t="shared" si="1"/>
        <v>166416</v>
      </c>
    </row>
    <row r="57" spans="1:7" ht="38.25" customHeight="1">
      <c r="A57" s="64" t="s">
        <v>1308</v>
      </c>
      <c r="B57" s="64" t="s">
        <v>1307</v>
      </c>
      <c r="C57" s="96"/>
      <c r="D57" s="65">
        <v>1</v>
      </c>
      <c r="E57" s="66">
        <v>7622</v>
      </c>
      <c r="F57" s="67">
        <f t="shared" si="0"/>
        <v>7622</v>
      </c>
      <c r="G57" s="67">
        <f t="shared" si="1"/>
        <v>91464</v>
      </c>
    </row>
    <row r="58" spans="1:7" ht="38.25" customHeight="1">
      <c r="A58" s="64" t="s">
        <v>1309</v>
      </c>
      <c r="B58" s="64" t="s">
        <v>1307</v>
      </c>
      <c r="C58" s="96"/>
      <c r="D58" s="65">
        <v>1</v>
      </c>
      <c r="E58" s="66">
        <v>5848</v>
      </c>
      <c r="F58" s="67">
        <f t="shared" si="0"/>
        <v>5848</v>
      </c>
      <c r="G58" s="67">
        <f t="shared" si="1"/>
        <v>70176</v>
      </c>
    </row>
    <row r="59" spans="1:7" ht="38.25" customHeight="1">
      <c r="A59" s="64" t="s">
        <v>1310</v>
      </c>
      <c r="B59" s="64" t="s">
        <v>1311</v>
      </c>
      <c r="C59" s="96"/>
      <c r="D59" s="65">
        <v>1</v>
      </c>
      <c r="E59" s="66">
        <v>13868</v>
      </c>
      <c r="F59" s="67">
        <f t="shared" si="0"/>
        <v>13868</v>
      </c>
      <c r="G59" s="67">
        <f t="shared" si="1"/>
        <v>166416</v>
      </c>
    </row>
    <row r="60" spans="1:7" ht="38.25" customHeight="1">
      <c r="A60" s="64" t="s">
        <v>1312</v>
      </c>
      <c r="B60" s="64" t="s">
        <v>1311</v>
      </c>
      <c r="C60" s="96"/>
      <c r="D60" s="65">
        <v>1</v>
      </c>
      <c r="E60" s="66">
        <v>7098</v>
      </c>
      <c r="F60" s="67">
        <f t="shared" si="0"/>
        <v>7098</v>
      </c>
      <c r="G60" s="67">
        <f t="shared" si="1"/>
        <v>85176</v>
      </c>
    </row>
    <row r="61" spans="1:7" ht="38.25" customHeight="1">
      <c r="A61" s="64" t="s">
        <v>1273</v>
      </c>
      <c r="B61" s="64" t="s">
        <v>1313</v>
      </c>
      <c r="C61" s="96"/>
      <c r="D61" s="65">
        <v>1</v>
      </c>
      <c r="E61" s="66">
        <v>13868</v>
      </c>
      <c r="F61" s="67">
        <f t="shared" si="0"/>
        <v>13868</v>
      </c>
      <c r="G61" s="67">
        <f t="shared" si="1"/>
        <v>166416</v>
      </c>
    </row>
    <row r="62" spans="1:7" ht="38.25" customHeight="1">
      <c r="A62" s="64" t="s">
        <v>1269</v>
      </c>
      <c r="B62" s="64" t="s">
        <v>1313</v>
      </c>
      <c r="C62" s="96"/>
      <c r="D62" s="65">
        <v>1</v>
      </c>
      <c r="E62" s="66">
        <v>9386</v>
      </c>
      <c r="F62" s="67">
        <f t="shared" si="0"/>
        <v>9386</v>
      </c>
      <c r="G62" s="67">
        <f t="shared" si="1"/>
        <v>112632</v>
      </c>
    </row>
    <row r="63" spans="1:7" ht="38.25" customHeight="1">
      <c r="A63" s="64" t="s">
        <v>1314</v>
      </c>
      <c r="B63" s="64" t="s">
        <v>1315</v>
      </c>
      <c r="C63" s="96"/>
      <c r="D63" s="65">
        <v>1</v>
      </c>
      <c r="E63" s="66">
        <v>13868</v>
      </c>
      <c r="F63" s="67">
        <f t="shared" si="0"/>
        <v>13868</v>
      </c>
      <c r="G63" s="67">
        <f t="shared" si="1"/>
        <v>166416</v>
      </c>
    </row>
    <row r="64" spans="1:7" ht="38.25" customHeight="1">
      <c r="A64" s="64" t="s">
        <v>1274</v>
      </c>
      <c r="B64" s="64" t="s">
        <v>1316</v>
      </c>
      <c r="C64" s="96"/>
      <c r="D64" s="65">
        <v>1</v>
      </c>
      <c r="E64" s="66">
        <v>13868</v>
      </c>
      <c r="F64" s="67">
        <f t="shared" si="0"/>
        <v>13868</v>
      </c>
      <c r="G64" s="67">
        <f t="shared" si="1"/>
        <v>166416</v>
      </c>
    </row>
    <row r="65" spans="1:7" ht="38.25" customHeight="1">
      <c r="A65" s="64" t="s">
        <v>1273</v>
      </c>
      <c r="B65" s="64" t="s">
        <v>1317</v>
      </c>
      <c r="C65" s="96"/>
      <c r="D65" s="65">
        <v>1</v>
      </c>
      <c r="E65" s="66">
        <v>25800</v>
      </c>
      <c r="F65" s="67">
        <f t="shared" si="0"/>
        <v>25800</v>
      </c>
      <c r="G65" s="67">
        <f t="shared" si="1"/>
        <v>309600</v>
      </c>
    </row>
    <row r="66" spans="1:7" ht="38.25" customHeight="1">
      <c r="A66" s="64" t="s">
        <v>1258</v>
      </c>
      <c r="B66" s="64" t="s">
        <v>1317</v>
      </c>
      <c r="C66" s="96"/>
      <c r="D66" s="65">
        <v>2</v>
      </c>
      <c r="E66" s="66">
        <v>6676</v>
      </c>
      <c r="F66" s="67">
        <f t="shared" si="0"/>
        <v>13352</v>
      </c>
      <c r="G66" s="67">
        <f t="shared" si="1"/>
        <v>160224</v>
      </c>
    </row>
    <row r="67" spans="1:7" ht="38.25" customHeight="1">
      <c r="A67" s="64" t="s">
        <v>1318</v>
      </c>
      <c r="B67" s="64" t="s">
        <v>1317</v>
      </c>
      <c r="C67" s="96"/>
      <c r="D67" s="65">
        <v>52</v>
      </c>
      <c r="E67" s="66">
        <v>6388</v>
      </c>
      <c r="F67" s="67">
        <f t="shared" si="0"/>
        <v>332176</v>
      </c>
      <c r="G67" s="67">
        <f t="shared" si="1"/>
        <v>3986112</v>
      </c>
    </row>
    <row r="68" spans="1:7" ht="38.25" customHeight="1">
      <c r="A68" s="64" t="s">
        <v>1319</v>
      </c>
      <c r="B68" s="64" t="s">
        <v>1317</v>
      </c>
      <c r="C68" s="96"/>
      <c r="D68" s="65">
        <v>9</v>
      </c>
      <c r="E68" s="66">
        <v>8736</v>
      </c>
      <c r="F68" s="67">
        <f>D68*E68</f>
        <v>78624</v>
      </c>
      <c r="G68" s="67">
        <f>F68*12</f>
        <v>943488</v>
      </c>
    </row>
    <row r="69" spans="1:7" ht="38.25" customHeight="1">
      <c r="A69" s="64" t="s">
        <v>1320</v>
      </c>
      <c r="B69" s="64" t="s">
        <v>1317</v>
      </c>
      <c r="C69" s="96"/>
      <c r="D69" s="65">
        <v>1</v>
      </c>
      <c r="E69" s="66">
        <v>9828</v>
      </c>
      <c r="F69" s="67">
        <f>D69*E69</f>
        <v>9828</v>
      </c>
      <c r="G69" s="67">
        <f>F69*12</f>
        <v>117936</v>
      </c>
    </row>
    <row r="70" spans="1:7" ht="38.25" customHeight="1">
      <c r="A70" s="64" t="s">
        <v>1321</v>
      </c>
      <c r="B70" s="64" t="s">
        <v>1317</v>
      </c>
      <c r="C70" s="96"/>
      <c r="D70" s="65">
        <v>1</v>
      </c>
      <c r="E70" s="66">
        <v>12612</v>
      </c>
      <c r="F70" s="67">
        <f>D70*E70</f>
        <v>12612</v>
      </c>
      <c r="G70" s="67">
        <f>F70*12</f>
        <v>151344</v>
      </c>
    </row>
    <row r="71" spans="1:7" ht="38.25" customHeight="1">
      <c r="A71" s="64" t="s">
        <v>1322</v>
      </c>
      <c r="B71" s="64" t="s">
        <v>1317</v>
      </c>
      <c r="C71" s="96"/>
      <c r="D71" s="65">
        <v>1</v>
      </c>
      <c r="E71" s="66">
        <f>2005*2</f>
        <v>4010</v>
      </c>
      <c r="F71" s="67">
        <f aca="true" t="shared" si="2" ref="F71:F87">D71*E71</f>
        <v>4010</v>
      </c>
      <c r="G71" s="67">
        <f aca="true" t="shared" si="3" ref="G71:G87">F71*12</f>
        <v>48120</v>
      </c>
    </row>
    <row r="72" spans="1:7" ht="38.25" customHeight="1">
      <c r="A72" s="64" t="s">
        <v>1322</v>
      </c>
      <c r="B72" s="64" t="s">
        <v>1317</v>
      </c>
      <c r="C72" s="96"/>
      <c r="D72" s="65">
        <v>1</v>
      </c>
      <c r="E72" s="66">
        <f>2106*2</f>
        <v>4212</v>
      </c>
      <c r="F72" s="67">
        <f t="shared" si="2"/>
        <v>4212</v>
      </c>
      <c r="G72" s="67">
        <f t="shared" si="3"/>
        <v>50544</v>
      </c>
    </row>
    <row r="73" spans="1:7" ht="38.25" customHeight="1">
      <c r="A73" s="64" t="s">
        <v>1325</v>
      </c>
      <c r="B73" s="64" t="s">
        <v>1324</v>
      </c>
      <c r="C73" s="96"/>
      <c r="D73" s="65">
        <v>1</v>
      </c>
      <c r="E73" s="66">
        <f>7440*2</f>
        <v>14880</v>
      </c>
      <c r="F73" s="67">
        <f t="shared" si="2"/>
        <v>14880</v>
      </c>
      <c r="G73" s="67">
        <f t="shared" si="3"/>
        <v>178560</v>
      </c>
    </row>
    <row r="74" spans="1:7" ht="38.25" customHeight="1">
      <c r="A74" s="64" t="s">
        <v>1326</v>
      </c>
      <c r="B74" s="64" t="s">
        <v>1324</v>
      </c>
      <c r="C74" s="96"/>
      <c r="D74" s="65">
        <v>1</v>
      </c>
      <c r="E74" s="66">
        <v>14880</v>
      </c>
      <c r="F74" s="67">
        <f t="shared" si="2"/>
        <v>14880</v>
      </c>
      <c r="G74" s="67">
        <f t="shared" si="3"/>
        <v>178560</v>
      </c>
    </row>
    <row r="75" spans="1:7" ht="38.25" customHeight="1">
      <c r="A75" s="64" t="s">
        <v>1293</v>
      </c>
      <c r="B75" s="64" t="s">
        <v>1324</v>
      </c>
      <c r="C75" s="96"/>
      <c r="D75" s="65">
        <v>1</v>
      </c>
      <c r="E75" s="66">
        <f>3194*2</f>
        <v>6388</v>
      </c>
      <c r="F75" s="67">
        <f t="shared" si="2"/>
        <v>6388</v>
      </c>
      <c r="G75" s="67">
        <f t="shared" si="3"/>
        <v>76656</v>
      </c>
    </row>
    <row r="76" spans="1:7" ht="38.25" customHeight="1">
      <c r="A76" s="64" t="s">
        <v>1273</v>
      </c>
      <c r="B76" s="64" t="s">
        <v>1327</v>
      </c>
      <c r="C76" s="96"/>
      <c r="D76" s="65">
        <v>1</v>
      </c>
      <c r="E76" s="66">
        <f>9477*2</f>
        <v>18954</v>
      </c>
      <c r="F76" s="67">
        <f t="shared" si="2"/>
        <v>18954</v>
      </c>
      <c r="G76" s="67">
        <f t="shared" si="3"/>
        <v>227448</v>
      </c>
    </row>
    <row r="77" spans="1:7" ht="38.25" customHeight="1">
      <c r="A77" s="64" t="s">
        <v>1258</v>
      </c>
      <c r="B77" s="64" t="s">
        <v>1327</v>
      </c>
      <c r="C77" s="96"/>
      <c r="D77" s="65">
        <v>1</v>
      </c>
      <c r="E77" s="66">
        <f>3354*2</f>
        <v>6708</v>
      </c>
      <c r="F77" s="67">
        <f t="shared" si="2"/>
        <v>6708</v>
      </c>
      <c r="G77" s="67">
        <f t="shared" si="3"/>
        <v>80496</v>
      </c>
    </row>
    <row r="78" spans="1:7" ht="38.25" customHeight="1">
      <c r="A78" s="64" t="s">
        <v>1258</v>
      </c>
      <c r="B78" s="64" t="s">
        <v>1327</v>
      </c>
      <c r="C78" s="96"/>
      <c r="D78" s="65">
        <v>1</v>
      </c>
      <c r="E78" s="66">
        <f>4476*2</f>
        <v>8952</v>
      </c>
      <c r="F78" s="67">
        <f t="shared" si="2"/>
        <v>8952</v>
      </c>
      <c r="G78" s="67">
        <f t="shared" si="3"/>
        <v>107424</v>
      </c>
    </row>
    <row r="79" spans="1:7" ht="38.25" customHeight="1">
      <c r="A79" s="64" t="s">
        <v>1328</v>
      </c>
      <c r="B79" s="64" t="s">
        <v>1329</v>
      </c>
      <c r="C79" s="96"/>
      <c r="D79" s="65">
        <v>1</v>
      </c>
      <c r="E79" s="66">
        <f>6007*2</f>
        <v>12014</v>
      </c>
      <c r="F79" s="67">
        <f t="shared" si="2"/>
        <v>12014</v>
      </c>
      <c r="G79" s="67">
        <f t="shared" si="3"/>
        <v>144168</v>
      </c>
    </row>
    <row r="80" spans="1:7" ht="38.25" customHeight="1">
      <c r="A80" s="64" t="s">
        <v>1330</v>
      </c>
      <c r="B80" s="64" t="s">
        <v>1331</v>
      </c>
      <c r="C80" s="96"/>
      <c r="D80" s="65">
        <v>1</v>
      </c>
      <c r="E80" s="66">
        <f>4368*2</f>
        <v>8736</v>
      </c>
      <c r="F80" s="67">
        <f t="shared" si="2"/>
        <v>8736</v>
      </c>
      <c r="G80" s="67">
        <f t="shared" si="3"/>
        <v>104832</v>
      </c>
    </row>
    <row r="81" spans="1:7" ht="38.25" customHeight="1">
      <c r="A81" s="64" t="s">
        <v>1330</v>
      </c>
      <c r="B81" s="64" t="s">
        <v>1331</v>
      </c>
      <c r="C81" s="96"/>
      <c r="D81" s="65">
        <v>1</v>
      </c>
      <c r="E81" s="66">
        <v>7000</v>
      </c>
      <c r="F81" s="67">
        <f t="shared" si="2"/>
        <v>7000</v>
      </c>
      <c r="G81" s="67">
        <f t="shared" si="3"/>
        <v>84000</v>
      </c>
    </row>
    <row r="82" spans="1:7" ht="38.25" customHeight="1">
      <c r="A82" s="64" t="s">
        <v>1330</v>
      </c>
      <c r="B82" s="64" t="s">
        <v>1331</v>
      </c>
      <c r="C82" s="96"/>
      <c r="D82" s="65">
        <v>1</v>
      </c>
      <c r="E82" s="66">
        <v>6208</v>
      </c>
      <c r="F82" s="67">
        <f t="shared" si="2"/>
        <v>6208</v>
      </c>
      <c r="G82" s="67">
        <f t="shared" si="3"/>
        <v>74496</v>
      </c>
    </row>
    <row r="83" spans="1:7" ht="38.25" customHeight="1">
      <c r="A83" s="64" t="s">
        <v>1332</v>
      </c>
      <c r="B83" s="64" t="s">
        <v>1331</v>
      </c>
      <c r="C83" s="96"/>
      <c r="D83" s="65">
        <v>1</v>
      </c>
      <c r="E83" s="66">
        <f>4132*2</f>
        <v>8264</v>
      </c>
      <c r="F83" s="67">
        <f t="shared" si="2"/>
        <v>8264</v>
      </c>
      <c r="G83" s="67">
        <f t="shared" si="3"/>
        <v>99168</v>
      </c>
    </row>
    <row r="84" spans="1:7" ht="38.25" customHeight="1">
      <c r="A84" s="64" t="s">
        <v>1333</v>
      </c>
      <c r="B84" s="64" t="s">
        <v>1331</v>
      </c>
      <c r="C84" s="96"/>
      <c r="D84" s="65">
        <v>8</v>
      </c>
      <c r="E84" s="66">
        <f>3213*2</f>
        <v>6426</v>
      </c>
      <c r="F84" s="67">
        <f t="shared" si="2"/>
        <v>51408</v>
      </c>
      <c r="G84" s="67">
        <f t="shared" si="3"/>
        <v>616896</v>
      </c>
    </row>
    <row r="85" spans="1:7" ht="38.25" customHeight="1">
      <c r="A85" s="64" t="s">
        <v>1334</v>
      </c>
      <c r="B85" s="64" t="s">
        <v>1331</v>
      </c>
      <c r="C85" s="96"/>
      <c r="D85" s="65">
        <v>1</v>
      </c>
      <c r="E85" s="66">
        <f>2730*2</f>
        <v>5460</v>
      </c>
      <c r="F85" s="67">
        <f t="shared" si="2"/>
        <v>5460</v>
      </c>
      <c r="G85" s="67">
        <f t="shared" si="3"/>
        <v>65520</v>
      </c>
    </row>
    <row r="86" spans="1:7" ht="38.25" customHeight="1">
      <c r="A86" s="64" t="s">
        <v>1335</v>
      </c>
      <c r="B86" s="64" t="s">
        <v>1331</v>
      </c>
      <c r="C86" s="96"/>
      <c r="D86" s="65">
        <v>1</v>
      </c>
      <c r="E86" s="66">
        <f>5460*2</f>
        <v>10920</v>
      </c>
      <c r="F86" s="67">
        <f t="shared" si="2"/>
        <v>10920</v>
      </c>
      <c r="G86" s="67">
        <f t="shared" si="3"/>
        <v>131040</v>
      </c>
    </row>
    <row r="87" spans="1:7" ht="38.25" customHeight="1">
      <c r="A87" s="64" t="s">
        <v>1336</v>
      </c>
      <c r="B87" s="64" t="s">
        <v>1331</v>
      </c>
      <c r="C87" s="96"/>
      <c r="D87" s="65">
        <v>1</v>
      </c>
      <c r="E87" s="66">
        <f>5460*2</f>
        <v>10920</v>
      </c>
      <c r="F87" s="67">
        <f t="shared" si="2"/>
        <v>10920</v>
      </c>
      <c r="G87" s="67">
        <f t="shared" si="3"/>
        <v>131040</v>
      </c>
    </row>
    <row r="88" spans="1:7" ht="38.25" customHeight="1">
      <c r="A88" s="64" t="s">
        <v>1334</v>
      </c>
      <c r="B88" s="64" t="s">
        <v>1331</v>
      </c>
      <c r="C88" s="96"/>
      <c r="D88" s="65">
        <v>2</v>
      </c>
      <c r="E88" s="66">
        <f>2746*2</f>
        <v>5492</v>
      </c>
      <c r="F88" s="67">
        <f aca="true" t="shared" si="4" ref="F88:F97">D88*E88</f>
        <v>10984</v>
      </c>
      <c r="G88" s="67">
        <f aca="true" t="shared" si="5" ref="G88:G97">F88*12</f>
        <v>131808</v>
      </c>
    </row>
    <row r="89" spans="1:7" ht="38.25" customHeight="1">
      <c r="A89" s="64" t="s">
        <v>1334</v>
      </c>
      <c r="B89" s="64" t="s">
        <v>1331</v>
      </c>
      <c r="C89" s="96"/>
      <c r="D89" s="65">
        <v>1</v>
      </c>
      <c r="E89" s="66">
        <f>3494*2</f>
        <v>6988</v>
      </c>
      <c r="F89" s="67">
        <f t="shared" si="4"/>
        <v>6988</v>
      </c>
      <c r="G89" s="67">
        <f t="shared" si="5"/>
        <v>83856</v>
      </c>
    </row>
    <row r="90" spans="1:7" ht="38.25" customHeight="1">
      <c r="A90" s="64" t="s">
        <v>1334</v>
      </c>
      <c r="B90" s="64" t="s">
        <v>1331</v>
      </c>
      <c r="C90" s="96"/>
      <c r="D90" s="65">
        <v>1</v>
      </c>
      <c r="E90" s="66">
        <f>3426*2</f>
        <v>6852</v>
      </c>
      <c r="F90" s="67">
        <f t="shared" si="4"/>
        <v>6852</v>
      </c>
      <c r="G90" s="67">
        <f t="shared" si="5"/>
        <v>82224</v>
      </c>
    </row>
    <row r="91" spans="1:7" ht="38.25" customHeight="1">
      <c r="A91" s="64" t="s">
        <v>1337</v>
      </c>
      <c r="B91" s="64" t="s">
        <v>1331</v>
      </c>
      <c r="C91" s="96"/>
      <c r="D91" s="65">
        <v>1</v>
      </c>
      <c r="E91" s="66">
        <f>4214*2</f>
        <v>8428</v>
      </c>
      <c r="F91" s="67">
        <f t="shared" si="4"/>
        <v>8428</v>
      </c>
      <c r="G91" s="67">
        <f t="shared" si="5"/>
        <v>101136</v>
      </c>
    </row>
    <row r="92" spans="1:7" ht="38.25" customHeight="1">
      <c r="A92" s="64" t="s">
        <v>1338</v>
      </c>
      <c r="B92" s="64" t="s">
        <v>1339</v>
      </c>
      <c r="C92" s="96"/>
      <c r="D92" s="65">
        <v>1</v>
      </c>
      <c r="E92" s="66">
        <f>6934*2</f>
        <v>13868</v>
      </c>
      <c r="F92" s="67">
        <f t="shared" si="4"/>
        <v>13868</v>
      </c>
      <c r="G92" s="67">
        <f t="shared" si="5"/>
        <v>166416</v>
      </c>
    </row>
    <row r="93" spans="1:7" ht="38.25" customHeight="1">
      <c r="A93" s="64" t="s">
        <v>1340</v>
      </c>
      <c r="B93" s="64" t="s">
        <v>1339</v>
      </c>
      <c r="C93" s="96"/>
      <c r="D93" s="65">
        <v>1</v>
      </c>
      <c r="E93" s="66">
        <f>7440*2</f>
        <v>14880</v>
      </c>
      <c r="F93" s="67">
        <f t="shared" si="4"/>
        <v>14880</v>
      </c>
      <c r="G93" s="67">
        <f t="shared" si="5"/>
        <v>178560</v>
      </c>
    </row>
    <row r="94" spans="1:7" ht="38.25" customHeight="1">
      <c r="A94" s="64" t="s">
        <v>1269</v>
      </c>
      <c r="B94" s="64" t="s">
        <v>1339</v>
      </c>
      <c r="C94" s="96"/>
      <c r="D94" s="65">
        <v>1</v>
      </c>
      <c r="E94" s="66">
        <f>4816*2</f>
        <v>9632</v>
      </c>
      <c r="F94" s="67">
        <f t="shared" si="4"/>
        <v>9632</v>
      </c>
      <c r="G94" s="67">
        <f t="shared" si="5"/>
        <v>115584</v>
      </c>
    </row>
    <row r="95" spans="1:7" ht="38.25" customHeight="1">
      <c r="A95" s="64" t="s">
        <v>1258</v>
      </c>
      <c r="B95" s="64" t="s">
        <v>1339</v>
      </c>
      <c r="C95" s="96"/>
      <c r="D95" s="65">
        <v>1</v>
      </c>
      <c r="E95" s="66">
        <f>3366*2</f>
        <v>6732</v>
      </c>
      <c r="F95" s="67">
        <f t="shared" si="4"/>
        <v>6732</v>
      </c>
      <c r="G95" s="67">
        <f t="shared" si="5"/>
        <v>80784</v>
      </c>
    </row>
    <row r="96" spans="1:7" ht="38.25" customHeight="1">
      <c r="A96" s="64" t="s">
        <v>1341</v>
      </c>
      <c r="B96" s="64" t="s">
        <v>1339</v>
      </c>
      <c r="C96" s="96"/>
      <c r="D96" s="65">
        <v>1</v>
      </c>
      <c r="E96" s="66">
        <v>13868</v>
      </c>
      <c r="F96" s="67">
        <f t="shared" si="4"/>
        <v>13868</v>
      </c>
      <c r="G96" s="67">
        <f t="shared" si="5"/>
        <v>166416</v>
      </c>
    </row>
    <row r="97" spans="1:7" ht="38.25" customHeight="1">
      <c r="A97" s="64" t="s">
        <v>1342</v>
      </c>
      <c r="B97" s="64" t="s">
        <v>1343</v>
      </c>
      <c r="C97" s="96"/>
      <c r="D97" s="65">
        <v>1</v>
      </c>
      <c r="E97" s="66">
        <f>8205*2</f>
        <v>16410</v>
      </c>
      <c r="F97" s="67">
        <f t="shared" si="4"/>
        <v>16410</v>
      </c>
      <c r="G97" s="67">
        <f t="shared" si="5"/>
        <v>196920</v>
      </c>
    </row>
    <row r="98" spans="1:11" s="71" customFormat="1" ht="38.25" customHeight="1">
      <c r="A98" s="64" t="s">
        <v>1344</v>
      </c>
      <c r="B98" s="64" t="s">
        <v>1345</v>
      </c>
      <c r="C98" s="96"/>
      <c r="D98" s="65">
        <v>1</v>
      </c>
      <c r="E98" s="66">
        <v>13868</v>
      </c>
      <c r="F98" s="67">
        <f aca="true" t="shared" si="6" ref="F98:F121">D98*E98</f>
        <v>13868</v>
      </c>
      <c r="G98" s="67">
        <f aca="true" t="shared" si="7" ref="G98:G121">F98*12</f>
        <v>166416</v>
      </c>
      <c r="H98" s="70"/>
      <c r="K98" s="71">
        <v>101</v>
      </c>
    </row>
    <row r="99" spans="1:11" s="71" customFormat="1" ht="38.25" customHeight="1">
      <c r="A99" s="64" t="s">
        <v>1273</v>
      </c>
      <c r="B99" s="64" t="s">
        <v>1346</v>
      </c>
      <c r="C99" s="96"/>
      <c r="D99" s="65">
        <v>1</v>
      </c>
      <c r="E99" s="66">
        <v>13868</v>
      </c>
      <c r="F99" s="67">
        <f t="shared" si="6"/>
        <v>13868</v>
      </c>
      <c r="G99" s="67">
        <f t="shared" si="7"/>
        <v>166416</v>
      </c>
      <c r="H99" s="70"/>
      <c r="K99" s="71">
        <v>102</v>
      </c>
    </row>
    <row r="100" spans="1:11" s="71" customFormat="1" ht="38.25" customHeight="1">
      <c r="A100" s="64" t="s">
        <v>1347</v>
      </c>
      <c r="B100" s="64" t="s">
        <v>1348</v>
      </c>
      <c r="C100" s="96"/>
      <c r="D100" s="65">
        <v>1</v>
      </c>
      <c r="E100" s="66">
        <v>13868</v>
      </c>
      <c r="F100" s="67">
        <f t="shared" si="6"/>
        <v>13868</v>
      </c>
      <c r="G100" s="67">
        <f t="shared" si="7"/>
        <v>166416</v>
      </c>
      <c r="H100" s="70"/>
      <c r="K100" s="71">
        <v>199</v>
      </c>
    </row>
    <row r="101" spans="1:11" s="71" customFormat="1" ht="38.25" customHeight="1">
      <c r="A101" s="64" t="s">
        <v>1258</v>
      </c>
      <c r="B101" s="64" t="s">
        <v>1348</v>
      </c>
      <c r="C101" s="96"/>
      <c r="D101" s="65">
        <v>1</v>
      </c>
      <c r="E101" s="66">
        <f>2691*2</f>
        <v>5382</v>
      </c>
      <c r="F101" s="67">
        <f t="shared" si="6"/>
        <v>5382</v>
      </c>
      <c r="G101" s="67">
        <f t="shared" si="7"/>
        <v>64584</v>
      </c>
      <c r="H101" s="70"/>
      <c r="K101" s="71">
        <v>202</v>
      </c>
    </row>
    <row r="102" spans="1:11" s="71" customFormat="1" ht="38.25" customHeight="1">
      <c r="A102" s="64" t="s">
        <v>1349</v>
      </c>
      <c r="B102" s="64" t="s">
        <v>1350</v>
      </c>
      <c r="C102" s="96"/>
      <c r="D102" s="65">
        <v>1</v>
      </c>
      <c r="E102" s="66">
        <f>5662*2</f>
        <v>11324</v>
      </c>
      <c r="F102" s="67">
        <f t="shared" si="6"/>
        <v>11324</v>
      </c>
      <c r="G102" s="67">
        <f t="shared" si="7"/>
        <v>135888</v>
      </c>
      <c r="H102" s="70"/>
      <c r="K102" s="71">
        <v>204</v>
      </c>
    </row>
    <row r="103" spans="1:11" s="71" customFormat="1" ht="38.25" customHeight="1">
      <c r="A103" s="64" t="s">
        <v>1273</v>
      </c>
      <c r="B103" s="64" t="s">
        <v>1351</v>
      </c>
      <c r="C103" s="96"/>
      <c r="D103" s="65">
        <v>1</v>
      </c>
      <c r="E103" s="66">
        <f>8205*2</f>
        <v>16410</v>
      </c>
      <c r="F103" s="67">
        <f t="shared" si="6"/>
        <v>16410</v>
      </c>
      <c r="G103" s="67">
        <f t="shared" si="7"/>
        <v>196920</v>
      </c>
      <c r="H103" s="70"/>
      <c r="K103" s="71">
        <v>206</v>
      </c>
    </row>
    <row r="104" spans="1:8" s="71" customFormat="1" ht="38.25" customHeight="1">
      <c r="A104" s="64" t="s">
        <v>1352</v>
      </c>
      <c r="B104" s="64" t="s">
        <v>1351</v>
      </c>
      <c r="C104" s="96"/>
      <c r="D104" s="65">
        <v>1</v>
      </c>
      <c r="E104" s="66">
        <v>13868</v>
      </c>
      <c r="F104" s="67">
        <f t="shared" si="6"/>
        <v>13868</v>
      </c>
      <c r="G104" s="67">
        <f>F104*12</f>
        <v>166416</v>
      </c>
      <c r="H104" s="70"/>
    </row>
    <row r="105" spans="1:11" s="71" customFormat="1" ht="38.25" customHeight="1">
      <c r="A105" s="64" t="s">
        <v>1269</v>
      </c>
      <c r="B105" s="64" t="s">
        <v>1351</v>
      </c>
      <c r="C105" s="96"/>
      <c r="D105" s="65">
        <v>1</v>
      </c>
      <c r="E105" s="66">
        <f>4214*2</f>
        <v>8428</v>
      </c>
      <c r="F105" s="67">
        <f t="shared" si="6"/>
        <v>8428</v>
      </c>
      <c r="G105" s="67">
        <f t="shared" si="7"/>
        <v>101136</v>
      </c>
      <c r="H105" s="70"/>
      <c r="K105" s="71">
        <v>208</v>
      </c>
    </row>
    <row r="106" spans="1:11" s="71" customFormat="1" ht="38.25" customHeight="1">
      <c r="A106" s="64" t="s">
        <v>1269</v>
      </c>
      <c r="B106" s="64" t="s">
        <v>1351</v>
      </c>
      <c r="C106" s="96"/>
      <c r="D106" s="65">
        <v>1</v>
      </c>
      <c r="E106" s="66">
        <f>2730*2</f>
        <v>5460</v>
      </c>
      <c r="F106" s="67">
        <f t="shared" si="6"/>
        <v>5460</v>
      </c>
      <c r="G106" s="67">
        <f t="shared" si="7"/>
        <v>65520</v>
      </c>
      <c r="H106" s="70"/>
      <c r="K106" s="71">
        <v>210</v>
      </c>
    </row>
    <row r="107" spans="1:11" s="71" customFormat="1" ht="38.25" customHeight="1">
      <c r="A107" s="64" t="s">
        <v>1353</v>
      </c>
      <c r="B107" s="64" t="s">
        <v>1354</v>
      </c>
      <c r="C107" s="96"/>
      <c r="D107" s="65">
        <v>1</v>
      </c>
      <c r="E107" s="66">
        <f>3354*2</f>
        <v>6708</v>
      </c>
      <c r="F107" s="67">
        <f t="shared" si="6"/>
        <v>6708</v>
      </c>
      <c r="G107" s="67">
        <f t="shared" si="7"/>
        <v>80496</v>
      </c>
      <c r="H107" s="70"/>
      <c r="K107" s="71">
        <v>212</v>
      </c>
    </row>
    <row r="108" spans="1:11" s="71" customFormat="1" ht="38.25" customHeight="1">
      <c r="A108" s="64" t="s">
        <v>1353</v>
      </c>
      <c r="B108" s="64" t="s">
        <v>1354</v>
      </c>
      <c r="C108" s="96"/>
      <c r="D108" s="65">
        <v>1</v>
      </c>
      <c r="E108" s="66">
        <f>2621*2</f>
        <v>5242</v>
      </c>
      <c r="F108" s="67">
        <f t="shared" si="6"/>
        <v>5242</v>
      </c>
      <c r="G108" s="67">
        <f t="shared" si="7"/>
        <v>62904</v>
      </c>
      <c r="H108" s="70"/>
      <c r="K108" s="71">
        <v>214</v>
      </c>
    </row>
    <row r="109" spans="1:11" s="71" customFormat="1" ht="38.25" customHeight="1">
      <c r="A109" s="64" t="s">
        <v>1355</v>
      </c>
      <c r="B109" s="64" t="s">
        <v>1354</v>
      </c>
      <c r="C109" s="96"/>
      <c r="D109" s="65">
        <v>8</v>
      </c>
      <c r="E109" s="66">
        <f>1837*2</f>
        <v>3674</v>
      </c>
      <c r="F109" s="67">
        <f t="shared" si="6"/>
        <v>29392</v>
      </c>
      <c r="G109" s="67">
        <f t="shared" si="7"/>
        <v>352704</v>
      </c>
      <c r="H109" s="70"/>
      <c r="K109" s="71">
        <v>216</v>
      </c>
    </row>
    <row r="110" spans="1:11" s="71" customFormat="1" ht="38.25" customHeight="1">
      <c r="A110" s="64" t="s">
        <v>1355</v>
      </c>
      <c r="B110" s="64" t="s">
        <v>1354</v>
      </c>
      <c r="C110" s="96"/>
      <c r="D110" s="65">
        <v>1</v>
      </c>
      <c r="E110" s="66">
        <f>1966*2</f>
        <v>3932</v>
      </c>
      <c r="F110" s="67">
        <f t="shared" si="6"/>
        <v>3932</v>
      </c>
      <c r="G110" s="67">
        <f t="shared" si="7"/>
        <v>47184</v>
      </c>
      <c r="H110" s="70"/>
      <c r="K110" s="71">
        <v>218</v>
      </c>
    </row>
    <row r="111" spans="1:11" s="71" customFormat="1" ht="38.25" customHeight="1">
      <c r="A111" s="64" t="s">
        <v>1334</v>
      </c>
      <c r="B111" s="64" t="s">
        <v>1354</v>
      </c>
      <c r="C111" s="96"/>
      <c r="D111" s="65">
        <v>1</v>
      </c>
      <c r="E111" s="66">
        <f>2746*2</f>
        <v>5492</v>
      </c>
      <c r="F111" s="67">
        <f t="shared" si="6"/>
        <v>5492</v>
      </c>
      <c r="G111" s="67">
        <f t="shared" si="7"/>
        <v>65904</v>
      </c>
      <c r="H111" s="70"/>
      <c r="K111" s="71">
        <v>220</v>
      </c>
    </row>
    <row r="112" spans="1:11" s="71" customFormat="1" ht="38.25" customHeight="1">
      <c r="A112" s="64" t="s">
        <v>1334</v>
      </c>
      <c r="B112" s="64" t="s">
        <v>1354</v>
      </c>
      <c r="C112" s="96"/>
      <c r="D112" s="65">
        <v>1</v>
      </c>
      <c r="E112" s="66">
        <f>2372*2</f>
        <v>4744</v>
      </c>
      <c r="F112" s="67">
        <f t="shared" si="6"/>
        <v>4744</v>
      </c>
      <c r="G112" s="67">
        <f t="shared" si="7"/>
        <v>56928</v>
      </c>
      <c r="H112" s="70"/>
      <c r="K112" s="71">
        <v>222</v>
      </c>
    </row>
    <row r="113" spans="1:11" s="71" customFormat="1" ht="38.25" customHeight="1">
      <c r="A113" s="64" t="s">
        <v>1334</v>
      </c>
      <c r="B113" s="64" t="s">
        <v>1354</v>
      </c>
      <c r="C113" s="96"/>
      <c r="D113" s="65">
        <v>1</v>
      </c>
      <c r="E113" s="66">
        <f>1993*2</f>
        <v>3986</v>
      </c>
      <c r="F113" s="67">
        <f t="shared" si="6"/>
        <v>3986</v>
      </c>
      <c r="G113" s="67">
        <f t="shared" si="7"/>
        <v>47832</v>
      </c>
      <c r="H113" s="70"/>
      <c r="K113" s="71">
        <v>224</v>
      </c>
    </row>
    <row r="114" spans="1:12" s="71" customFormat="1" ht="38.25" customHeight="1">
      <c r="A114" s="64" t="s">
        <v>1353</v>
      </c>
      <c r="B114" s="64" t="s">
        <v>1354</v>
      </c>
      <c r="C114" s="96"/>
      <c r="D114" s="65">
        <v>6</v>
      </c>
      <c r="E114" s="66">
        <f>1837*2</f>
        <v>3674</v>
      </c>
      <c r="F114" s="67">
        <f t="shared" si="6"/>
        <v>22044</v>
      </c>
      <c r="G114" s="67">
        <f t="shared" si="7"/>
        <v>264528</v>
      </c>
      <c r="H114" s="70"/>
      <c r="K114" s="69">
        <v>226</v>
      </c>
      <c r="L114" s="69"/>
    </row>
    <row r="115" spans="1:12" s="71" customFormat="1" ht="38.25" customHeight="1">
      <c r="A115" s="64" t="s">
        <v>1353</v>
      </c>
      <c r="B115" s="64" t="s">
        <v>1354</v>
      </c>
      <c r="C115" s="96"/>
      <c r="D115" s="65">
        <v>1</v>
      </c>
      <c r="E115" s="66">
        <f>2113*2</f>
        <v>4226</v>
      </c>
      <c r="F115" s="67">
        <f t="shared" si="6"/>
        <v>4226</v>
      </c>
      <c r="G115" s="67">
        <f t="shared" si="7"/>
        <v>50712</v>
      </c>
      <c r="H115" s="70"/>
      <c r="K115" s="69">
        <v>228</v>
      </c>
      <c r="L115" s="69"/>
    </row>
    <row r="116" spans="1:12" s="71" customFormat="1" ht="38.25" customHeight="1">
      <c r="A116" s="64" t="s">
        <v>1353</v>
      </c>
      <c r="B116" s="64" t="s">
        <v>1354</v>
      </c>
      <c r="C116" s="96"/>
      <c r="D116" s="65">
        <v>1</v>
      </c>
      <c r="E116" s="66">
        <f>2325*2</f>
        <v>4650</v>
      </c>
      <c r="F116" s="67">
        <f t="shared" si="6"/>
        <v>4650</v>
      </c>
      <c r="G116" s="67">
        <f t="shared" si="7"/>
        <v>55800</v>
      </c>
      <c r="H116" s="70"/>
      <c r="K116" s="69"/>
      <c r="L116" s="69"/>
    </row>
    <row r="117" spans="1:12" s="71" customFormat="1" ht="38.25" customHeight="1">
      <c r="A117" s="64" t="s">
        <v>1353</v>
      </c>
      <c r="B117" s="64" t="s">
        <v>1354</v>
      </c>
      <c r="C117" s="96"/>
      <c r="D117" s="65">
        <v>1</v>
      </c>
      <c r="E117" s="66">
        <f>2031*2</f>
        <v>4062</v>
      </c>
      <c r="F117" s="67">
        <f t="shared" si="6"/>
        <v>4062</v>
      </c>
      <c r="G117" s="67">
        <f t="shared" si="7"/>
        <v>48744</v>
      </c>
      <c r="H117" s="70"/>
      <c r="K117" s="69"/>
      <c r="L117" s="69"/>
    </row>
    <row r="118" spans="1:12" s="71" customFormat="1" ht="38.25" customHeight="1">
      <c r="A118" s="64" t="s">
        <v>1355</v>
      </c>
      <c r="B118" s="64" t="s">
        <v>1354</v>
      </c>
      <c r="C118" s="96"/>
      <c r="D118" s="65">
        <v>1</v>
      </c>
      <c r="E118" s="66">
        <f>2862*2</f>
        <v>5724</v>
      </c>
      <c r="F118" s="67">
        <f t="shared" si="6"/>
        <v>5724</v>
      </c>
      <c r="G118" s="67">
        <f t="shared" si="7"/>
        <v>68688</v>
      </c>
      <c r="H118" s="70"/>
      <c r="K118" s="69"/>
      <c r="L118" s="69"/>
    </row>
    <row r="119" spans="1:12" s="71" customFormat="1" ht="38.25" customHeight="1">
      <c r="A119" s="64" t="s">
        <v>1355</v>
      </c>
      <c r="B119" s="64" t="s">
        <v>1354</v>
      </c>
      <c r="C119" s="96"/>
      <c r="D119" s="65">
        <v>1</v>
      </c>
      <c r="E119" s="66">
        <f>2046*2</f>
        <v>4092</v>
      </c>
      <c r="F119" s="67">
        <f t="shared" si="6"/>
        <v>4092</v>
      </c>
      <c r="G119" s="67">
        <f t="shared" si="7"/>
        <v>49104</v>
      </c>
      <c r="H119" s="70"/>
      <c r="K119" s="69"/>
      <c r="L119" s="69"/>
    </row>
    <row r="120" spans="1:12" s="71" customFormat="1" ht="38.25" customHeight="1">
      <c r="A120" s="64" t="s">
        <v>1355</v>
      </c>
      <c r="B120" s="64" t="s">
        <v>1354</v>
      </c>
      <c r="C120" s="96"/>
      <c r="D120" s="65">
        <v>1</v>
      </c>
      <c r="E120" s="66">
        <f>1773*2</f>
        <v>3546</v>
      </c>
      <c r="F120" s="67">
        <f t="shared" si="6"/>
        <v>3546</v>
      </c>
      <c r="G120" s="67">
        <f t="shared" si="7"/>
        <v>42552</v>
      </c>
      <c r="H120" s="70"/>
      <c r="K120" s="69"/>
      <c r="L120" s="69"/>
    </row>
    <row r="121" spans="1:12" s="71" customFormat="1" ht="38.25" customHeight="1">
      <c r="A121" s="64" t="s">
        <v>1355</v>
      </c>
      <c r="B121" s="64" t="s">
        <v>1354</v>
      </c>
      <c r="C121" s="96"/>
      <c r="D121" s="65">
        <v>1</v>
      </c>
      <c r="E121" s="66">
        <f>1747*2</f>
        <v>3494</v>
      </c>
      <c r="F121" s="67">
        <f t="shared" si="6"/>
        <v>3494</v>
      </c>
      <c r="G121" s="67">
        <f t="shared" si="7"/>
        <v>41928</v>
      </c>
      <c r="H121" s="70"/>
      <c r="K121" s="69"/>
      <c r="L121" s="69"/>
    </row>
    <row r="122" spans="1:12" s="71" customFormat="1" ht="38.25" customHeight="1">
      <c r="A122" s="64" t="s">
        <v>1355</v>
      </c>
      <c r="B122" s="64" t="s">
        <v>1354</v>
      </c>
      <c r="C122" s="96"/>
      <c r="D122" s="65">
        <v>1</v>
      </c>
      <c r="E122" s="66">
        <f>2091*2</f>
        <v>4182</v>
      </c>
      <c r="F122" s="67">
        <f aca="true" t="shared" si="8" ref="F122:F186">D122*E122</f>
        <v>4182</v>
      </c>
      <c r="G122" s="67">
        <f aca="true" t="shared" si="9" ref="G122:G186">F122*12</f>
        <v>50184</v>
      </c>
      <c r="H122" s="70"/>
      <c r="K122" s="69"/>
      <c r="L122" s="69"/>
    </row>
    <row r="123" spans="1:12" s="71" customFormat="1" ht="38.25" customHeight="1">
      <c r="A123" s="64" t="s">
        <v>1355</v>
      </c>
      <c r="B123" s="64" t="s">
        <v>1354</v>
      </c>
      <c r="C123" s="96"/>
      <c r="D123" s="65">
        <v>1</v>
      </c>
      <c r="E123" s="66">
        <f>2637*2</f>
        <v>5274</v>
      </c>
      <c r="F123" s="67">
        <f t="shared" si="8"/>
        <v>5274</v>
      </c>
      <c r="G123" s="67">
        <f t="shared" si="9"/>
        <v>63288</v>
      </c>
      <c r="H123" s="70"/>
      <c r="K123" s="69"/>
      <c r="L123" s="69"/>
    </row>
    <row r="124" spans="1:12" s="71" customFormat="1" ht="38.25" customHeight="1">
      <c r="A124" s="64" t="s">
        <v>1355</v>
      </c>
      <c r="B124" s="64" t="s">
        <v>1354</v>
      </c>
      <c r="C124" s="96"/>
      <c r="D124" s="65">
        <v>1</v>
      </c>
      <c r="E124" s="66">
        <f>1364*2</f>
        <v>2728</v>
      </c>
      <c r="F124" s="67">
        <f t="shared" si="8"/>
        <v>2728</v>
      </c>
      <c r="G124" s="67">
        <f t="shared" si="9"/>
        <v>32736</v>
      </c>
      <c r="H124" s="70"/>
      <c r="K124" s="69"/>
      <c r="L124" s="69"/>
    </row>
    <row r="125" spans="1:12" s="71" customFormat="1" ht="38.25" customHeight="1">
      <c r="A125" s="64" t="s">
        <v>1356</v>
      </c>
      <c r="B125" s="64" t="s">
        <v>1354</v>
      </c>
      <c r="C125" s="96"/>
      <c r="D125" s="65">
        <v>1</v>
      </c>
      <c r="E125" s="66">
        <f>2091*2</f>
        <v>4182</v>
      </c>
      <c r="F125" s="67">
        <f t="shared" si="8"/>
        <v>4182</v>
      </c>
      <c r="G125" s="67">
        <f t="shared" si="9"/>
        <v>50184</v>
      </c>
      <c r="H125" s="70"/>
      <c r="K125" s="69"/>
      <c r="L125" s="69"/>
    </row>
    <row r="126" spans="1:12" s="71" customFormat="1" ht="38.25" customHeight="1">
      <c r="A126" s="64" t="s">
        <v>1353</v>
      </c>
      <c r="B126" s="64" t="s">
        <v>1354</v>
      </c>
      <c r="C126" s="96"/>
      <c r="D126" s="65">
        <v>2</v>
      </c>
      <c r="E126" s="66">
        <f>2091*2</f>
        <v>4182</v>
      </c>
      <c r="F126" s="67">
        <f t="shared" si="8"/>
        <v>8364</v>
      </c>
      <c r="G126" s="67">
        <f t="shared" si="9"/>
        <v>100368</v>
      </c>
      <c r="H126" s="70"/>
      <c r="K126" s="69"/>
      <c r="L126" s="69"/>
    </row>
    <row r="127" spans="1:12" s="71" customFormat="1" ht="38.25" customHeight="1">
      <c r="A127" s="64" t="s">
        <v>1332</v>
      </c>
      <c r="B127" s="64" t="s">
        <v>1357</v>
      </c>
      <c r="C127" s="96"/>
      <c r="D127" s="65">
        <v>1</v>
      </c>
      <c r="E127" s="66">
        <f>3354*2</f>
        <v>6708</v>
      </c>
      <c r="F127" s="67">
        <f t="shared" si="8"/>
        <v>6708</v>
      </c>
      <c r="G127" s="67">
        <f t="shared" si="9"/>
        <v>80496</v>
      </c>
      <c r="H127" s="70"/>
      <c r="K127" s="69"/>
      <c r="L127" s="69"/>
    </row>
    <row r="128" spans="1:12" s="71" customFormat="1" ht="38.25" customHeight="1">
      <c r="A128" s="64" t="s">
        <v>1356</v>
      </c>
      <c r="B128" s="64" t="s">
        <v>1357</v>
      </c>
      <c r="C128" s="96"/>
      <c r="D128" s="65">
        <v>1</v>
      </c>
      <c r="E128" s="66">
        <f>2184*2</f>
        <v>4368</v>
      </c>
      <c r="F128" s="67">
        <f t="shared" si="8"/>
        <v>4368</v>
      </c>
      <c r="G128" s="67">
        <f t="shared" si="9"/>
        <v>52416</v>
      </c>
      <c r="H128" s="70"/>
      <c r="K128" s="69"/>
      <c r="L128" s="69"/>
    </row>
    <row r="129" spans="1:12" s="71" customFormat="1" ht="38.25" customHeight="1">
      <c r="A129" s="64" t="s">
        <v>1356</v>
      </c>
      <c r="B129" s="64" t="s">
        <v>1357</v>
      </c>
      <c r="C129" s="96"/>
      <c r="D129" s="65">
        <v>1</v>
      </c>
      <c r="E129" s="66">
        <f>2995*2</f>
        <v>5990</v>
      </c>
      <c r="F129" s="67">
        <f t="shared" si="8"/>
        <v>5990</v>
      </c>
      <c r="G129" s="67">
        <f t="shared" si="9"/>
        <v>71880</v>
      </c>
      <c r="H129" s="70"/>
      <c r="K129" s="69"/>
      <c r="L129" s="69"/>
    </row>
    <row r="130" spans="1:12" s="71" customFormat="1" ht="38.25" customHeight="1">
      <c r="A130" s="64" t="s">
        <v>1356</v>
      </c>
      <c r="B130" s="64" t="s">
        <v>1357</v>
      </c>
      <c r="C130" s="96"/>
      <c r="D130" s="65">
        <v>1</v>
      </c>
      <c r="E130" s="66">
        <f>2091*2</f>
        <v>4182</v>
      </c>
      <c r="F130" s="67">
        <f t="shared" si="8"/>
        <v>4182</v>
      </c>
      <c r="G130" s="67">
        <f t="shared" si="9"/>
        <v>50184</v>
      </c>
      <c r="H130" s="70"/>
      <c r="K130" s="69"/>
      <c r="L130" s="69"/>
    </row>
    <row r="131" spans="1:12" s="71" customFormat="1" ht="38.25" customHeight="1">
      <c r="A131" s="64" t="s">
        <v>1356</v>
      </c>
      <c r="B131" s="64" t="s">
        <v>1357</v>
      </c>
      <c r="C131" s="96"/>
      <c r="D131" s="65">
        <v>1</v>
      </c>
      <c r="E131" s="66">
        <f>2604*2</f>
        <v>5208</v>
      </c>
      <c r="F131" s="67">
        <f t="shared" si="8"/>
        <v>5208</v>
      </c>
      <c r="G131" s="67">
        <f t="shared" si="9"/>
        <v>62496</v>
      </c>
      <c r="H131" s="70"/>
      <c r="K131" s="69"/>
      <c r="L131" s="69"/>
    </row>
    <row r="132" spans="1:12" s="71" customFormat="1" ht="38.25" customHeight="1">
      <c r="A132" s="64" t="s">
        <v>1356</v>
      </c>
      <c r="B132" s="64" t="s">
        <v>1357</v>
      </c>
      <c r="C132" s="96"/>
      <c r="D132" s="65">
        <v>1</v>
      </c>
      <c r="E132" s="66">
        <f>3919*2</f>
        <v>7838</v>
      </c>
      <c r="F132" s="67">
        <f t="shared" si="8"/>
        <v>7838</v>
      </c>
      <c r="G132" s="67">
        <f t="shared" si="9"/>
        <v>94056</v>
      </c>
      <c r="H132" s="70"/>
      <c r="K132" s="69"/>
      <c r="L132" s="69"/>
    </row>
    <row r="133" spans="1:12" s="71" customFormat="1" ht="38.25" customHeight="1">
      <c r="A133" s="64" t="s">
        <v>1356</v>
      </c>
      <c r="B133" s="64" t="s">
        <v>1357</v>
      </c>
      <c r="C133" s="96"/>
      <c r="D133" s="65">
        <v>1</v>
      </c>
      <c r="E133" s="66">
        <f>3822*2</f>
        <v>7644</v>
      </c>
      <c r="F133" s="67">
        <f t="shared" si="8"/>
        <v>7644</v>
      </c>
      <c r="G133" s="67">
        <f t="shared" si="9"/>
        <v>91728</v>
      </c>
      <c r="H133" s="70"/>
      <c r="K133" s="69"/>
      <c r="L133" s="69"/>
    </row>
    <row r="134" spans="1:12" s="71" customFormat="1" ht="38.25" customHeight="1">
      <c r="A134" s="64" t="s">
        <v>1358</v>
      </c>
      <c r="B134" s="64" t="s">
        <v>1357</v>
      </c>
      <c r="C134" s="96"/>
      <c r="D134" s="65">
        <v>1</v>
      </c>
      <c r="E134" s="66">
        <f>3992*2</f>
        <v>7984</v>
      </c>
      <c r="F134" s="67">
        <f t="shared" si="8"/>
        <v>7984</v>
      </c>
      <c r="G134" s="67">
        <f t="shared" si="9"/>
        <v>95808</v>
      </c>
      <c r="H134" s="70"/>
      <c r="K134" s="69"/>
      <c r="L134" s="69"/>
    </row>
    <row r="135" spans="1:12" s="71" customFormat="1" ht="38.25" customHeight="1">
      <c r="A135" s="64" t="s">
        <v>1359</v>
      </c>
      <c r="B135" s="64" t="s">
        <v>1360</v>
      </c>
      <c r="C135" s="96"/>
      <c r="D135" s="65">
        <v>1</v>
      </c>
      <c r="E135" s="66">
        <f>8205*2</f>
        <v>16410</v>
      </c>
      <c r="F135" s="67">
        <f t="shared" si="8"/>
        <v>16410</v>
      </c>
      <c r="G135" s="67">
        <f t="shared" si="9"/>
        <v>196920</v>
      </c>
      <c r="H135" s="70"/>
      <c r="K135" s="69"/>
      <c r="L135" s="69"/>
    </row>
    <row r="136" spans="1:12" s="71" customFormat="1" ht="38.25" customHeight="1">
      <c r="A136" s="64" t="s">
        <v>1269</v>
      </c>
      <c r="B136" s="64" t="s">
        <v>1360</v>
      </c>
      <c r="C136" s="96"/>
      <c r="D136" s="65">
        <v>1</v>
      </c>
      <c r="E136" s="66">
        <f>1806*2</f>
        <v>3612</v>
      </c>
      <c r="F136" s="67">
        <f t="shared" si="8"/>
        <v>3612</v>
      </c>
      <c r="G136" s="67">
        <f t="shared" si="9"/>
        <v>43344</v>
      </c>
      <c r="H136" s="70"/>
      <c r="K136" s="69"/>
      <c r="L136" s="69"/>
    </row>
    <row r="137" spans="1:12" s="71" customFormat="1" ht="38.25" customHeight="1">
      <c r="A137" s="64" t="s">
        <v>1361</v>
      </c>
      <c r="B137" s="64" t="s">
        <v>1360</v>
      </c>
      <c r="C137" s="96"/>
      <c r="D137" s="65">
        <v>1</v>
      </c>
      <c r="E137" s="66">
        <f>1638*2</f>
        <v>3276</v>
      </c>
      <c r="F137" s="67">
        <f t="shared" si="8"/>
        <v>3276</v>
      </c>
      <c r="G137" s="67">
        <f t="shared" si="9"/>
        <v>39312</v>
      </c>
      <c r="H137" s="70"/>
      <c r="K137" s="69"/>
      <c r="L137" s="69"/>
    </row>
    <row r="138" spans="1:12" s="71" customFormat="1" ht="38.25" customHeight="1">
      <c r="A138" s="64" t="s">
        <v>1362</v>
      </c>
      <c r="B138" s="64" t="s">
        <v>1363</v>
      </c>
      <c r="C138" s="96"/>
      <c r="D138" s="65">
        <v>1</v>
      </c>
      <c r="E138" s="66">
        <f>5662*2</f>
        <v>11324</v>
      </c>
      <c r="F138" s="67">
        <f t="shared" si="8"/>
        <v>11324</v>
      </c>
      <c r="G138" s="67">
        <f t="shared" si="9"/>
        <v>135888</v>
      </c>
      <c r="H138" s="70"/>
      <c r="K138" s="69"/>
      <c r="L138" s="69"/>
    </row>
    <row r="139" spans="1:12" s="71" customFormat="1" ht="38.25" customHeight="1">
      <c r="A139" s="64" t="s">
        <v>1293</v>
      </c>
      <c r="B139" s="64" t="s">
        <v>1363</v>
      </c>
      <c r="C139" s="96"/>
      <c r="D139" s="65">
        <v>1</v>
      </c>
      <c r="E139" s="66">
        <f>5811*2</f>
        <v>11622</v>
      </c>
      <c r="F139" s="67">
        <f t="shared" si="8"/>
        <v>11622</v>
      </c>
      <c r="G139" s="67">
        <f t="shared" si="9"/>
        <v>139464</v>
      </c>
      <c r="H139" s="70"/>
      <c r="K139" s="69"/>
      <c r="L139" s="69"/>
    </row>
    <row r="140" spans="1:12" s="71" customFormat="1" ht="38.25" customHeight="1">
      <c r="A140" s="64" t="s">
        <v>1293</v>
      </c>
      <c r="B140" s="64" t="s">
        <v>1363</v>
      </c>
      <c r="C140" s="96"/>
      <c r="D140" s="65">
        <v>1</v>
      </c>
      <c r="E140" s="66">
        <f>4512*2</f>
        <v>9024</v>
      </c>
      <c r="F140" s="67">
        <f t="shared" si="8"/>
        <v>9024</v>
      </c>
      <c r="G140" s="67">
        <f t="shared" si="9"/>
        <v>108288</v>
      </c>
      <c r="H140" s="70"/>
      <c r="K140" s="69"/>
      <c r="L140" s="69"/>
    </row>
    <row r="141" spans="1:12" s="71" customFormat="1" ht="38.25" customHeight="1">
      <c r="A141" s="64" t="s">
        <v>1293</v>
      </c>
      <c r="B141" s="64" t="s">
        <v>1363</v>
      </c>
      <c r="C141" s="96"/>
      <c r="D141" s="65">
        <v>1</v>
      </c>
      <c r="E141" s="66">
        <f>3249*2</f>
        <v>6498</v>
      </c>
      <c r="F141" s="67">
        <f t="shared" si="8"/>
        <v>6498</v>
      </c>
      <c r="G141" s="67">
        <f t="shared" si="9"/>
        <v>77976</v>
      </c>
      <c r="H141" s="70"/>
      <c r="K141" s="69"/>
      <c r="L141" s="69"/>
    </row>
    <row r="142" spans="1:12" s="71" customFormat="1" ht="38.25" customHeight="1">
      <c r="A142" s="64" t="s">
        <v>1293</v>
      </c>
      <c r="B142" s="64" t="s">
        <v>1363</v>
      </c>
      <c r="C142" s="96"/>
      <c r="D142" s="65">
        <v>1</v>
      </c>
      <c r="E142" s="66">
        <f>2174*2</f>
        <v>4348</v>
      </c>
      <c r="F142" s="67">
        <f t="shared" si="8"/>
        <v>4348</v>
      </c>
      <c r="G142" s="67">
        <f t="shared" si="9"/>
        <v>52176</v>
      </c>
      <c r="H142" s="70"/>
      <c r="K142" s="69"/>
      <c r="L142" s="69"/>
    </row>
    <row r="143" spans="1:12" s="71" customFormat="1" ht="38.25" customHeight="1">
      <c r="A143" s="64" t="s">
        <v>1364</v>
      </c>
      <c r="B143" s="64" t="s">
        <v>1365</v>
      </c>
      <c r="C143" s="96"/>
      <c r="D143" s="65">
        <v>1</v>
      </c>
      <c r="E143" s="66">
        <f>2858*2</f>
        <v>5716</v>
      </c>
      <c r="F143" s="67">
        <f t="shared" si="8"/>
        <v>5716</v>
      </c>
      <c r="G143" s="67">
        <f t="shared" si="9"/>
        <v>68592</v>
      </c>
      <c r="H143" s="70"/>
      <c r="K143" s="69"/>
      <c r="L143" s="69"/>
    </row>
    <row r="144" spans="1:12" s="71" customFormat="1" ht="38.25" customHeight="1">
      <c r="A144" s="64" t="s">
        <v>1366</v>
      </c>
      <c r="B144" s="64" t="s">
        <v>1367</v>
      </c>
      <c r="C144" s="96"/>
      <c r="D144" s="65">
        <v>1</v>
      </c>
      <c r="E144" s="66">
        <f>5662*2</f>
        <v>11324</v>
      </c>
      <c r="F144" s="67">
        <f t="shared" si="8"/>
        <v>11324</v>
      </c>
      <c r="G144" s="67">
        <f t="shared" si="9"/>
        <v>135888</v>
      </c>
      <c r="H144" s="70"/>
      <c r="K144" s="69"/>
      <c r="L144" s="69"/>
    </row>
    <row r="145" spans="1:12" s="71" customFormat="1" ht="38.25" customHeight="1">
      <c r="A145" s="64" t="s">
        <v>1368</v>
      </c>
      <c r="B145" s="64" t="s">
        <v>1369</v>
      </c>
      <c r="C145" s="96"/>
      <c r="D145" s="65">
        <v>1</v>
      </c>
      <c r="E145" s="66">
        <f>8205*2</f>
        <v>16410</v>
      </c>
      <c r="F145" s="67">
        <f t="shared" si="8"/>
        <v>16410</v>
      </c>
      <c r="G145" s="67">
        <f t="shared" si="9"/>
        <v>196920</v>
      </c>
      <c r="H145" s="70"/>
      <c r="K145" s="69"/>
      <c r="L145" s="69"/>
    </row>
    <row r="146" spans="1:12" s="71" customFormat="1" ht="38.25" customHeight="1">
      <c r="A146" s="64" t="s">
        <v>1258</v>
      </c>
      <c r="B146" s="64" t="s">
        <v>1369</v>
      </c>
      <c r="C146" s="96"/>
      <c r="D146" s="65">
        <v>1</v>
      </c>
      <c r="E146" s="66">
        <f>2654*2</f>
        <v>5308</v>
      </c>
      <c r="F146" s="67">
        <f t="shared" si="8"/>
        <v>5308</v>
      </c>
      <c r="G146" s="67">
        <f t="shared" si="9"/>
        <v>63696</v>
      </c>
      <c r="H146" s="70"/>
      <c r="K146" s="69"/>
      <c r="L146" s="69"/>
    </row>
    <row r="147" spans="1:12" s="71" customFormat="1" ht="38.25" customHeight="1">
      <c r="A147" s="64" t="s">
        <v>1258</v>
      </c>
      <c r="B147" s="64" t="s">
        <v>1369</v>
      </c>
      <c r="C147" s="96"/>
      <c r="D147" s="65">
        <v>1</v>
      </c>
      <c r="E147" s="66">
        <f>2238*2</f>
        <v>4476</v>
      </c>
      <c r="F147" s="67">
        <f t="shared" si="8"/>
        <v>4476</v>
      </c>
      <c r="G147" s="67">
        <f t="shared" si="9"/>
        <v>53712</v>
      </c>
      <c r="H147" s="70"/>
      <c r="K147" s="69"/>
      <c r="L147" s="69"/>
    </row>
    <row r="148" spans="1:12" s="71" customFormat="1" ht="38.25" customHeight="1">
      <c r="A148" s="64" t="s">
        <v>1370</v>
      </c>
      <c r="B148" s="64" t="s">
        <v>1369</v>
      </c>
      <c r="C148" s="96"/>
      <c r="D148" s="65">
        <v>1</v>
      </c>
      <c r="E148" s="66">
        <f>6347*2</f>
        <v>12694</v>
      </c>
      <c r="F148" s="67">
        <f t="shared" si="8"/>
        <v>12694</v>
      </c>
      <c r="G148" s="67">
        <f t="shared" si="9"/>
        <v>152328</v>
      </c>
      <c r="H148" s="70"/>
      <c r="K148" s="69"/>
      <c r="L148" s="69"/>
    </row>
    <row r="149" spans="1:12" s="71" customFormat="1" ht="38.25" customHeight="1">
      <c r="A149" s="64" t="s">
        <v>1355</v>
      </c>
      <c r="B149" s="64" t="s">
        <v>1369</v>
      </c>
      <c r="C149" s="96"/>
      <c r="D149" s="65">
        <v>1</v>
      </c>
      <c r="E149" s="66">
        <f>1835*2</f>
        <v>3670</v>
      </c>
      <c r="F149" s="67">
        <f t="shared" si="8"/>
        <v>3670</v>
      </c>
      <c r="G149" s="67">
        <f t="shared" si="9"/>
        <v>44040</v>
      </c>
      <c r="H149" s="70"/>
      <c r="K149" s="69"/>
      <c r="L149" s="69"/>
    </row>
    <row r="150" spans="1:12" s="71" customFormat="1" ht="38.25" customHeight="1">
      <c r="A150" s="64" t="s">
        <v>1372</v>
      </c>
      <c r="B150" s="64" t="s">
        <v>1371</v>
      </c>
      <c r="C150" s="96"/>
      <c r="D150" s="65">
        <v>1</v>
      </c>
      <c r="E150" s="66">
        <f>2167*2</f>
        <v>4334</v>
      </c>
      <c r="F150" s="67">
        <f t="shared" si="8"/>
        <v>4334</v>
      </c>
      <c r="G150" s="67">
        <f t="shared" si="9"/>
        <v>52008</v>
      </c>
      <c r="H150" s="70"/>
      <c r="K150" s="69"/>
      <c r="L150" s="69"/>
    </row>
    <row r="151" spans="1:12" s="71" customFormat="1" ht="38.25" customHeight="1">
      <c r="A151" s="64" t="s">
        <v>1373</v>
      </c>
      <c r="B151" s="64" t="s">
        <v>1371</v>
      </c>
      <c r="C151" s="96"/>
      <c r="D151" s="65">
        <v>1</v>
      </c>
      <c r="E151" s="66">
        <f>3526*2</f>
        <v>7052</v>
      </c>
      <c r="F151" s="67">
        <f t="shared" si="8"/>
        <v>7052</v>
      </c>
      <c r="G151" s="67">
        <f t="shared" si="9"/>
        <v>84624</v>
      </c>
      <c r="H151" s="70"/>
      <c r="K151" s="69"/>
      <c r="L151" s="69"/>
    </row>
    <row r="152" spans="1:12" s="71" customFormat="1" ht="38.25" customHeight="1">
      <c r="A152" s="64" t="s">
        <v>1374</v>
      </c>
      <c r="B152" s="64" t="s">
        <v>1371</v>
      </c>
      <c r="C152" s="96"/>
      <c r="D152" s="65">
        <v>2</v>
      </c>
      <c r="E152" s="66">
        <f>2542*2</f>
        <v>5084</v>
      </c>
      <c r="F152" s="67">
        <f t="shared" si="8"/>
        <v>10168</v>
      </c>
      <c r="G152" s="67">
        <f t="shared" si="9"/>
        <v>122016</v>
      </c>
      <c r="H152" s="70"/>
      <c r="K152" s="69"/>
      <c r="L152" s="69"/>
    </row>
    <row r="153" spans="1:12" s="71" customFormat="1" ht="38.25" customHeight="1">
      <c r="A153" s="64" t="s">
        <v>1375</v>
      </c>
      <c r="B153" s="64" t="s">
        <v>1371</v>
      </c>
      <c r="C153" s="96"/>
      <c r="D153" s="65">
        <v>4</v>
      </c>
      <c r="E153" s="66">
        <f>2730*2</f>
        <v>5460</v>
      </c>
      <c r="F153" s="67">
        <f t="shared" si="8"/>
        <v>21840</v>
      </c>
      <c r="G153" s="67">
        <f t="shared" si="9"/>
        <v>262080</v>
      </c>
      <c r="H153" s="70"/>
      <c r="K153" s="69"/>
      <c r="L153" s="69"/>
    </row>
    <row r="154" spans="1:12" s="71" customFormat="1" ht="38.25" customHeight="1">
      <c r="A154" s="64" t="s">
        <v>1376</v>
      </c>
      <c r="B154" s="64" t="s">
        <v>1371</v>
      </c>
      <c r="C154" s="96"/>
      <c r="D154" s="65">
        <v>2</v>
      </c>
      <c r="E154" s="66">
        <f>6347*2</f>
        <v>12694</v>
      </c>
      <c r="F154" s="67">
        <f t="shared" si="8"/>
        <v>25388</v>
      </c>
      <c r="G154" s="67">
        <f t="shared" si="9"/>
        <v>304656</v>
      </c>
      <c r="H154" s="70"/>
      <c r="K154" s="69"/>
      <c r="L154" s="69"/>
    </row>
    <row r="155" spans="1:12" s="71" customFormat="1" ht="38.25" customHeight="1">
      <c r="A155" s="64" t="s">
        <v>1378</v>
      </c>
      <c r="B155" s="64" t="s">
        <v>1377</v>
      </c>
      <c r="C155" s="96"/>
      <c r="D155" s="65">
        <v>1</v>
      </c>
      <c r="E155" s="66">
        <f>1641*2</f>
        <v>3282</v>
      </c>
      <c r="F155" s="67">
        <f t="shared" si="8"/>
        <v>3282</v>
      </c>
      <c r="G155" s="67">
        <f t="shared" si="9"/>
        <v>39384</v>
      </c>
      <c r="H155" s="70"/>
      <c r="K155" s="69"/>
      <c r="L155" s="69"/>
    </row>
    <row r="156" spans="1:12" s="71" customFormat="1" ht="38.25" customHeight="1">
      <c r="A156" s="64" t="s">
        <v>1336</v>
      </c>
      <c r="B156" s="64" t="s">
        <v>1377</v>
      </c>
      <c r="C156" s="96"/>
      <c r="D156" s="65">
        <v>1</v>
      </c>
      <c r="E156" s="66">
        <f>3169*2</f>
        <v>6338</v>
      </c>
      <c r="F156" s="67">
        <f t="shared" si="8"/>
        <v>6338</v>
      </c>
      <c r="G156" s="67">
        <f t="shared" si="9"/>
        <v>76056</v>
      </c>
      <c r="H156" s="70"/>
      <c r="K156" s="69"/>
      <c r="L156" s="69"/>
    </row>
    <row r="157" spans="1:12" s="71" customFormat="1" ht="38.25" customHeight="1">
      <c r="A157" s="64" t="s">
        <v>1323</v>
      </c>
      <c r="B157" s="64" t="s">
        <v>1379</v>
      </c>
      <c r="C157" s="96"/>
      <c r="D157" s="65">
        <v>1</v>
      </c>
      <c r="E157" s="66">
        <f>5662*2</f>
        <v>11324</v>
      </c>
      <c r="F157" s="67">
        <f t="shared" si="8"/>
        <v>11324</v>
      </c>
      <c r="G157" s="67">
        <f t="shared" si="9"/>
        <v>135888</v>
      </c>
      <c r="H157" s="70"/>
      <c r="K157" s="69"/>
      <c r="L157" s="69"/>
    </row>
    <row r="158" spans="1:12" s="71" customFormat="1" ht="38.25" customHeight="1">
      <c r="A158" s="64" t="s">
        <v>1380</v>
      </c>
      <c r="B158" s="64" t="s">
        <v>1377</v>
      </c>
      <c r="C158" s="96"/>
      <c r="D158" s="65">
        <v>1</v>
      </c>
      <c r="E158" s="66">
        <f>1950*2</f>
        <v>3900</v>
      </c>
      <c r="F158" s="67">
        <f t="shared" si="8"/>
        <v>3900</v>
      </c>
      <c r="G158" s="67">
        <f t="shared" si="9"/>
        <v>46800</v>
      </c>
      <c r="H158" s="70"/>
      <c r="K158" s="69"/>
      <c r="L158" s="69"/>
    </row>
    <row r="159" spans="1:12" s="71" customFormat="1" ht="38.25" customHeight="1">
      <c r="A159" s="64" t="s">
        <v>1273</v>
      </c>
      <c r="B159" s="64" t="s">
        <v>1381</v>
      </c>
      <c r="C159" s="96"/>
      <c r="D159" s="65">
        <v>1</v>
      </c>
      <c r="E159" s="66">
        <f>6934*2</f>
        <v>13868</v>
      </c>
      <c r="F159" s="67">
        <f t="shared" si="8"/>
        <v>13868</v>
      </c>
      <c r="G159" s="67">
        <f t="shared" si="9"/>
        <v>166416</v>
      </c>
      <c r="H159" s="70"/>
      <c r="K159" s="69"/>
      <c r="L159" s="69"/>
    </row>
    <row r="160" spans="1:12" s="71" customFormat="1" ht="38.25" customHeight="1">
      <c r="A160" s="64" t="s">
        <v>1269</v>
      </c>
      <c r="B160" s="64" t="s">
        <v>1381</v>
      </c>
      <c r="C160" s="96"/>
      <c r="D160" s="65">
        <v>1</v>
      </c>
      <c r="E160" s="66">
        <f>1363*2</f>
        <v>2726</v>
      </c>
      <c r="F160" s="67">
        <f t="shared" si="8"/>
        <v>2726</v>
      </c>
      <c r="G160" s="67">
        <f t="shared" si="9"/>
        <v>32712</v>
      </c>
      <c r="H160" s="70"/>
      <c r="K160" s="69"/>
      <c r="L160" s="69"/>
    </row>
    <row r="161" spans="1:12" s="71" customFormat="1" ht="38.25" customHeight="1">
      <c r="A161" s="64" t="s">
        <v>1382</v>
      </c>
      <c r="B161" s="64" t="s">
        <v>1381</v>
      </c>
      <c r="C161" s="96"/>
      <c r="D161" s="65">
        <v>1</v>
      </c>
      <c r="E161" s="66">
        <f>1953*2</f>
        <v>3906</v>
      </c>
      <c r="F161" s="67">
        <f t="shared" si="8"/>
        <v>3906</v>
      </c>
      <c r="G161" s="67">
        <f t="shared" si="9"/>
        <v>46872</v>
      </c>
      <c r="H161" s="70"/>
      <c r="K161" s="69"/>
      <c r="L161" s="69"/>
    </row>
    <row r="162" spans="1:12" s="71" customFormat="1" ht="38.25" customHeight="1">
      <c r="A162" s="64" t="s">
        <v>1383</v>
      </c>
      <c r="B162" s="64" t="s">
        <v>1384</v>
      </c>
      <c r="C162" s="96"/>
      <c r="D162" s="65">
        <v>1</v>
      </c>
      <c r="E162" s="66">
        <v>13868</v>
      </c>
      <c r="F162" s="67">
        <f t="shared" si="8"/>
        <v>13868</v>
      </c>
      <c r="G162" s="67">
        <f t="shared" si="9"/>
        <v>166416</v>
      </c>
      <c r="H162" s="70"/>
      <c r="K162" s="69"/>
      <c r="L162" s="69"/>
    </row>
    <row r="163" spans="1:12" s="71" customFormat="1" ht="38.25" customHeight="1">
      <c r="A163" s="64" t="s">
        <v>1258</v>
      </c>
      <c r="B163" s="64" t="s">
        <v>1384</v>
      </c>
      <c r="C163" s="96"/>
      <c r="D163" s="65">
        <v>1</v>
      </c>
      <c r="E163" s="66">
        <f>4013*2</f>
        <v>8026</v>
      </c>
      <c r="F163" s="67">
        <f t="shared" si="8"/>
        <v>8026</v>
      </c>
      <c r="G163" s="67">
        <f t="shared" si="9"/>
        <v>96312</v>
      </c>
      <c r="H163" s="70"/>
      <c r="K163" s="69"/>
      <c r="L163" s="69"/>
    </row>
    <row r="164" spans="1:12" s="71" customFormat="1" ht="38.25" customHeight="1">
      <c r="A164" s="64" t="s">
        <v>1383</v>
      </c>
      <c r="B164" s="64" t="s">
        <v>1385</v>
      </c>
      <c r="C164" s="96"/>
      <c r="D164" s="65">
        <v>1</v>
      </c>
      <c r="E164" s="66">
        <v>13868</v>
      </c>
      <c r="F164" s="67">
        <f t="shared" si="8"/>
        <v>13868</v>
      </c>
      <c r="G164" s="67">
        <f t="shared" si="9"/>
        <v>166416</v>
      </c>
      <c r="H164" s="70"/>
      <c r="K164" s="69"/>
      <c r="L164" s="69"/>
    </row>
    <row r="165" spans="1:12" s="71" customFormat="1" ht="38.25" customHeight="1">
      <c r="A165" s="64" t="s">
        <v>1355</v>
      </c>
      <c r="B165" s="64" t="s">
        <v>1385</v>
      </c>
      <c r="C165" s="96"/>
      <c r="D165" s="65">
        <v>1</v>
      </c>
      <c r="E165" s="66">
        <f>1772*2</f>
        <v>3544</v>
      </c>
      <c r="F165" s="67">
        <f t="shared" si="8"/>
        <v>3544</v>
      </c>
      <c r="G165" s="67">
        <f t="shared" si="9"/>
        <v>42528</v>
      </c>
      <c r="H165" s="70"/>
      <c r="K165" s="69"/>
      <c r="L165" s="69"/>
    </row>
    <row r="166" spans="1:12" s="71" customFormat="1" ht="38.25" customHeight="1">
      <c r="A166" s="64" t="s">
        <v>1273</v>
      </c>
      <c r="B166" s="64" t="s">
        <v>1386</v>
      </c>
      <c r="C166" s="96"/>
      <c r="D166" s="65">
        <v>1</v>
      </c>
      <c r="E166" s="66">
        <v>13868</v>
      </c>
      <c r="F166" s="67">
        <f t="shared" si="8"/>
        <v>13868</v>
      </c>
      <c r="G166" s="67">
        <f t="shared" si="9"/>
        <v>166416</v>
      </c>
      <c r="H166" s="70"/>
      <c r="K166" s="69"/>
      <c r="L166" s="69"/>
    </row>
    <row r="167" spans="1:12" s="71" customFormat="1" ht="38.25" customHeight="1">
      <c r="A167" s="64" t="s">
        <v>1258</v>
      </c>
      <c r="B167" s="64" t="s">
        <v>1386</v>
      </c>
      <c r="C167" s="96"/>
      <c r="D167" s="65">
        <v>1</v>
      </c>
      <c r="E167" s="66">
        <f>2699*2</f>
        <v>5398</v>
      </c>
      <c r="F167" s="67">
        <f t="shared" si="8"/>
        <v>5398</v>
      </c>
      <c r="G167" s="67">
        <f t="shared" si="9"/>
        <v>64776</v>
      </c>
      <c r="H167" s="70"/>
      <c r="K167" s="69"/>
      <c r="L167" s="69"/>
    </row>
    <row r="168" spans="1:12" s="71" customFormat="1" ht="38.25" customHeight="1">
      <c r="A168" s="64" t="s">
        <v>1387</v>
      </c>
      <c r="B168" s="64" t="s">
        <v>1388</v>
      </c>
      <c r="C168" s="96"/>
      <c r="D168" s="65">
        <v>1</v>
      </c>
      <c r="E168" s="66">
        <f>4541*2</f>
        <v>9082</v>
      </c>
      <c r="F168" s="67">
        <f t="shared" si="8"/>
        <v>9082</v>
      </c>
      <c r="G168" s="67">
        <f t="shared" si="9"/>
        <v>108984</v>
      </c>
      <c r="H168" s="70"/>
      <c r="K168" s="69"/>
      <c r="L168" s="69"/>
    </row>
    <row r="169" spans="1:12" s="71" customFormat="1" ht="38.25" customHeight="1">
      <c r="A169" s="64" t="s">
        <v>1387</v>
      </c>
      <c r="B169" s="64" t="s">
        <v>1389</v>
      </c>
      <c r="C169" s="96"/>
      <c r="D169" s="65">
        <v>1</v>
      </c>
      <c r="E169" s="66">
        <f>4541*2</f>
        <v>9082</v>
      </c>
      <c r="F169" s="67">
        <f t="shared" si="8"/>
        <v>9082</v>
      </c>
      <c r="G169" s="67">
        <f t="shared" si="9"/>
        <v>108984</v>
      </c>
      <c r="H169" s="70"/>
      <c r="K169" s="69"/>
      <c r="L169" s="69"/>
    </row>
    <row r="170" spans="1:12" s="71" customFormat="1" ht="38.25" customHeight="1">
      <c r="A170" s="64" t="s">
        <v>1390</v>
      </c>
      <c r="B170" s="64" t="s">
        <v>1389</v>
      </c>
      <c r="C170" s="96"/>
      <c r="D170" s="65">
        <v>2</v>
      </c>
      <c r="E170" s="66">
        <f>2730*2</f>
        <v>5460</v>
      </c>
      <c r="F170" s="67">
        <f t="shared" si="8"/>
        <v>10920</v>
      </c>
      <c r="G170" s="67">
        <f t="shared" si="9"/>
        <v>131040</v>
      </c>
      <c r="H170" s="70"/>
      <c r="K170" s="69"/>
      <c r="L170" s="69"/>
    </row>
    <row r="171" spans="1:12" s="71" customFormat="1" ht="38.25" customHeight="1">
      <c r="A171" s="64" t="s">
        <v>1391</v>
      </c>
      <c r="B171" s="64" t="s">
        <v>1389</v>
      </c>
      <c r="C171" s="96"/>
      <c r="D171" s="65">
        <v>1</v>
      </c>
      <c r="E171" s="66">
        <f>3276*2</f>
        <v>6552</v>
      </c>
      <c r="F171" s="67">
        <f aca="true" t="shared" si="10" ref="F171:F177">D171*E171</f>
        <v>6552</v>
      </c>
      <c r="G171" s="67">
        <f aca="true" t="shared" si="11" ref="G171:G177">F171*12</f>
        <v>78624</v>
      </c>
      <c r="H171" s="70"/>
      <c r="K171" s="69"/>
      <c r="L171" s="69"/>
    </row>
    <row r="172" spans="1:12" s="71" customFormat="1" ht="38.25" customHeight="1">
      <c r="A172" s="64" t="s">
        <v>1391</v>
      </c>
      <c r="B172" s="64" t="s">
        <v>1389</v>
      </c>
      <c r="C172" s="96"/>
      <c r="D172" s="65">
        <v>1</v>
      </c>
      <c r="E172" s="66">
        <f>2730*2</f>
        <v>5460</v>
      </c>
      <c r="F172" s="67">
        <f t="shared" si="10"/>
        <v>5460</v>
      </c>
      <c r="G172" s="67">
        <f t="shared" si="11"/>
        <v>65520</v>
      </c>
      <c r="H172" s="70"/>
      <c r="K172" s="69"/>
      <c r="L172" s="69"/>
    </row>
    <row r="173" spans="1:12" s="71" customFormat="1" ht="38.25" customHeight="1">
      <c r="A173" s="64" t="s">
        <v>1273</v>
      </c>
      <c r="B173" s="64" t="s">
        <v>1392</v>
      </c>
      <c r="C173" s="96"/>
      <c r="D173" s="65">
        <v>1</v>
      </c>
      <c r="E173" s="66">
        <f>8205*2</f>
        <v>16410</v>
      </c>
      <c r="F173" s="67">
        <f t="shared" si="10"/>
        <v>16410</v>
      </c>
      <c r="G173" s="67">
        <f t="shared" si="11"/>
        <v>196920</v>
      </c>
      <c r="H173" s="70"/>
      <c r="K173" s="69"/>
      <c r="L173" s="69"/>
    </row>
    <row r="174" spans="1:12" s="71" customFormat="1" ht="38.25" customHeight="1">
      <c r="A174" s="64" t="s">
        <v>1393</v>
      </c>
      <c r="B174" s="64" t="s">
        <v>1392</v>
      </c>
      <c r="C174" s="96"/>
      <c r="D174" s="65">
        <v>1</v>
      </c>
      <c r="E174" s="66">
        <f>6006*2</f>
        <v>12012</v>
      </c>
      <c r="F174" s="67">
        <f t="shared" si="10"/>
        <v>12012</v>
      </c>
      <c r="G174" s="67">
        <f t="shared" si="11"/>
        <v>144144</v>
      </c>
      <c r="H174" s="70"/>
      <c r="K174" s="69"/>
      <c r="L174" s="69"/>
    </row>
    <row r="175" spans="1:12" s="71" customFormat="1" ht="38.25" customHeight="1">
      <c r="A175" s="64" t="s">
        <v>1394</v>
      </c>
      <c r="B175" s="64" t="s">
        <v>1392</v>
      </c>
      <c r="C175" s="96"/>
      <c r="D175" s="65">
        <v>1</v>
      </c>
      <c r="E175" s="66">
        <f>3169*2</f>
        <v>6338</v>
      </c>
      <c r="F175" s="67">
        <f t="shared" si="10"/>
        <v>6338</v>
      </c>
      <c r="G175" s="67">
        <f t="shared" si="11"/>
        <v>76056</v>
      </c>
      <c r="H175" s="70"/>
      <c r="K175" s="69"/>
      <c r="L175" s="69"/>
    </row>
    <row r="176" spans="1:12" s="71" customFormat="1" ht="38.25" customHeight="1">
      <c r="A176" s="64" t="s">
        <v>1390</v>
      </c>
      <c r="B176" s="64" t="s">
        <v>1392</v>
      </c>
      <c r="C176" s="96"/>
      <c r="D176" s="65">
        <v>1</v>
      </c>
      <c r="E176" s="66">
        <f>7826*2</f>
        <v>15652</v>
      </c>
      <c r="F176" s="67">
        <f t="shared" si="10"/>
        <v>15652</v>
      </c>
      <c r="G176" s="67">
        <f t="shared" si="11"/>
        <v>187824</v>
      </c>
      <c r="H176" s="70"/>
      <c r="K176" s="69"/>
      <c r="L176" s="69"/>
    </row>
    <row r="177" spans="1:12" s="71" customFormat="1" ht="38.25" customHeight="1">
      <c r="A177" s="64" t="s">
        <v>1395</v>
      </c>
      <c r="B177" s="64" t="s">
        <v>1392</v>
      </c>
      <c r="C177" s="96"/>
      <c r="D177" s="65">
        <v>1</v>
      </c>
      <c r="E177" s="66">
        <f>3762*2</f>
        <v>7524</v>
      </c>
      <c r="F177" s="67">
        <f t="shared" si="10"/>
        <v>7524</v>
      </c>
      <c r="G177" s="67">
        <f t="shared" si="11"/>
        <v>90288</v>
      </c>
      <c r="H177" s="70"/>
      <c r="K177" s="69"/>
      <c r="L177" s="69"/>
    </row>
    <row r="178" spans="1:12" s="71" customFormat="1" ht="38.25" customHeight="1">
      <c r="A178" s="64" t="s">
        <v>1396</v>
      </c>
      <c r="B178" s="64" t="s">
        <v>1392</v>
      </c>
      <c r="C178" s="96"/>
      <c r="D178" s="65">
        <v>1</v>
      </c>
      <c r="E178" s="66">
        <f>3169*2</f>
        <v>6338</v>
      </c>
      <c r="F178" s="67">
        <f aca="true" t="shared" si="12" ref="F178:F185">D178*E178</f>
        <v>6338</v>
      </c>
      <c r="G178" s="67">
        <f aca="true" t="shared" si="13" ref="G178:G185">F178*12</f>
        <v>76056</v>
      </c>
      <c r="H178" s="70"/>
      <c r="K178" s="69"/>
      <c r="L178" s="69"/>
    </row>
    <row r="179" spans="1:12" s="71" customFormat="1" ht="38.25" customHeight="1">
      <c r="A179" s="64" t="s">
        <v>1273</v>
      </c>
      <c r="B179" s="64" t="s">
        <v>1397</v>
      </c>
      <c r="C179" s="96"/>
      <c r="D179" s="65">
        <v>1</v>
      </c>
      <c r="E179" s="66">
        <f>5662*2</f>
        <v>11324</v>
      </c>
      <c r="F179" s="67">
        <f t="shared" si="12"/>
        <v>11324</v>
      </c>
      <c r="G179" s="67">
        <f t="shared" si="13"/>
        <v>135888</v>
      </c>
      <c r="H179" s="70"/>
      <c r="K179" s="69"/>
      <c r="L179" s="69"/>
    </row>
    <row r="180" spans="1:12" s="71" customFormat="1" ht="38.25" customHeight="1">
      <c r="A180" s="64" t="s">
        <v>1399</v>
      </c>
      <c r="B180" s="64" t="s">
        <v>1398</v>
      </c>
      <c r="C180" s="96"/>
      <c r="D180" s="65">
        <v>1</v>
      </c>
      <c r="E180" s="66">
        <f>6934*2</f>
        <v>13868</v>
      </c>
      <c r="F180" s="67">
        <f t="shared" si="12"/>
        <v>13868</v>
      </c>
      <c r="G180" s="67">
        <f t="shared" si="13"/>
        <v>166416</v>
      </c>
      <c r="H180" s="70"/>
      <c r="K180" s="69"/>
      <c r="L180" s="69"/>
    </row>
    <row r="181" spans="1:12" s="71" customFormat="1" ht="38.25" customHeight="1">
      <c r="A181" s="64" t="s">
        <v>1400</v>
      </c>
      <c r="B181" s="64" t="s">
        <v>1398</v>
      </c>
      <c r="C181" s="96"/>
      <c r="D181" s="65">
        <v>1</v>
      </c>
      <c r="E181" s="66">
        <f>5662*2</f>
        <v>11324</v>
      </c>
      <c r="F181" s="67">
        <f t="shared" si="12"/>
        <v>11324</v>
      </c>
      <c r="G181" s="67">
        <f t="shared" si="13"/>
        <v>135888</v>
      </c>
      <c r="H181" s="70"/>
      <c r="K181" s="69"/>
      <c r="L181" s="69"/>
    </row>
    <row r="182" spans="1:12" s="71" customFormat="1" ht="38.25" customHeight="1">
      <c r="A182" s="64"/>
      <c r="B182" s="64"/>
      <c r="C182" s="96"/>
      <c r="D182" s="65"/>
      <c r="E182" s="66"/>
      <c r="F182" s="67">
        <f t="shared" si="12"/>
        <v>0</v>
      </c>
      <c r="G182" s="67">
        <f t="shared" si="13"/>
        <v>0</v>
      </c>
      <c r="H182" s="70"/>
      <c r="K182" s="69"/>
      <c r="L182" s="69"/>
    </row>
    <row r="183" spans="1:12" s="71" customFormat="1" ht="38.25" customHeight="1">
      <c r="A183" s="64"/>
      <c r="B183" s="64"/>
      <c r="C183" s="96"/>
      <c r="D183" s="65"/>
      <c r="E183" s="66"/>
      <c r="F183" s="67">
        <f t="shared" si="12"/>
        <v>0</v>
      </c>
      <c r="G183" s="67">
        <f t="shared" si="13"/>
        <v>0</v>
      </c>
      <c r="H183" s="70"/>
      <c r="K183" s="69"/>
      <c r="L183" s="69"/>
    </row>
    <row r="184" spans="1:12" s="71" customFormat="1" ht="38.25" customHeight="1">
      <c r="A184" s="64"/>
      <c r="B184" s="64"/>
      <c r="C184" s="96"/>
      <c r="D184" s="65"/>
      <c r="E184" s="66"/>
      <c r="F184" s="67">
        <f t="shared" si="12"/>
        <v>0</v>
      </c>
      <c r="G184" s="67">
        <f t="shared" si="13"/>
        <v>0</v>
      </c>
      <c r="H184" s="70"/>
      <c r="K184" s="69"/>
      <c r="L184" s="69"/>
    </row>
    <row r="185" spans="1:12" s="71" customFormat="1" ht="38.25" customHeight="1">
      <c r="A185" s="64"/>
      <c r="B185" s="64"/>
      <c r="C185" s="96"/>
      <c r="D185" s="65"/>
      <c r="E185" s="66"/>
      <c r="F185" s="67">
        <f t="shared" si="12"/>
        <v>0</v>
      </c>
      <c r="G185" s="67">
        <f t="shared" si="13"/>
        <v>0</v>
      </c>
      <c r="H185" s="70"/>
      <c r="K185" s="69"/>
      <c r="L185" s="69"/>
    </row>
    <row r="186" spans="1:12" s="71" customFormat="1" ht="38.25" customHeight="1">
      <c r="A186" s="64"/>
      <c r="B186" s="64"/>
      <c r="C186" s="96"/>
      <c r="D186" s="65"/>
      <c r="E186" s="66"/>
      <c r="F186" s="67">
        <f t="shared" si="8"/>
        <v>0</v>
      </c>
      <c r="G186" s="67">
        <f t="shared" si="9"/>
        <v>0</v>
      </c>
      <c r="H186" s="70"/>
      <c r="K186" s="69"/>
      <c r="L186" s="69"/>
    </row>
    <row r="187" spans="1:7" ht="0.75" customHeight="1">
      <c r="A187" s="72"/>
      <c r="B187" s="73"/>
      <c r="D187" s="75"/>
      <c r="E187" s="76"/>
      <c r="F187" s="77"/>
      <c r="G187" s="77"/>
    </row>
    <row r="188" spans="1:12" s="78" customFormat="1" ht="24.75" customHeight="1" thickBot="1">
      <c r="A188" s="89"/>
      <c r="B188" s="90"/>
      <c r="C188" s="91"/>
      <c r="D188" s="92"/>
      <c r="E188" s="93"/>
      <c r="F188" s="94" t="s">
        <v>613</v>
      </c>
      <c r="G188" s="95">
        <f>SUM(G2:G187)</f>
        <v>30284160</v>
      </c>
      <c r="H188" s="79"/>
      <c r="K188" s="69"/>
      <c r="L188" s="69"/>
    </row>
    <row r="189" spans="1:7" ht="15.75" hidden="1" thickTop="1">
      <c r="A189" s="80"/>
      <c r="B189" s="81"/>
      <c r="D189" s="82"/>
      <c r="E189" s="83"/>
      <c r="F189" s="82"/>
      <c r="G189" s="83"/>
    </row>
    <row r="190" spans="1:7" ht="15.75" hidden="1" thickTop="1">
      <c r="A190" s="80"/>
      <c r="B190" s="81"/>
      <c r="D190" s="82"/>
      <c r="E190" s="83"/>
      <c r="F190" s="82"/>
      <c r="G190" s="82"/>
    </row>
    <row r="191" spans="1:28" s="84" customFormat="1" ht="13.5" hidden="1" thickTop="1">
      <c r="A191" s="80"/>
      <c r="B191" s="81"/>
      <c r="D191" s="82"/>
      <c r="E191" s="83"/>
      <c r="F191" s="82"/>
      <c r="G191" s="82"/>
      <c r="H191" s="68"/>
      <c r="I191" s="69"/>
      <c r="J191" s="69"/>
      <c r="K191" s="69"/>
      <c r="L191" s="69"/>
      <c r="M191" s="69"/>
      <c r="N191" s="69"/>
      <c r="O191" s="69"/>
      <c r="P191" s="69"/>
      <c r="Q191" s="69"/>
      <c r="R191" s="69"/>
      <c r="S191" s="69"/>
      <c r="T191" s="69"/>
      <c r="U191" s="69"/>
      <c r="V191" s="69"/>
      <c r="W191" s="69"/>
      <c r="X191" s="69"/>
      <c r="Y191" s="69"/>
      <c r="Z191" s="69"/>
      <c r="AA191" s="69"/>
      <c r="AB191" s="69"/>
    </row>
    <row r="192" spans="1:28" s="84" customFormat="1" ht="13.5" hidden="1" thickTop="1">
      <c r="A192" s="69"/>
      <c r="B192" s="69"/>
      <c r="E192" s="85"/>
      <c r="H192" s="68"/>
      <c r="I192" s="69"/>
      <c r="J192" s="69"/>
      <c r="K192" s="69"/>
      <c r="L192" s="69"/>
      <c r="M192" s="69"/>
      <c r="N192" s="69"/>
      <c r="O192" s="69"/>
      <c r="P192" s="69"/>
      <c r="Q192" s="69"/>
      <c r="R192" s="69"/>
      <c r="S192" s="69"/>
      <c r="T192" s="69"/>
      <c r="U192" s="69"/>
      <c r="V192" s="69"/>
      <c r="W192" s="69"/>
      <c r="X192" s="69"/>
      <c r="Y192" s="69"/>
      <c r="Z192" s="69"/>
      <c r="AA192" s="69"/>
      <c r="AB192" s="69"/>
    </row>
    <row r="193" spans="1:28" s="84" customFormat="1" ht="13.5" hidden="1" thickTop="1">
      <c r="A193" s="69"/>
      <c r="B193" s="69"/>
      <c r="E193" s="85"/>
      <c r="H193" s="68"/>
      <c r="I193" s="69"/>
      <c r="J193" s="69"/>
      <c r="K193" s="69"/>
      <c r="L193" s="69"/>
      <c r="M193" s="69"/>
      <c r="N193" s="69"/>
      <c r="O193" s="69"/>
      <c r="P193" s="69"/>
      <c r="Q193" s="69"/>
      <c r="R193" s="69"/>
      <c r="S193" s="69"/>
      <c r="T193" s="69"/>
      <c r="U193" s="69"/>
      <c r="V193" s="69"/>
      <c r="W193" s="69"/>
      <c r="X193" s="69"/>
      <c r="Y193" s="69"/>
      <c r="Z193" s="69"/>
      <c r="AA193" s="69"/>
      <c r="AB193" s="69"/>
    </row>
    <row r="194" spans="1:28" s="84" customFormat="1" ht="13.5" hidden="1" thickTop="1">
      <c r="A194" s="69"/>
      <c r="B194" s="69"/>
      <c r="E194" s="85"/>
      <c r="H194" s="68"/>
      <c r="I194" s="69"/>
      <c r="J194" s="69"/>
      <c r="K194" s="69"/>
      <c r="L194" s="69"/>
      <c r="M194" s="69"/>
      <c r="N194" s="69"/>
      <c r="O194" s="69"/>
      <c r="P194" s="69"/>
      <c r="Q194" s="69"/>
      <c r="R194" s="69"/>
      <c r="S194" s="69"/>
      <c r="T194" s="69"/>
      <c r="U194" s="69"/>
      <c r="V194" s="69"/>
      <c r="W194" s="69"/>
      <c r="X194" s="69"/>
      <c r="Y194" s="69"/>
      <c r="Z194" s="69"/>
      <c r="AA194" s="69"/>
      <c r="AB194" s="69"/>
    </row>
    <row r="195" spans="1:28" s="84" customFormat="1" ht="13.5" hidden="1" thickTop="1">
      <c r="A195" s="69"/>
      <c r="B195" s="69"/>
      <c r="E195" s="85"/>
      <c r="H195" s="68"/>
      <c r="I195" s="69"/>
      <c r="J195" s="69"/>
      <c r="K195" s="69"/>
      <c r="L195" s="69"/>
      <c r="M195" s="69"/>
      <c r="N195" s="69"/>
      <c r="O195" s="69"/>
      <c r="P195" s="69"/>
      <c r="Q195" s="69"/>
      <c r="R195" s="69"/>
      <c r="S195" s="69"/>
      <c r="T195" s="69"/>
      <c r="U195" s="69"/>
      <c r="V195" s="69"/>
      <c r="W195" s="69"/>
      <c r="X195" s="69"/>
      <c r="Y195" s="69"/>
      <c r="Z195" s="69"/>
      <c r="AA195" s="69"/>
      <c r="AB195" s="69"/>
    </row>
    <row r="196" spans="1:28" s="84" customFormat="1" ht="13.5" hidden="1" thickTop="1">
      <c r="A196" s="69"/>
      <c r="B196" s="69"/>
      <c r="E196" s="85"/>
      <c r="H196" s="68"/>
      <c r="I196" s="69"/>
      <c r="J196" s="69"/>
      <c r="K196" s="69"/>
      <c r="L196" s="69"/>
      <c r="M196" s="69"/>
      <c r="N196" s="69"/>
      <c r="O196" s="69"/>
      <c r="P196" s="69"/>
      <c r="Q196" s="69"/>
      <c r="R196" s="69"/>
      <c r="S196" s="69"/>
      <c r="T196" s="69"/>
      <c r="U196" s="69"/>
      <c r="V196" s="69"/>
      <c r="W196" s="69"/>
      <c r="X196" s="69"/>
      <c r="Y196" s="69"/>
      <c r="Z196" s="69"/>
      <c r="AA196" s="69"/>
      <c r="AB196" s="69"/>
    </row>
    <row r="197" spans="1:28" s="84" customFormat="1" ht="13.5" hidden="1" thickTop="1">
      <c r="A197" s="69"/>
      <c r="B197" s="69"/>
      <c r="E197" s="85"/>
      <c r="H197" s="68"/>
      <c r="I197" s="69"/>
      <c r="J197" s="69"/>
      <c r="K197" s="69"/>
      <c r="L197" s="69"/>
      <c r="M197" s="69"/>
      <c r="N197" s="69"/>
      <c r="O197" s="69"/>
      <c r="P197" s="69"/>
      <c r="Q197" s="69"/>
      <c r="R197" s="69"/>
      <c r="S197" s="69"/>
      <c r="T197" s="69"/>
      <c r="U197" s="69"/>
      <c r="V197" s="69"/>
      <c r="W197" s="69"/>
      <c r="X197" s="69"/>
      <c r="Y197" s="69"/>
      <c r="Z197" s="69"/>
      <c r="AA197" s="69"/>
      <c r="AB197" s="69"/>
    </row>
    <row r="198" spans="1:28" s="84" customFormat="1" ht="13.5" hidden="1" thickTop="1">
      <c r="A198" s="69"/>
      <c r="B198" s="69"/>
      <c r="E198" s="85"/>
      <c r="H198" s="68"/>
      <c r="I198" s="69"/>
      <c r="J198" s="69"/>
      <c r="K198" s="69"/>
      <c r="L198" s="69"/>
      <c r="M198" s="69"/>
      <c r="N198" s="69"/>
      <c r="O198" s="69"/>
      <c r="P198" s="69"/>
      <c r="Q198" s="69"/>
      <c r="R198" s="69"/>
      <c r="S198" s="69"/>
      <c r="T198" s="69"/>
      <c r="U198" s="69"/>
      <c r="V198" s="69"/>
      <c r="W198" s="69"/>
      <c r="X198" s="69"/>
      <c r="Y198" s="69"/>
      <c r="Z198" s="69"/>
      <c r="AA198" s="69"/>
      <c r="AB198" s="69"/>
    </row>
    <row r="199" spans="1:28" s="84" customFormat="1" ht="13.5" hidden="1" thickTop="1">
      <c r="A199" s="69"/>
      <c r="B199" s="69"/>
      <c r="E199" s="85"/>
      <c r="H199" s="68"/>
      <c r="I199" s="69"/>
      <c r="J199" s="69"/>
      <c r="K199" s="69"/>
      <c r="L199" s="69"/>
      <c r="M199" s="69"/>
      <c r="N199" s="69"/>
      <c r="O199" s="69"/>
      <c r="P199" s="69"/>
      <c r="Q199" s="69"/>
      <c r="R199" s="69"/>
      <c r="S199" s="69"/>
      <c r="T199" s="69"/>
      <c r="U199" s="69"/>
      <c r="V199" s="69"/>
      <c r="W199" s="69"/>
      <c r="X199" s="69"/>
      <c r="Y199" s="69"/>
      <c r="Z199" s="69"/>
      <c r="AA199" s="69"/>
      <c r="AB199" s="69"/>
    </row>
    <row r="200" spans="1:28" s="84" customFormat="1" ht="13.5" hidden="1" thickTop="1">
      <c r="A200" s="69"/>
      <c r="B200" s="69"/>
      <c r="E200" s="85"/>
      <c r="H200" s="68"/>
      <c r="I200" s="69"/>
      <c r="J200" s="69"/>
      <c r="K200" s="69"/>
      <c r="L200" s="69"/>
      <c r="M200" s="69"/>
      <c r="N200" s="69"/>
      <c r="O200" s="69"/>
      <c r="P200" s="69"/>
      <c r="Q200" s="69"/>
      <c r="R200" s="69"/>
      <c r="S200" s="69"/>
      <c r="T200" s="69"/>
      <c r="U200" s="69"/>
      <c r="V200" s="69"/>
      <c r="W200" s="69"/>
      <c r="X200" s="69"/>
      <c r="Y200" s="69"/>
      <c r="Z200" s="69"/>
      <c r="AA200" s="69"/>
      <c r="AB200" s="69"/>
    </row>
    <row r="201" spans="1:28" s="84" customFormat="1" ht="13.5" hidden="1" thickTop="1">
      <c r="A201" s="69"/>
      <c r="B201" s="69"/>
      <c r="E201" s="85"/>
      <c r="H201" s="68"/>
      <c r="I201" s="69"/>
      <c r="J201" s="69"/>
      <c r="K201" s="69"/>
      <c r="L201" s="69"/>
      <c r="M201" s="69"/>
      <c r="N201" s="69"/>
      <c r="O201" s="69"/>
      <c r="P201" s="69"/>
      <c r="Q201" s="69"/>
      <c r="R201" s="69"/>
      <c r="S201" s="69"/>
      <c r="T201" s="69"/>
      <c r="U201" s="69"/>
      <c r="V201" s="69"/>
      <c r="W201" s="69"/>
      <c r="X201" s="69"/>
      <c r="Y201" s="69"/>
      <c r="Z201" s="69"/>
      <c r="AA201" s="69"/>
      <c r="AB201" s="69"/>
    </row>
    <row r="202" spans="1:28" s="84" customFormat="1" ht="13.5" hidden="1" thickTop="1">
      <c r="A202" s="69"/>
      <c r="B202" s="69"/>
      <c r="E202" s="85"/>
      <c r="H202" s="68"/>
      <c r="I202" s="69"/>
      <c r="J202" s="69"/>
      <c r="K202" s="69"/>
      <c r="L202" s="69"/>
      <c r="M202" s="69"/>
      <c r="N202" s="69"/>
      <c r="O202" s="69"/>
      <c r="P202" s="69"/>
      <c r="Q202" s="69"/>
      <c r="R202" s="69"/>
      <c r="S202" s="69"/>
      <c r="T202" s="69"/>
      <c r="U202" s="69"/>
      <c r="V202" s="69"/>
      <c r="W202" s="69"/>
      <c r="X202" s="69"/>
      <c r="Y202" s="69"/>
      <c r="Z202" s="69"/>
      <c r="AA202" s="69"/>
      <c r="AB202" s="69"/>
    </row>
    <row r="203" spans="1:28" s="84" customFormat="1" ht="13.5" hidden="1" thickTop="1">
      <c r="A203" s="69"/>
      <c r="B203" s="69"/>
      <c r="E203" s="85"/>
      <c r="H203" s="68"/>
      <c r="I203" s="69"/>
      <c r="J203" s="69"/>
      <c r="K203" s="69"/>
      <c r="L203" s="69"/>
      <c r="M203" s="69"/>
      <c r="N203" s="69"/>
      <c r="O203" s="69"/>
      <c r="P203" s="69"/>
      <c r="Q203" s="69"/>
      <c r="R203" s="69"/>
      <c r="S203" s="69"/>
      <c r="T203" s="69"/>
      <c r="U203" s="69"/>
      <c r="V203" s="69"/>
      <c r="W203" s="69"/>
      <c r="X203" s="69"/>
      <c r="Y203" s="69"/>
      <c r="Z203" s="69"/>
      <c r="AA203" s="69"/>
      <c r="AB203" s="69"/>
    </row>
    <row r="204" spans="1:28" s="84" customFormat="1" ht="13.5" hidden="1" thickTop="1">
      <c r="A204" s="69"/>
      <c r="B204" s="69"/>
      <c r="E204" s="85"/>
      <c r="H204" s="68"/>
      <c r="I204" s="69"/>
      <c r="J204" s="69"/>
      <c r="K204" s="69"/>
      <c r="L204" s="69"/>
      <c r="M204" s="69"/>
      <c r="N204" s="69"/>
      <c r="O204" s="69"/>
      <c r="P204" s="69"/>
      <c r="Q204" s="69"/>
      <c r="R204" s="69"/>
      <c r="S204" s="69"/>
      <c r="T204" s="69"/>
      <c r="U204" s="69"/>
      <c r="V204" s="69"/>
      <c r="W204" s="69"/>
      <c r="X204" s="69"/>
      <c r="Y204" s="69"/>
      <c r="Z204" s="69"/>
      <c r="AA204" s="69"/>
      <c r="AB204" s="69"/>
    </row>
    <row r="205" spans="1:28" s="84" customFormat="1" ht="13.5" hidden="1" thickTop="1">
      <c r="A205" s="69"/>
      <c r="B205" s="69"/>
      <c r="E205" s="85"/>
      <c r="H205" s="68"/>
      <c r="I205" s="69"/>
      <c r="J205" s="69"/>
      <c r="K205" s="69"/>
      <c r="L205" s="69"/>
      <c r="M205" s="69"/>
      <c r="N205" s="69"/>
      <c r="O205" s="69"/>
      <c r="P205" s="69"/>
      <c r="Q205" s="69"/>
      <c r="R205" s="69"/>
      <c r="S205" s="69"/>
      <c r="T205" s="69"/>
      <c r="U205" s="69"/>
      <c r="V205" s="69"/>
      <c r="W205" s="69"/>
      <c r="X205" s="69"/>
      <c r="Y205" s="69"/>
      <c r="Z205" s="69"/>
      <c r="AA205" s="69"/>
      <c r="AB205" s="69"/>
    </row>
    <row r="206" spans="1:28" s="84" customFormat="1" ht="13.5" hidden="1" thickTop="1">
      <c r="A206" s="69"/>
      <c r="B206" s="69"/>
      <c r="E206" s="85"/>
      <c r="H206" s="68"/>
      <c r="I206" s="69"/>
      <c r="J206" s="69"/>
      <c r="K206" s="69"/>
      <c r="L206" s="69"/>
      <c r="M206" s="69"/>
      <c r="N206" s="69"/>
      <c r="O206" s="69"/>
      <c r="P206" s="69"/>
      <c r="Q206" s="69"/>
      <c r="R206" s="69"/>
      <c r="S206" s="69"/>
      <c r="T206" s="69"/>
      <c r="U206" s="69"/>
      <c r="V206" s="69"/>
      <c r="W206" s="69"/>
      <c r="X206" s="69"/>
      <c r="Y206" s="69"/>
      <c r="Z206" s="69"/>
      <c r="AA206" s="69"/>
      <c r="AB206" s="69"/>
    </row>
    <row r="207" ht="15.75" hidden="1" thickTop="1"/>
    <row r="208" ht="15.75" hidden="1" thickTop="1"/>
    <row r="209" ht="15.75" hidden="1" thickTop="1"/>
    <row r="210" ht="15.75" hidden="1" thickTop="1"/>
    <row r="211" ht="15.75" hidden="1" thickTop="1"/>
    <row r="212" ht="15.75" hidden="1" thickTop="1"/>
    <row r="213" ht="15.75" hidden="1" thickTop="1"/>
    <row r="214" ht="15.75" hidden="1" thickTop="1"/>
    <row r="215" ht="15.75" hidden="1" thickTop="1"/>
    <row r="216" ht="15.75" hidden="1" thickTop="1"/>
    <row r="217" ht="15.75" hidden="1" thickTop="1"/>
    <row r="218" ht="15.75" hidden="1" thickTop="1"/>
    <row r="219" ht="15.75" hidden="1" thickTop="1"/>
    <row r="220" ht="15.75" hidden="1" thickTop="1"/>
    <row r="221" ht="15.75" hidden="1" thickTop="1"/>
    <row r="222" ht="15.75" hidden="1" thickTop="1"/>
    <row r="223" ht="15.75" hidden="1" thickTop="1"/>
    <row r="224" ht="15.75" hidden="1" thickTop="1"/>
    <row r="225" ht="15.75" hidden="1" thickTop="1"/>
    <row r="226" ht="15.75" hidden="1" thickTop="1"/>
    <row r="227" ht="15.75" hidden="1" thickTop="1"/>
    <row r="228" ht="15.75" hidden="1" thickTop="1"/>
    <row r="229" ht="15.75" hidden="1" thickTop="1"/>
    <row r="230" ht="15.75" hidden="1" thickTop="1"/>
    <row r="231" ht="15.75" hidden="1" thickTop="1"/>
    <row r="232" ht="15.75" hidden="1" thickTop="1"/>
    <row r="233" ht="15.75" hidden="1" thickTop="1"/>
    <row r="234" ht="15.75" hidden="1" thickTop="1"/>
    <row r="235" ht="15.75" hidden="1" thickTop="1"/>
    <row r="236" ht="15.75" hidden="1" thickTop="1"/>
    <row r="237" ht="15.75" hidden="1" thickTop="1"/>
    <row r="238" ht="15.75" hidden="1" thickTop="1"/>
    <row r="239" ht="15.75" hidden="1" thickTop="1"/>
    <row r="240" ht="15.75" hidden="1" thickTop="1"/>
    <row r="241" ht="15.75" hidden="1" thickTop="1"/>
    <row r="242" ht="15.75" hidden="1" thickTop="1"/>
    <row r="243" ht="15.75" hidden="1" thickTop="1"/>
    <row r="244" ht="15.75" hidden="1" thickTop="1"/>
    <row r="245"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88"/>
    <dataValidation allowBlank="1" showInputMessage="1" showErrorMessage="1" prompt="El resultado de esta columa es la base de la partida 1303 del formato 14-E." sqref="IU188"/>
    <dataValidation allowBlank="1" showInputMessage="1" showErrorMessage="1" prompt="El resultado de esta columa es la base de la partida 1302 del formato 14-E." sqref="IT188"/>
    <dataValidation allowBlank="1" showInputMessage="1" showErrorMessage="1" prompt="El resultado de esta columa es la base de la partida 1301 del formato 14-E." sqref="IS188"/>
    <dataValidation allowBlank="1" showInputMessage="1" showErrorMessage="1" prompt="El resultado de esta columna es el estimado de los sueldos y salarios del personal permanente, partida 1101 en el formato 14-E." sqref="IR188"/>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89: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89:IK65536"/>
    <dataValidation allowBlank="1" showInputMessage="1" showErrorMessage="1" prompt="Captura el nombre asignado o el nombre como se le identifica a la plaza (ejem. Jefe de Ingresos, Secretario Particular, Oficial Mayor, etc.)" sqref="IJ189: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89: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89: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C3" sqref="C3"/>
    </sheetView>
  </sheetViews>
  <sheetFormatPr defaultColWidth="0" defaultRowHeight="15" zeroHeight="1"/>
  <cols>
    <col min="1" max="1" width="9.421875" style="14" customWidth="1"/>
    <col min="2" max="2" width="6.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aca="true" t="shared" si="0" ref="M4:M24">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15" customFormat="1" ht="25.5" customHeight="1">
      <c r="A7" s="306" t="s">
        <v>764</v>
      </c>
      <c r="B7" s="307">
        <v>100</v>
      </c>
      <c r="C7" s="308" t="s">
        <v>771</v>
      </c>
      <c r="D7" s="311">
        <v>7753537</v>
      </c>
      <c r="E7" s="311">
        <v>3583557</v>
      </c>
      <c r="F7" s="311">
        <v>3190634</v>
      </c>
      <c r="G7" s="311"/>
      <c r="H7" s="311"/>
      <c r="I7" s="311"/>
      <c r="J7" s="311"/>
      <c r="K7" s="311"/>
      <c r="L7" s="311"/>
      <c r="M7" s="310">
        <f t="shared" si="0"/>
        <v>14527728</v>
      </c>
    </row>
    <row r="8" spans="1:13" s="115" customFormat="1" ht="25.5" customHeight="1">
      <c r="A8" s="306" t="s">
        <v>764</v>
      </c>
      <c r="B8" s="307">
        <v>200</v>
      </c>
      <c r="C8" s="312" t="s">
        <v>1401</v>
      </c>
      <c r="D8" s="311">
        <v>1269523</v>
      </c>
      <c r="E8" s="311">
        <v>96148</v>
      </c>
      <c r="F8" s="311">
        <v>85538</v>
      </c>
      <c r="G8" s="311"/>
      <c r="H8" s="311"/>
      <c r="I8" s="311"/>
      <c r="J8" s="311"/>
      <c r="K8" s="311"/>
      <c r="L8" s="311"/>
      <c r="M8" s="310">
        <f t="shared" si="0"/>
        <v>1451209</v>
      </c>
    </row>
    <row r="9" spans="1:13" s="115" customFormat="1" ht="25.5" customHeight="1">
      <c r="A9" s="306" t="s">
        <v>764</v>
      </c>
      <c r="B9" s="307">
        <v>300</v>
      </c>
      <c r="C9" s="308" t="s">
        <v>1402</v>
      </c>
      <c r="D9" s="311">
        <v>1735079</v>
      </c>
      <c r="E9" s="311">
        <v>179454</v>
      </c>
      <c r="F9" s="311">
        <v>159777</v>
      </c>
      <c r="G9" s="311"/>
      <c r="H9" s="311"/>
      <c r="I9" s="311"/>
      <c r="J9" s="311"/>
      <c r="K9" s="311"/>
      <c r="L9" s="311"/>
      <c r="M9" s="310">
        <f t="shared" si="0"/>
        <v>2074310</v>
      </c>
    </row>
    <row r="10" spans="1:13" s="118" customFormat="1" ht="25.5" customHeight="1">
      <c r="A10" s="306" t="s">
        <v>764</v>
      </c>
      <c r="B10" s="307">
        <v>400</v>
      </c>
      <c r="C10" s="308" t="s">
        <v>1403</v>
      </c>
      <c r="D10" s="311">
        <v>1057457</v>
      </c>
      <c r="E10" s="311">
        <v>66656</v>
      </c>
      <c r="F10" s="311">
        <v>59347</v>
      </c>
      <c r="G10" s="311"/>
      <c r="H10" s="311"/>
      <c r="I10" s="311"/>
      <c r="J10" s="311"/>
      <c r="K10" s="311"/>
      <c r="L10" s="311"/>
      <c r="M10" s="310">
        <f t="shared" si="0"/>
        <v>1183460</v>
      </c>
    </row>
    <row r="11" spans="1:13" s="118" customFormat="1" ht="25.5" customHeight="1">
      <c r="A11" s="306" t="s">
        <v>764</v>
      </c>
      <c r="B11" s="307">
        <v>500</v>
      </c>
      <c r="C11" s="308" t="s">
        <v>1404</v>
      </c>
      <c r="D11" s="311">
        <v>3766537</v>
      </c>
      <c r="E11" s="311">
        <v>845666</v>
      </c>
      <c r="F11" s="311">
        <v>752942</v>
      </c>
      <c r="G11" s="311">
        <v>9784322</v>
      </c>
      <c r="H11" s="311">
        <v>420000</v>
      </c>
      <c r="I11" s="311"/>
      <c r="J11" s="311"/>
      <c r="K11" s="311"/>
      <c r="L11" s="311">
        <v>9012098</v>
      </c>
      <c r="M11" s="310">
        <f t="shared" si="0"/>
        <v>24581565</v>
      </c>
    </row>
    <row r="12" spans="1:13" s="118" customFormat="1" ht="25.5" customHeight="1">
      <c r="A12" s="306" t="s">
        <v>764</v>
      </c>
      <c r="B12" s="307">
        <v>600</v>
      </c>
      <c r="C12" s="308" t="s">
        <v>1405</v>
      </c>
      <c r="D12" s="311">
        <v>9646411</v>
      </c>
      <c r="E12" s="311">
        <v>5369281</v>
      </c>
      <c r="F12" s="311">
        <v>6619961</v>
      </c>
      <c r="G12" s="311"/>
      <c r="H12" s="311"/>
      <c r="I12" s="311"/>
      <c r="J12" s="311"/>
      <c r="K12" s="311"/>
      <c r="L12" s="311"/>
      <c r="M12" s="310">
        <f t="shared" si="0"/>
        <v>21635653</v>
      </c>
    </row>
    <row r="13" spans="1:13" s="118" customFormat="1" ht="25.5" customHeight="1">
      <c r="A13" s="306" t="s">
        <v>764</v>
      </c>
      <c r="B13" s="307">
        <v>700</v>
      </c>
      <c r="C13" s="308" t="s">
        <v>1406</v>
      </c>
      <c r="D13" s="311">
        <v>9225177</v>
      </c>
      <c r="E13" s="311">
        <v>5072990</v>
      </c>
      <c r="F13" s="311">
        <v>6582757</v>
      </c>
      <c r="G13" s="311"/>
      <c r="H13" s="311">
        <v>2800000</v>
      </c>
      <c r="I13" s="311"/>
      <c r="J13" s="311"/>
      <c r="K13" s="311"/>
      <c r="L13" s="311"/>
      <c r="M13" s="310">
        <f t="shared" si="0"/>
        <v>23680924</v>
      </c>
    </row>
    <row r="14" spans="1:13" s="115" customFormat="1" ht="25.5" customHeight="1">
      <c r="A14" s="306"/>
      <c r="B14" s="307">
        <v>800</v>
      </c>
      <c r="C14" s="308" t="s">
        <v>1407</v>
      </c>
      <c r="D14" s="311">
        <v>2653634</v>
      </c>
      <c r="E14" s="311">
        <v>419755</v>
      </c>
      <c r="F14" s="311">
        <v>373731</v>
      </c>
      <c r="G14" s="311"/>
      <c r="H14" s="311"/>
      <c r="I14" s="311">
        <v>21497229</v>
      </c>
      <c r="J14" s="311"/>
      <c r="K14" s="311"/>
      <c r="L14" s="311"/>
      <c r="M14" s="310">
        <f t="shared" si="0"/>
        <v>24944349</v>
      </c>
    </row>
    <row r="15" spans="1:13" s="115" customFormat="1" ht="25.5" customHeight="1">
      <c r="A15" s="306"/>
      <c r="B15" s="307">
        <v>900</v>
      </c>
      <c r="C15" s="308" t="s">
        <v>1408</v>
      </c>
      <c r="D15" s="311">
        <v>1590005</v>
      </c>
      <c r="E15" s="311">
        <v>150699</v>
      </c>
      <c r="F15" s="311">
        <v>134176</v>
      </c>
      <c r="G15" s="311"/>
      <c r="H15" s="311"/>
      <c r="I15" s="311"/>
      <c r="J15" s="311"/>
      <c r="K15" s="311"/>
      <c r="L15" s="311"/>
      <c r="M15" s="310">
        <f t="shared" si="0"/>
        <v>1874880</v>
      </c>
    </row>
    <row r="16" spans="1:13" ht="25.5" customHeight="1">
      <c r="A16" s="306"/>
      <c r="B16" s="307">
        <v>10000</v>
      </c>
      <c r="C16" s="308" t="s">
        <v>1409</v>
      </c>
      <c r="D16" s="309">
        <v>699404</v>
      </c>
      <c r="E16" s="309">
        <v>29158</v>
      </c>
      <c r="F16" s="309">
        <v>25965</v>
      </c>
      <c r="G16" s="309"/>
      <c r="H16" s="309"/>
      <c r="I16" s="309"/>
      <c r="J16" s="309"/>
      <c r="K16" s="309"/>
      <c r="L16" s="309"/>
      <c r="M16" s="310">
        <f t="shared" si="0"/>
        <v>754527</v>
      </c>
    </row>
    <row r="17" spans="1:13" ht="25.5" customHeight="1">
      <c r="A17" s="306"/>
      <c r="B17" s="307">
        <v>20000</v>
      </c>
      <c r="C17" s="308" t="s">
        <v>1410</v>
      </c>
      <c r="D17" s="309">
        <v>4018348</v>
      </c>
      <c r="E17" s="309">
        <v>962518</v>
      </c>
      <c r="F17" s="309">
        <v>856983</v>
      </c>
      <c r="G17" s="309"/>
      <c r="H17" s="309"/>
      <c r="I17" s="309"/>
      <c r="J17" s="309"/>
      <c r="K17" s="309"/>
      <c r="L17" s="309"/>
      <c r="M17" s="310">
        <f t="shared" si="0"/>
        <v>5837849</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43415112</v>
      </c>
      <c r="E25" s="18">
        <f aca="true" t="shared" si="1" ref="E25:L25">SUM(E3:E24)</f>
        <v>16775882</v>
      </c>
      <c r="F25" s="18">
        <f t="shared" si="1"/>
        <v>18841811</v>
      </c>
      <c r="G25" s="18">
        <f t="shared" si="1"/>
        <v>9784322</v>
      </c>
      <c r="H25" s="18">
        <f t="shared" si="1"/>
        <v>3220000</v>
      </c>
      <c r="I25" s="18">
        <f t="shared" si="1"/>
        <v>21497229</v>
      </c>
      <c r="J25" s="18">
        <f t="shared" si="1"/>
        <v>0</v>
      </c>
      <c r="K25" s="18">
        <f t="shared" si="1"/>
        <v>0</v>
      </c>
      <c r="L25" s="18">
        <f t="shared" si="1"/>
        <v>9012098</v>
      </c>
      <c r="M25" s="18">
        <f>SUM(D25:L25)</f>
        <v>122546454</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5"/>
  <sheetViews>
    <sheetView showGridLines="0" zoomScalePageLayoutView="0" workbookViewId="0" topLeftCell="A1">
      <selection activeCell="I2" sqref="I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v>1</v>
      </c>
      <c r="C2" s="306">
        <v>1</v>
      </c>
      <c r="D2" s="306">
        <v>100</v>
      </c>
      <c r="E2" s="306"/>
      <c r="F2" s="306"/>
      <c r="G2" s="306"/>
      <c r="H2" s="306"/>
      <c r="I2" s="312" t="s">
        <v>634</v>
      </c>
      <c r="J2" s="309">
        <v>7753537</v>
      </c>
      <c r="K2" s="309">
        <v>3583557</v>
      </c>
      <c r="L2" s="309">
        <v>3190634</v>
      </c>
      <c r="M2" s="309"/>
      <c r="N2" s="309"/>
      <c r="O2" s="309"/>
      <c r="P2" s="309"/>
      <c r="Q2" s="309"/>
      <c r="R2" s="309"/>
      <c r="S2" s="310">
        <f aca="true" t="shared" si="0" ref="S2:S31">SUM(J2:R2)</f>
        <v>14527728</v>
      </c>
    </row>
    <row r="3" spans="1:19" ht="25.5" customHeight="1">
      <c r="A3" s="306">
        <v>1</v>
      </c>
      <c r="B3" s="306">
        <v>3</v>
      </c>
      <c r="C3" s="306">
        <v>1</v>
      </c>
      <c r="D3" s="306">
        <v>300</v>
      </c>
      <c r="E3" s="306"/>
      <c r="F3" s="306"/>
      <c r="G3" s="306"/>
      <c r="H3" s="306"/>
      <c r="I3" s="312" t="s">
        <v>1411</v>
      </c>
      <c r="J3" s="309">
        <v>1269523</v>
      </c>
      <c r="K3" s="309">
        <v>96148</v>
      </c>
      <c r="L3" s="309">
        <v>85538</v>
      </c>
      <c r="M3" s="309"/>
      <c r="N3" s="309"/>
      <c r="O3" s="309"/>
      <c r="P3" s="309"/>
      <c r="Q3" s="309"/>
      <c r="R3" s="309"/>
      <c r="S3" s="310">
        <f t="shared" si="0"/>
        <v>1451209</v>
      </c>
    </row>
    <row r="4" spans="1:19" ht="25.5" customHeight="1">
      <c r="A4" s="306">
        <v>1</v>
      </c>
      <c r="B4" s="306">
        <v>3</v>
      </c>
      <c r="C4" s="306">
        <v>4</v>
      </c>
      <c r="D4" s="306">
        <v>400</v>
      </c>
      <c r="E4" s="306"/>
      <c r="F4" s="306"/>
      <c r="G4" s="306"/>
      <c r="H4" s="306"/>
      <c r="I4" s="312" t="s">
        <v>651</v>
      </c>
      <c r="J4" s="311">
        <v>4018348</v>
      </c>
      <c r="K4" s="311">
        <v>962518</v>
      </c>
      <c r="L4" s="311">
        <v>856983</v>
      </c>
      <c r="M4" s="311"/>
      <c r="N4" s="311"/>
      <c r="O4" s="311"/>
      <c r="P4" s="311"/>
      <c r="Q4" s="311"/>
      <c r="R4" s="311"/>
      <c r="S4" s="310">
        <f t="shared" si="0"/>
        <v>5837849</v>
      </c>
    </row>
    <row r="5" spans="1:19" ht="25.5" customHeight="1">
      <c r="A5" s="306">
        <v>1</v>
      </c>
      <c r="B5" s="306">
        <v>3</v>
      </c>
      <c r="C5" s="306">
        <v>5</v>
      </c>
      <c r="D5" s="306">
        <v>500</v>
      </c>
      <c r="E5" s="306"/>
      <c r="F5" s="306"/>
      <c r="G5" s="306"/>
      <c r="H5" s="306"/>
      <c r="I5" s="312" t="s">
        <v>1413</v>
      </c>
      <c r="J5" s="311">
        <f>1735079+1057457</f>
        <v>2792536</v>
      </c>
      <c r="K5" s="311">
        <f>179454+66656</f>
        <v>246110</v>
      </c>
      <c r="L5" s="311">
        <f>159777+59347</f>
        <v>219124</v>
      </c>
      <c r="M5" s="311"/>
      <c r="N5" s="311"/>
      <c r="O5" s="311"/>
      <c r="P5" s="311"/>
      <c r="Q5" s="311"/>
      <c r="R5" s="311"/>
      <c r="S5" s="310">
        <f t="shared" si="0"/>
        <v>3257770</v>
      </c>
    </row>
    <row r="6" spans="1:19" s="130" customFormat="1" ht="25.5" customHeight="1">
      <c r="A6" s="306">
        <v>1</v>
      </c>
      <c r="B6" s="306">
        <v>3</v>
      </c>
      <c r="C6" s="306">
        <v>9</v>
      </c>
      <c r="D6" s="306">
        <v>900</v>
      </c>
      <c r="E6" s="306"/>
      <c r="F6" s="306"/>
      <c r="G6" s="306"/>
      <c r="H6" s="306"/>
      <c r="I6" s="312" t="s">
        <v>532</v>
      </c>
      <c r="J6" s="311">
        <v>1590005</v>
      </c>
      <c r="K6" s="311">
        <v>150699</v>
      </c>
      <c r="L6" s="311">
        <v>134176</v>
      </c>
      <c r="M6" s="311"/>
      <c r="N6" s="311"/>
      <c r="O6" s="311"/>
      <c r="P6" s="311"/>
      <c r="Q6" s="311"/>
      <c r="R6" s="311"/>
      <c r="S6" s="310"/>
    </row>
    <row r="7" spans="1:19" ht="25.5" customHeight="1">
      <c r="A7" s="306">
        <v>1</v>
      </c>
      <c r="B7" s="306">
        <v>5</v>
      </c>
      <c r="C7" s="306">
        <v>2</v>
      </c>
      <c r="D7" s="306">
        <v>200</v>
      </c>
      <c r="E7" s="306"/>
      <c r="F7" s="306"/>
      <c r="G7" s="306"/>
      <c r="H7" s="306"/>
      <c r="I7" s="312" t="s">
        <v>1414</v>
      </c>
      <c r="J7" s="311">
        <v>3766537</v>
      </c>
      <c r="K7" s="311">
        <v>845666</v>
      </c>
      <c r="L7" s="311">
        <v>752942</v>
      </c>
      <c r="M7" s="311">
        <v>9784322</v>
      </c>
      <c r="N7" s="311">
        <v>420000</v>
      </c>
      <c r="O7" s="311"/>
      <c r="P7" s="311"/>
      <c r="Q7" s="311"/>
      <c r="R7" s="311">
        <v>9012098</v>
      </c>
      <c r="S7" s="310">
        <f t="shared" si="0"/>
        <v>24581565</v>
      </c>
    </row>
    <row r="8" spans="1:19" ht="25.5" customHeight="1">
      <c r="A8" s="306">
        <v>1</v>
      </c>
      <c r="B8" s="306">
        <v>7</v>
      </c>
      <c r="C8" s="306">
        <v>1</v>
      </c>
      <c r="D8" s="306">
        <v>100</v>
      </c>
      <c r="E8" s="306"/>
      <c r="F8" s="306"/>
      <c r="G8" s="306"/>
      <c r="H8" s="306"/>
      <c r="I8" s="312" t="s">
        <v>677</v>
      </c>
      <c r="J8" s="311">
        <v>9225177</v>
      </c>
      <c r="K8" s="311">
        <v>5072990</v>
      </c>
      <c r="L8" s="311">
        <v>6582757</v>
      </c>
      <c r="M8" s="311"/>
      <c r="N8" s="311">
        <v>2800000</v>
      </c>
      <c r="O8" s="311"/>
      <c r="P8" s="311"/>
      <c r="Q8" s="311"/>
      <c r="R8" s="311"/>
      <c r="S8" s="310">
        <f t="shared" si="0"/>
        <v>23680924</v>
      </c>
    </row>
    <row r="9" spans="1:19" ht="25.5" customHeight="1">
      <c r="A9" s="306">
        <v>1</v>
      </c>
      <c r="B9" s="306">
        <v>8</v>
      </c>
      <c r="C9" s="306">
        <v>1</v>
      </c>
      <c r="D9" s="306">
        <v>100</v>
      </c>
      <c r="E9" s="306"/>
      <c r="F9" s="306"/>
      <c r="G9" s="306"/>
      <c r="H9" s="306"/>
      <c r="I9" s="312" t="s">
        <v>1412</v>
      </c>
      <c r="J9" s="311">
        <v>9646411</v>
      </c>
      <c r="K9" s="311">
        <v>5369281</v>
      </c>
      <c r="L9" s="311">
        <v>6619961</v>
      </c>
      <c r="M9" s="311"/>
      <c r="N9" s="311"/>
      <c r="O9" s="311"/>
      <c r="P9" s="311"/>
      <c r="Q9" s="311"/>
      <c r="R9" s="311"/>
      <c r="S9" s="310">
        <f t="shared" si="0"/>
        <v>21635653</v>
      </c>
    </row>
    <row r="10" spans="1:19" ht="25.5" customHeight="1">
      <c r="A10" s="306">
        <v>2</v>
      </c>
      <c r="B10" s="306">
        <v>2</v>
      </c>
      <c r="C10" s="306">
        <v>1</v>
      </c>
      <c r="D10" s="306">
        <v>100</v>
      </c>
      <c r="E10" s="306"/>
      <c r="F10" s="306"/>
      <c r="G10" s="306"/>
      <c r="H10" s="306"/>
      <c r="I10" s="312" t="s">
        <v>1415</v>
      </c>
      <c r="J10" s="309">
        <v>2653634</v>
      </c>
      <c r="K10" s="309">
        <v>419755</v>
      </c>
      <c r="L10" s="309">
        <v>373731</v>
      </c>
      <c r="M10" s="309"/>
      <c r="N10" s="309"/>
      <c r="O10" s="309">
        <v>21497229</v>
      </c>
      <c r="P10" s="309"/>
      <c r="Q10" s="309"/>
      <c r="R10" s="309"/>
      <c r="S10" s="310">
        <f t="shared" si="0"/>
        <v>24944349</v>
      </c>
    </row>
    <row r="11" spans="1:19" ht="25.5" customHeight="1">
      <c r="A11" s="306">
        <v>2</v>
      </c>
      <c r="B11" s="306">
        <v>7</v>
      </c>
      <c r="C11" s="306">
        <v>1</v>
      </c>
      <c r="D11" s="306">
        <v>100</v>
      </c>
      <c r="E11" s="306"/>
      <c r="F11" s="306"/>
      <c r="G11" s="306"/>
      <c r="H11" s="306"/>
      <c r="I11" s="312" t="s">
        <v>1416</v>
      </c>
      <c r="J11" s="311">
        <v>699404</v>
      </c>
      <c r="K11" s="311">
        <v>29158</v>
      </c>
      <c r="L11" s="311">
        <v>25965</v>
      </c>
      <c r="M11" s="311"/>
      <c r="N11" s="311"/>
      <c r="O11" s="311"/>
      <c r="P11" s="311"/>
      <c r="Q11" s="311"/>
      <c r="R11" s="311"/>
      <c r="S11" s="310">
        <f t="shared" si="0"/>
        <v>754527</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11"/>
      <c r="K18" s="311"/>
      <c r="L18" s="311"/>
      <c r="M18" s="311"/>
      <c r="N18" s="311"/>
      <c r="O18" s="311"/>
      <c r="P18" s="311"/>
      <c r="Q18" s="311"/>
      <c r="R18" s="311"/>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306"/>
      <c r="B30" s="306"/>
      <c r="C30" s="306"/>
      <c r="D30" s="306"/>
      <c r="E30" s="306"/>
      <c r="F30" s="306"/>
      <c r="G30" s="306"/>
      <c r="H30" s="306"/>
      <c r="I30" s="312"/>
      <c r="J30" s="309"/>
      <c r="K30" s="309"/>
      <c r="L30" s="309"/>
      <c r="M30" s="309"/>
      <c r="N30" s="309"/>
      <c r="O30" s="309"/>
      <c r="P30" s="309"/>
      <c r="Q30" s="309"/>
      <c r="R30" s="309"/>
      <c r="S30" s="310">
        <f t="shared" si="0"/>
        <v>0</v>
      </c>
    </row>
    <row r="31" spans="1:19" ht="25.5" customHeight="1">
      <c r="A31" s="19"/>
      <c r="B31" s="20"/>
      <c r="C31" s="20"/>
      <c r="D31" s="20"/>
      <c r="E31" s="20"/>
      <c r="F31" s="20"/>
      <c r="G31" s="20"/>
      <c r="H31" s="20"/>
      <c r="I31" s="21" t="s">
        <v>519</v>
      </c>
      <c r="J31" s="18">
        <f>SUM(J2:J30)</f>
        <v>43415112</v>
      </c>
      <c r="K31" s="18">
        <f aca="true" t="shared" si="1" ref="K31:R31">SUM(K2:K30)</f>
        <v>16775882</v>
      </c>
      <c r="L31" s="18">
        <f t="shared" si="1"/>
        <v>18841811</v>
      </c>
      <c r="M31" s="18">
        <f t="shared" si="1"/>
        <v>9784322</v>
      </c>
      <c r="N31" s="18">
        <f t="shared" si="1"/>
        <v>3220000</v>
      </c>
      <c r="O31" s="18">
        <f t="shared" si="1"/>
        <v>21497229</v>
      </c>
      <c r="P31" s="18">
        <f t="shared" si="1"/>
        <v>0</v>
      </c>
      <c r="Q31" s="18">
        <f t="shared" si="1"/>
        <v>0</v>
      </c>
      <c r="R31" s="18">
        <f t="shared" si="1"/>
        <v>9012098</v>
      </c>
      <c r="S31" s="18">
        <f t="shared" si="0"/>
        <v>122546454</v>
      </c>
    </row>
    <row r="32" spans="1:9" ht="2.25" customHeight="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7"/>
    </row>
    <row r="40" spans="1:9" ht="25.5" customHeight="1" hidden="1">
      <c r="A40" s="2"/>
      <c r="B40" s="2"/>
      <c r="C40" s="2"/>
      <c r="D40" s="2"/>
      <c r="E40" s="2"/>
      <c r="F40" s="2"/>
      <c r="G40" s="2"/>
      <c r="H40" s="2"/>
      <c r="I40" s="4"/>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7"/>
    </row>
    <row r="44" spans="1:9" ht="25.5" customHeight="1" hidden="1">
      <c r="A44" s="2"/>
      <c r="B44" s="2"/>
      <c r="C44" s="2"/>
      <c r="D44" s="2"/>
      <c r="E44" s="2"/>
      <c r="F44" s="2"/>
      <c r="G44" s="2"/>
      <c r="H44" s="2"/>
      <c r="I44" s="4"/>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7"/>
    </row>
    <row r="54" spans="1:9" ht="25.5" customHeight="1" hidden="1">
      <c r="A54" s="2"/>
      <c r="B54" s="2"/>
      <c r="C54" s="2"/>
      <c r="D54" s="2"/>
      <c r="E54" s="2"/>
      <c r="F54" s="2"/>
      <c r="G54" s="2"/>
      <c r="H54" s="2"/>
      <c r="I54" s="4"/>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4"/>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7"/>
    </row>
    <row r="72" spans="1:9" ht="25.5" customHeight="1" hidden="1">
      <c r="A72" s="2"/>
      <c r="B72" s="2"/>
      <c r="C72" s="2"/>
      <c r="D72" s="2"/>
      <c r="E72" s="2"/>
      <c r="F72" s="2"/>
      <c r="G72" s="2"/>
      <c r="H72" s="2"/>
      <c r="I72" s="4"/>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4"/>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4"/>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7"/>
    </row>
    <row r="85" spans="1:9" ht="25.5" customHeight="1" hidden="1">
      <c r="A85" s="2"/>
      <c r="B85" s="2"/>
      <c r="C85" s="2"/>
      <c r="D85" s="2"/>
      <c r="E85" s="2"/>
      <c r="F85" s="2"/>
      <c r="G85" s="2"/>
      <c r="H85" s="2"/>
      <c r="I85" s="4"/>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7"/>
    </row>
    <row r="95" spans="1:9" ht="25.5" customHeight="1" hidden="1">
      <c r="A95" s="2"/>
      <c r="B95" s="2"/>
      <c r="C95" s="2"/>
      <c r="D95" s="2"/>
      <c r="E95" s="2"/>
      <c r="F95" s="2"/>
      <c r="G95" s="2"/>
      <c r="H95" s="2"/>
      <c r="I95" s="4"/>
    </row>
    <row r="96" spans="1:9" ht="25.5" customHeight="1" hidden="1">
      <c r="A96" s="2"/>
      <c r="B96" s="2"/>
      <c r="C96" s="2"/>
      <c r="D96" s="2"/>
      <c r="E96" s="2"/>
      <c r="F96" s="2"/>
      <c r="G96" s="2"/>
      <c r="H96" s="2"/>
      <c r="I96" s="4"/>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4"/>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4"/>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4"/>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4"/>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4"/>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4"/>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4"/>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4"/>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4"/>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4"/>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4"/>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4"/>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4"/>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4"/>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7"/>
    </row>
    <row r="222" spans="1:9" ht="25.5" customHeight="1" hidden="1">
      <c r="A222" s="2"/>
      <c r="B222" s="2"/>
      <c r="C222" s="2"/>
      <c r="D222" s="2"/>
      <c r="E222" s="2"/>
      <c r="F222" s="2"/>
      <c r="G222" s="2"/>
      <c r="H222" s="2"/>
      <c r="I222" s="4"/>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4"/>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7"/>
    </row>
    <row r="234" spans="1:9" ht="25.5" customHeight="1" hidden="1">
      <c r="A234" s="2"/>
      <c r="B234" s="2"/>
      <c r="C234" s="2"/>
      <c r="D234" s="2"/>
      <c r="E234" s="2"/>
      <c r="F234" s="2"/>
      <c r="G234" s="2"/>
      <c r="H234" s="2"/>
      <c r="I234" s="4"/>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7"/>
    </row>
    <row r="239" spans="1:9" ht="25.5" customHeight="1" hidden="1">
      <c r="A239" s="2"/>
      <c r="B239" s="2"/>
      <c r="C239" s="2"/>
      <c r="D239" s="2"/>
      <c r="E239" s="2"/>
      <c r="F239" s="2"/>
      <c r="G239" s="2"/>
      <c r="H239" s="2"/>
      <c r="I239" s="4"/>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4"/>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7"/>
    </row>
    <row r="249" spans="1:9" ht="25.5" customHeight="1" hidden="1">
      <c r="A249" s="2"/>
      <c r="B249" s="2"/>
      <c r="C249" s="2"/>
      <c r="D249" s="2"/>
      <c r="E249" s="2"/>
      <c r="F249" s="2"/>
      <c r="G249" s="2"/>
      <c r="H249" s="2"/>
      <c r="I249" s="4"/>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4"/>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4"/>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4"/>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4"/>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4"/>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4"/>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4"/>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4"/>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7"/>
    </row>
    <row r="321" spans="1:9" ht="25.5" customHeight="1" hidden="1">
      <c r="A321" s="2"/>
      <c r="B321" s="2"/>
      <c r="C321" s="2"/>
      <c r="D321" s="2"/>
      <c r="E321" s="2"/>
      <c r="F321" s="2"/>
      <c r="G321" s="2"/>
      <c r="H321" s="2"/>
      <c r="I321" s="4"/>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7"/>
    </row>
    <row r="328" spans="1:9" ht="25.5" customHeight="1" hidden="1">
      <c r="A328" s="2"/>
      <c r="B328" s="2"/>
      <c r="C328" s="2"/>
      <c r="D328" s="2"/>
      <c r="E328" s="2"/>
      <c r="F328" s="2"/>
      <c r="G328" s="2"/>
      <c r="H328" s="2"/>
      <c r="I328" s="4"/>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4"/>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4"/>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7"/>
    </row>
    <row r="351" spans="1:9" ht="25.5" customHeight="1" hidden="1">
      <c r="A351" s="2"/>
      <c r="B351" s="2"/>
      <c r="C351" s="2"/>
      <c r="D351" s="2"/>
      <c r="E351" s="2"/>
      <c r="F351" s="2"/>
      <c r="G351" s="2"/>
      <c r="H351" s="2"/>
      <c r="I351" s="4"/>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7"/>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4"/>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7"/>
    </row>
    <row r="363" spans="1:9" ht="25.5" customHeight="1" hidden="1">
      <c r="A363" s="2"/>
      <c r="B363" s="2"/>
      <c r="C363" s="2"/>
      <c r="D363" s="2"/>
      <c r="E363" s="2"/>
      <c r="F363" s="2"/>
      <c r="G363" s="2"/>
      <c r="H363" s="2"/>
      <c r="I363" s="4"/>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7"/>
    </row>
    <row r="369" spans="1:9" ht="25.5" customHeight="1" hidden="1">
      <c r="A369" s="2"/>
      <c r="B369" s="2"/>
      <c r="C369" s="2"/>
      <c r="D369" s="2"/>
      <c r="E369" s="2"/>
      <c r="F369" s="2"/>
      <c r="G369" s="2"/>
      <c r="H369" s="2"/>
      <c r="I369" s="4"/>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4"/>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4"/>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4"/>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4"/>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4"/>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4"/>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D2" sqref="D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JURIDICO</cp:lastModifiedBy>
  <cp:lastPrinted>2013-07-17T17:19:18Z</cp:lastPrinted>
  <dcterms:created xsi:type="dcterms:W3CDTF">2010-07-29T18:26:06Z</dcterms:created>
  <dcterms:modified xsi:type="dcterms:W3CDTF">2013-07-29T15:53:15Z</dcterms:modified>
  <cp:category/>
  <cp:version/>
  <cp:contentType/>
  <cp:contentStatus/>
</cp:coreProperties>
</file>