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PLANTILLA 2016 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localSheetId="0" hidden="1">'[1]011'!#REF!</definedName>
    <definedName name="__123Graph_DGráfico2" hidden="1">'[1]011'!#REF!</definedName>
    <definedName name="_xlnm._FilterDatabase" localSheetId="0" hidden="1">'PLANTILLA 2016 '!#REF!</definedName>
    <definedName name="a" localSheetId="0">[2]Hoja1!#REF!</definedName>
    <definedName name="a">[2]Hoja1!#REF!</definedName>
    <definedName name="Apoyo" localSheetId="0" hidden="1">'[3]011'!#REF!</definedName>
    <definedName name="Apoyo" hidden="1">'[3]011'!#REF!</definedName>
    <definedName name="_xlnm.Print_Area" localSheetId="0">'PLANTILLA 2016 '!$G$12:$AC$44</definedName>
    <definedName name="b" hidden="1">'[1]011'!#REF!</definedName>
    <definedName name="BASEDATOS" localSheetId="0">[4]Hoja1!#REF!</definedName>
    <definedName name="BASEDATOS">[4]Hoja1!#REF!</definedName>
    <definedName name="BD" localSheetId="0">[4]Hoja1!#REF!</definedName>
    <definedName name="BD">[4]Hoja1!#REF!</definedName>
    <definedName name="calenda" localSheetId="0" hidden="1">'[3]011'!#REF!</definedName>
    <definedName name="calenda" hidden="1">'[3]011'!#REF!</definedName>
    <definedName name="d" localSheetId="0" hidden="1">'[3]011'!#REF!</definedName>
    <definedName name="d" hidden="1">'[3]011'!#REF!</definedName>
    <definedName name="EXPEDIENTESDJR" localSheetId="0">[4]Hoja1!#REF!</definedName>
    <definedName name="EXPEDIENTESDJR">[4]Hoja1!#REF!</definedName>
    <definedName name="g" hidden="1">'[3]011'!#REF!</definedName>
    <definedName name="i" localSheetId="0" hidden="1">'[3]011'!#REF!</definedName>
    <definedName name="i" hidden="1">'[3]011'!#REF!</definedName>
    <definedName name="plantilla" hidden="1">'[1]011'!#REF!</definedName>
    <definedName name="PLANTILLA_PARA_REVISION_2001" localSheetId="0">'PLANTILLA 2016 '!$C$12:$L$12</definedName>
    <definedName name="PROGRAMA" localSheetId="0">[4]Hoja1!#REF!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'PLANTILLA 2016 '!$12:$12</definedName>
    <definedName name="Transferencia" localSheetId="0" hidden="1">'[3]011'!#REF!</definedName>
    <definedName name="Transferencia" hidden="1">'[3]011'!#REF!</definedName>
  </definedNames>
  <calcPr calcId="125725"/>
</workbook>
</file>

<file path=xl/calcChain.xml><?xml version="1.0" encoding="utf-8"?>
<calcChain xmlns="http://schemas.openxmlformats.org/spreadsheetml/2006/main">
  <c r="P44" i="1"/>
  <c r="A44"/>
  <c r="V43"/>
  <c r="V44" s="1"/>
  <c r="U43"/>
  <c r="U44" s="1"/>
  <c r="N43"/>
  <c r="AD42"/>
  <c r="W42"/>
  <c r="Y42" s="1"/>
  <c r="T42"/>
  <c r="S42"/>
  <c r="O42"/>
  <c r="Z42" s="1"/>
  <c r="AD41"/>
  <c r="AB41"/>
  <c r="AA41"/>
  <c r="W41"/>
  <c r="Y41" s="1"/>
  <c r="T41"/>
  <c r="S41"/>
  <c r="R41"/>
  <c r="Q41"/>
  <c r="X41" s="1"/>
  <c r="O41"/>
  <c r="Z41" s="1"/>
  <c r="S40"/>
  <c r="M40"/>
  <c r="O40" s="1"/>
  <c r="AD39"/>
  <c r="W39"/>
  <c r="Y39" s="1"/>
  <c r="S39"/>
  <c r="M39"/>
  <c r="O39" s="1"/>
  <c r="S38"/>
  <c r="M38"/>
  <c r="AD38" s="1"/>
  <c r="AD37"/>
  <c r="W37"/>
  <c r="Y37" s="1"/>
  <c r="S37"/>
  <c r="O37"/>
  <c r="Z37" s="1"/>
  <c r="M37"/>
  <c r="S36"/>
  <c r="M36"/>
  <c r="O36" s="1"/>
  <c r="AD35"/>
  <c r="W35"/>
  <c r="Y35" s="1"/>
  <c r="S35"/>
  <c r="M35"/>
  <c r="O35" s="1"/>
  <c r="S34"/>
  <c r="M34"/>
  <c r="AD34" s="1"/>
  <c r="AD33"/>
  <c r="W33"/>
  <c r="Y33" s="1"/>
  <c r="S33"/>
  <c r="O33"/>
  <c r="Z33" s="1"/>
  <c r="M33"/>
  <c r="S32"/>
  <c r="M32"/>
  <c r="O32" s="1"/>
  <c r="AD31"/>
  <c r="W31"/>
  <c r="Y31" s="1"/>
  <c r="S31"/>
  <c r="M31"/>
  <c r="O31" s="1"/>
  <c r="S30"/>
  <c r="M30"/>
  <c r="AD30" s="1"/>
  <c r="AD29"/>
  <c r="W29"/>
  <c r="Y29" s="1"/>
  <c r="S29"/>
  <c r="O29"/>
  <c r="AA29" s="1"/>
  <c r="M29"/>
  <c r="S28"/>
  <c r="M28"/>
  <c r="O28" s="1"/>
  <c r="AD27"/>
  <c r="W27"/>
  <c r="Y27" s="1"/>
  <c r="S27"/>
  <c r="M27"/>
  <c r="O27" s="1"/>
  <c r="S26"/>
  <c r="M26"/>
  <c r="AD26" s="1"/>
  <c r="AD25"/>
  <c r="W25"/>
  <c r="Y25" s="1"/>
  <c r="S25"/>
  <c r="O25"/>
  <c r="AA25" s="1"/>
  <c r="M25"/>
  <c r="S24"/>
  <c r="M24"/>
  <c r="O24" s="1"/>
  <c r="AD23"/>
  <c r="W23"/>
  <c r="Y23" s="1"/>
  <c r="S23"/>
  <c r="M23"/>
  <c r="O23" s="1"/>
  <c r="S22"/>
  <c r="M22"/>
  <c r="AD22" s="1"/>
  <c r="AD21"/>
  <c r="W21"/>
  <c r="Y21" s="1"/>
  <c r="S21"/>
  <c r="O21"/>
  <c r="Z21" s="1"/>
  <c r="M21"/>
  <c r="S20"/>
  <c r="M20"/>
  <c r="O20" s="1"/>
  <c r="AD19"/>
  <c r="W19"/>
  <c r="Y19" s="1"/>
  <c r="S19"/>
  <c r="M19"/>
  <c r="O19" s="1"/>
  <c r="S18"/>
  <c r="M18"/>
  <c r="AD18" s="1"/>
  <c r="AD17"/>
  <c r="W17"/>
  <c r="Y17" s="1"/>
  <c r="S17"/>
  <c r="O17"/>
  <c r="AA17" s="1"/>
  <c r="M17"/>
  <c r="S16"/>
  <c r="M16"/>
  <c r="O16" s="1"/>
  <c r="AD15"/>
  <c r="W15"/>
  <c r="Y15" s="1"/>
  <c r="S15"/>
  <c r="M15"/>
  <c r="O15" s="1"/>
  <c r="S14"/>
  <c r="M14"/>
  <c r="AD14" s="1"/>
  <c r="T13"/>
  <c r="S13"/>
  <c r="S43" s="1"/>
  <c r="S44" s="1"/>
  <c r="O13"/>
  <c r="M13"/>
  <c r="M43" s="1"/>
  <c r="M44" s="1"/>
  <c r="Z15" l="1"/>
  <c r="Q15"/>
  <c r="AA15"/>
  <c r="AB15"/>
  <c r="R15"/>
  <c r="T15"/>
  <c r="X15" s="1"/>
  <c r="AC15" s="1"/>
  <c r="Z24"/>
  <c r="AA24"/>
  <c r="T24"/>
  <c r="T39"/>
  <c r="Z39"/>
  <c r="AA39"/>
  <c r="Q39"/>
  <c r="AB39"/>
  <c r="R39"/>
  <c r="X39" s="1"/>
  <c r="AC39" s="1"/>
  <c r="Z19"/>
  <c r="Q19"/>
  <c r="X19" s="1"/>
  <c r="AC19" s="1"/>
  <c r="T19"/>
  <c r="AA19"/>
  <c r="AB19"/>
  <c r="R19"/>
  <c r="AC41"/>
  <c r="Z32"/>
  <c r="AA32"/>
  <c r="Q32"/>
  <c r="AB32"/>
  <c r="T27"/>
  <c r="Z27"/>
  <c r="AA27"/>
  <c r="Q27"/>
  <c r="X27" s="1"/>
  <c r="AC27" s="1"/>
  <c r="AB27"/>
  <c r="R27"/>
  <c r="AA16"/>
  <c r="AB16"/>
  <c r="T31"/>
  <c r="Z31"/>
  <c r="AA31"/>
  <c r="Q31"/>
  <c r="X31" s="1"/>
  <c r="AC31" s="1"/>
  <c r="AB31"/>
  <c r="R31"/>
  <c r="Z23"/>
  <c r="AA23"/>
  <c r="Q23"/>
  <c r="X23" s="1"/>
  <c r="AC23" s="1"/>
  <c r="T23"/>
  <c r="AB23"/>
  <c r="R23"/>
  <c r="Z40"/>
  <c r="R40"/>
  <c r="Z28"/>
  <c r="AA28"/>
  <c r="T28"/>
  <c r="AA13"/>
  <c r="T20"/>
  <c r="T35"/>
  <c r="Z35"/>
  <c r="AA35"/>
  <c r="Q35"/>
  <c r="AB35"/>
  <c r="R35"/>
  <c r="X35" s="1"/>
  <c r="AC35" s="1"/>
  <c r="Z25"/>
  <c r="W16"/>
  <c r="Y16" s="1"/>
  <c r="W20"/>
  <c r="Y20" s="1"/>
  <c r="W24"/>
  <c r="Y24" s="1"/>
  <c r="W28"/>
  <c r="Y28" s="1"/>
  <c r="W32"/>
  <c r="Y32" s="1"/>
  <c r="W36"/>
  <c r="Y36" s="1"/>
  <c r="W40"/>
  <c r="Y40" s="1"/>
  <c r="Z17"/>
  <c r="Z29"/>
  <c r="W13"/>
  <c r="Q13" s="1"/>
  <c r="O14"/>
  <c r="AD16"/>
  <c r="O18"/>
  <c r="AD20"/>
  <c r="O22"/>
  <c r="AD24"/>
  <c r="O26"/>
  <c r="AD28"/>
  <c r="X29"/>
  <c r="AC29" s="1"/>
  <c r="O30"/>
  <c r="AD32"/>
  <c r="O34"/>
  <c r="AD36"/>
  <c r="O38"/>
  <c r="AD40"/>
  <c r="R42"/>
  <c r="AB42"/>
  <c r="Q42"/>
  <c r="X42" s="1"/>
  <c r="AA42"/>
  <c r="AD13"/>
  <c r="T17"/>
  <c r="T21"/>
  <c r="X21" s="1"/>
  <c r="AC21" s="1"/>
  <c r="T25"/>
  <c r="T29"/>
  <c r="T33"/>
  <c r="T37"/>
  <c r="W14"/>
  <c r="Y14" s="1"/>
  <c r="W18"/>
  <c r="Y18" s="1"/>
  <c r="W22"/>
  <c r="Y22" s="1"/>
  <c r="W26"/>
  <c r="Y26" s="1"/>
  <c r="W30"/>
  <c r="Y30" s="1"/>
  <c r="W34"/>
  <c r="Y34" s="1"/>
  <c r="W38"/>
  <c r="Y38" s="1"/>
  <c r="R17"/>
  <c r="AB17"/>
  <c r="R21"/>
  <c r="AB21"/>
  <c r="R25"/>
  <c r="AB25"/>
  <c r="R29"/>
  <c r="AB29"/>
  <c r="R33"/>
  <c r="AB33"/>
  <c r="R37"/>
  <c r="AB37"/>
  <c r="Q17"/>
  <c r="X17" s="1"/>
  <c r="AC17" s="1"/>
  <c r="Q21"/>
  <c r="AA21"/>
  <c r="Q25"/>
  <c r="X25" s="1"/>
  <c r="AC25" s="1"/>
  <c r="Q29"/>
  <c r="Q33"/>
  <c r="X33" s="1"/>
  <c r="AC33" s="1"/>
  <c r="AA33"/>
  <c r="Q37"/>
  <c r="X37" s="1"/>
  <c r="AC37" s="1"/>
  <c r="AA37"/>
  <c r="X13" l="1"/>
  <c r="T18"/>
  <c r="R18"/>
  <c r="X18" s="1"/>
  <c r="AC18" s="1"/>
  <c r="AB18"/>
  <c r="Z18"/>
  <c r="AA18"/>
  <c r="Q18"/>
  <c r="AB14"/>
  <c r="T14"/>
  <c r="X14"/>
  <c r="R14"/>
  <c r="Z14"/>
  <c r="AA14"/>
  <c r="AA43" s="1"/>
  <c r="AA44" s="1"/>
  <c r="Q14"/>
  <c r="AA36"/>
  <c r="O43"/>
  <c r="O44" s="1"/>
  <c r="R13"/>
  <c r="Q20"/>
  <c r="Q28"/>
  <c r="AA40"/>
  <c r="T16"/>
  <c r="R32"/>
  <c r="X32" s="1"/>
  <c r="AC32" s="1"/>
  <c r="R36"/>
  <c r="Q24"/>
  <c r="X24" s="1"/>
  <c r="R26"/>
  <c r="X26" s="1"/>
  <c r="AC26" s="1"/>
  <c r="T26"/>
  <c r="Z26"/>
  <c r="AA26"/>
  <c r="Q26"/>
  <c r="AB26"/>
  <c r="AC42"/>
  <c r="AB36"/>
  <c r="AB20"/>
  <c r="AB28"/>
  <c r="Q40"/>
  <c r="X40" s="1"/>
  <c r="T32"/>
  <c r="T36"/>
  <c r="AB24"/>
  <c r="AB34"/>
  <c r="T34"/>
  <c r="X34" s="1"/>
  <c r="AC34" s="1"/>
  <c r="Z34"/>
  <c r="AA34"/>
  <c r="Q34"/>
  <c r="R34"/>
  <c r="W43"/>
  <c r="Y13"/>
  <c r="Y43" s="1"/>
  <c r="Y44" s="1"/>
  <c r="AB38"/>
  <c r="R38"/>
  <c r="T38"/>
  <c r="Z38"/>
  <c r="AA38"/>
  <c r="Q38"/>
  <c r="X38" s="1"/>
  <c r="AC38" s="1"/>
  <c r="AA20"/>
  <c r="R20"/>
  <c r="R28"/>
  <c r="AB40"/>
  <c r="Z16"/>
  <c r="R24"/>
  <c r="AB30"/>
  <c r="T30"/>
  <c r="X30" s="1"/>
  <c r="AC30" s="1"/>
  <c r="Z30"/>
  <c r="AA30"/>
  <c r="Q30"/>
  <c r="R30"/>
  <c r="T40"/>
  <c r="Q16"/>
  <c r="Z36"/>
  <c r="T22"/>
  <c r="X22" s="1"/>
  <c r="AC22" s="1"/>
  <c r="AB22"/>
  <c r="R22"/>
  <c r="Z22"/>
  <c r="AA22"/>
  <c r="Q22"/>
  <c r="Z13"/>
  <c r="Z43" s="1"/>
  <c r="Z44" s="1"/>
  <c r="Z20"/>
  <c r="R16"/>
  <c r="Q36"/>
  <c r="AC40" l="1"/>
  <c r="X20"/>
  <c r="AC20" s="1"/>
  <c r="X28"/>
  <c r="AC28" s="1"/>
  <c r="X16"/>
  <c r="AC16" s="1"/>
  <c r="Q43"/>
  <c r="Q44" s="1"/>
  <c r="AC44" s="1"/>
  <c r="AC13"/>
  <c r="AC24"/>
  <c r="T43"/>
  <c r="T44" s="1"/>
  <c r="AB43"/>
  <c r="AB44" s="1"/>
  <c r="R43"/>
  <c r="R44" s="1"/>
  <c r="AC14"/>
  <c r="X36"/>
  <c r="AC36" s="1"/>
  <c r="X43" l="1"/>
  <c r="AC43"/>
</calcChain>
</file>

<file path=xl/comments1.xml><?xml version="1.0" encoding="utf-8"?>
<comments xmlns="http://schemas.openxmlformats.org/spreadsheetml/2006/main">
  <authors>
    <author>Consejo Estatal de Promoción Económica</author>
  </authors>
  <commentList>
    <comment ref="T13" authorId="0">
      <text>
        <r>
          <rPr>
            <b/>
            <sz val="10"/>
            <color indexed="81"/>
            <rFont val="Tahoma"/>
            <family val="2"/>
          </rPr>
          <t>ESTA CANTIDAD ES
EL TOPE MENSUAL BIMESTRAL ES
$1,898.70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<sst xmlns="http://schemas.openxmlformats.org/spreadsheetml/2006/main" count="246" uniqueCount="69">
  <si>
    <t>PLANTILLA DE PERSONAL 2016</t>
  </si>
  <si>
    <r>
      <t xml:space="preserve">ORGANISMO:  </t>
    </r>
    <r>
      <rPr>
        <b/>
        <sz val="18"/>
        <rFont val="Arial"/>
        <family val="2"/>
      </rPr>
      <t>CONSEJO ESTATAL DE PROMOCIÓN ECONÓMICA</t>
    </r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</si>
  <si>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</si>
  <si>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</si>
  <si>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</si>
  <si>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</si>
  <si>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</si>
  <si>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</si>
  <si>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</si>
  <si>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</si>
  <si>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NIVEL</t>
  </si>
  <si>
    <t>JOR</t>
  </si>
  <si>
    <t>CATEG</t>
  </si>
  <si>
    <t>CATEGORÍA</t>
  </si>
  <si>
    <t>ZONA
ECONÓMICA</t>
  </si>
  <si>
    <t>ADSCRIPCIÓN</t>
  </si>
  <si>
    <t>SUELDO
1131</t>
  </si>
  <si>
    <t>SOBRE
SUELDO
1131</t>
  </si>
  <si>
    <t>SUMA 
1131</t>
  </si>
  <si>
    <t>QUINQUENIO ANUAL
1311</t>
  </si>
  <si>
    <t>CUOTAS A
PENSIONES
1431</t>
  </si>
  <si>
    <t>CUOTAS PARA
LA VIVIENDA
1421</t>
  </si>
  <si>
    <t>CUOTAS 
AL IMSS
1412</t>
  </si>
  <si>
    <t>CUOTAS
AL S.A.R.
1432</t>
  </si>
  <si>
    <t>DESPENSA
1712</t>
  </si>
  <si>
    <t>PASAJES
1713</t>
  </si>
  <si>
    <t>IMPACTO AL
SALARIO
1801</t>
  </si>
  <si>
    <t>TOTAL MENSUAL</t>
  </si>
  <si>
    <t>IMPACTO AL
SALARIO
1611</t>
  </si>
  <si>
    <t>AGUINALDO     1322</t>
  </si>
  <si>
    <t>PRIMA VACACIONAL   1321</t>
  </si>
  <si>
    <t>ESTIMULO AL SERV.PÚBLICO   1715</t>
  </si>
  <si>
    <t>TOTAL ANUAL</t>
  </si>
  <si>
    <t>20 DIAS POR AÑO</t>
  </si>
  <si>
    <t>07</t>
  </si>
  <si>
    <t>01</t>
  </si>
  <si>
    <t>00190</t>
  </si>
  <si>
    <t>DIR. GRAL.</t>
  </si>
  <si>
    <t>COORD. GRAL.</t>
  </si>
  <si>
    <t>DIRECCIÓN GENERAL</t>
  </si>
  <si>
    <t>COORD.GRAL.DE ANÁLISIS ECONÓMICO Y COMPETITIVIDAD</t>
  </si>
  <si>
    <t>DIR.EVALUAC.Y SEG.</t>
  </si>
  <si>
    <t>COORDINACIÓN GENERAL</t>
  </si>
  <si>
    <t>DIR.REGIONAL</t>
  </si>
  <si>
    <t>DIR. PARQUES INDUSTR.</t>
  </si>
  <si>
    <t>DIR. ADMVO.</t>
  </si>
  <si>
    <t>DIR. ANALISIS</t>
  </si>
  <si>
    <t>DIR. JURIDICO</t>
  </si>
  <si>
    <t>COORDIN. REGIONAL</t>
  </si>
  <si>
    <t>DIRECCIÓN DE EVALUACIÓN Y SEGUIMIENTO</t>
  </si>
  <si>
    <t>ASISTENTE JURIDICO</t>
  </si>
  <si>
    <t>DIRECCIÓN JURÍDICA</t>
  </si>
  <si>
    <t>ASISTENTE EVAL.Y SEG.</t>
  </si>
  <si>
    <t>ASISTENTE ANALISIS</t>
  </si>
  <si>
    <t>DIRECCIÓN DE ANALISIS</t>
  </si>
  <si>
    <t>CONTADOR A</t>
  </si>
  <si>
    <t>DIRECCIÓN ADMINISTRATIVA</t>
  </si>
  <si>
    <t>ENCARGADO SISTEMAS</t>
  </si>
  <si>
    <t>ASISTENTE DIR. GRAL.</t>
  </si>
  <si>
    <t>AUXILIAR ADMVO.</t>
  </si>
  <si>
    <t>AUXILIAR JURIDICO</t>
  </si>
  <si>
    <t>RECEPCION</t>
  </si>
  <si>
    <t>CHOFER MENSAJERO</t>
  </si>
  <si>
    <t>INTENDENCIA</t>
  </si>
  <si>
    <t>TOTAL DE PLAZAS</t>
  </si>
  <si>
    <t>Total de plazas personal de confianza</t>
  </si>
  <si>
    <t>Total de plazas personal de base</t>
  </si>
  <si>
    <t>CONFIANZA</t>
  </si>
  <si>
    <t>BASE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</si>
</sst>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_ ;[Red]\-#,##0.000000\ "/>
    <numFmt numFmtId="166" formatCode="_-[$€-2]* #,##0.00_-;\-[$€-2]* #,##0.00_-;_-[$€-2]* &quot;-&quot;??_-"/>
    <numFmt numFmtId="167" formatCode="[$-80A]General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54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1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/>
    </xf>
    <xf numFmtId="44" fontId="3" fillId="0" borderId="0" xfId="2" applyFont="1" applyAlignment="1">
      <alignment horizontal="center" vertical="center"/>
    </xf>
    <xf numFmtId="44" fontId="3" fillId="0" borderId="0" xfId="2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8" fillId="3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left"/>
    </xf>
    <xf numFmtId="0" fontId="3" fillId="0" borderId="10" xfId="3" applyBorder="1" applyAlignment="1">
      <alignment horizontal="center" vertical="center" wrapText="1"/>
    </xf>
    <xf numFmtId="44" fontId="3" fillId="0" borderId="10" xfId="2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vertical="center"/>
    </xf>
    <xf numFmtId="44" fontId="3" fillId="0" borderId="10" xfId="1" applyNumberFormat="1" applyFont="1" applyFill="1" applyBorder="1" applyAlignment="1">
      <alignment vertical="center"/>
    </xf>
    <xf numFmtId="44" fontId="3" fillId="0" borderId="8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left"/>
    </xf>
    <xf numFmtId="44" fontId="3" fillId="0" borderId="12" xfId="2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>
      <alignment horizontal="center" vertical="center"/>
    </xf>
    <xf numFmtId="44" fontId="3" fillId="0" borderId="12" xfId="1" applyNumberFormat="1" applyFont="1" applyFill="1" applyBorder="1" applyAlignment="1">
      <alignment vertical="center"/>
    </xf>
    <xf numFmtId="0" fontId="9" fillId="0" borderId="12" xfId="3" applyFont="1" applyFill="1" applyBorder="1" applyAlignment="1">
      <alignment horizontal="left" wrapText="1"/>
    </xf>
    <xf numFmtId="164" fontId="3" fillId="0" borderId="5" xfId="1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9" fillId="0" borderId="12" xfId="3" applyFont="1" applyBorder="1"/>
    <xf numFmtId="0" fontId="3" fillId="0" borderId="12" xfId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9" fillId="0" borderId="12" xfId="3" applyFont="1" applyFill="1" applyBorder="1"/>
    <xf numFmtId="0" fontId="3" fillId="0" borderId="12" xfId="3" applyFont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/>
    </xf>
    <xf numFmtId="44" fontId="3" fillId="0" borderId="11" xfId="2" applyFont="1" applyFill="1" applyBorder="1" applyAlignment="1">
      <alignment vertical="center"/>
    </xf>
    <xf numFmtId="4" fontId="3" fillId="0" borderId="11" xfId="1" applyNumberFormat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9" fillId="0" borderId="6" xfId="3" applyFont="1" applyFill="1" applyBorder="1" applyAlignment="1">
      <alignment horizontal="left"/>
    </xf>
    <xf numFmtId="0" fontId="3" fillId="0" borderId="6" xfId="1" applyFont="1" applyFill="1" applyBorder="1" applyAlignment="1">
      <alignment horizontal="center" vertical="center"/>
    </xf>
    <xf numFmtId="44" fontId="3" fillId="0" borderId="6" xfId="2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vertical="center"/>
    </xf>
    <xf numFmtId="44" fontId="3" fillId="0" borderId="6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44" fontId="10" fillId="0" borderId="0" xfId="1" applyNumberFormat="1" applyFont="1" applyFill="1" applyAlignment="1">
      <alignment horizontal="center" vertical="center"/>
    </xf>
    <xf numFmtId="44" fontId="8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" fontId="7" fillId="2" borderId="0" xfId="1" applyNumberFormat="1" applyFont="1" applyFill="1" applyAlignment="1">
      <alignment vertical="center"/>
    </xf>
    <xf numFmtId="4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4" fontId="3" fillId="2" borderId="0" xfId="1" applyNumberFormat="1" applyFont="1" applyFill="1" applyBorder="1" applyAlignment="1">
      <alignment vertical="center"/>
    </xf>
    <xf numFmtId="44" fontId="3" fillId="2" borderId="0" xfId="2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/>
    </xf>
    <xf numFmtId="44" fontId="8" fillId="4" borderId="0" xfId="2" applyFont="1" applyFill="1" applyBorder="1" applyAlignment="1">
      <alignment vertical="center"/>
    </xf>
    <xf numFmtId="4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17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3" fillId="0" borderId="19" xfId="1" applyNumberFormat="1" applyFont="1" applyFill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48">
    <cellStyle name="Euro" xfId="4"/>
    <cellStyle name="Excel Built-in Normal" xfId="5"/>
    <cellStyle name="Millares 2" xfId="6"/>
    <cellStyle name="Millares 2 2" xfId="7"/>
    <cellStyle name="Millares 2 3" xfId="8"/>
    <cellStyle name="Millares 3" xfId="9"/>
    <cellStyle name="Millares 4" xfId="10"/>
    <cellStyle name="Millares 5" xfId="11"/>
    <cellStyle name="Millares 6" xfId="12"/>
    <cellStyle name="Moneda 2" xfId="2"/>
    <cellStyle name="Moneda 2 2" xfId="13"/>
    <cellStyle name="Moneda 3" xfId="14"/>
    <cellStyle name="Moneda 3 2" xfId="15"/>
    <cellStyle name="Moneda 3 2 2" xfId="16"/>
    <cellStyle name="Moneda 3 3" xfId="17"/>
    <cellStyle name="Moneda 3 3 2" xfId="18"/>
    <cellStyle name="Moneda 3 3 2 2" xfId="19"/>
    <cellStyle name="Moneda 3 3 3" xfId="20"/>
    <cellStyle name="Moneda 3 4" xfId="21"/>
    <cellStyle name="Moneda 4" xfId="22"/>
    <cellStyle name="Moneda 4 2" xfId="23"/>
    <cellStyle name="Moneda 4 2 2" xfId="24"/>
    <cellStyle name="Moneda 4 3" xfId="25"/>
    <cellStyle name="Moneda 5" xfId="26"/>
    <cellStyle name="Moneda 6" xfId="27"/>
    <cellStyle name="Normal" xfId="0" builtinId="0"/>
    <cellStyle name="Normal 10" xfId="28"/>
    <cellStyle name="Normal 10 2" xfId="29"/>
    <cellStyle name="Normal 11" xfId="30"/>
    <cellStyle name="Normal 13 2" xfId="31"/>
    <cellStyle name="Normal 2" xfId="3"/>
    <cellStyle name="Normal 2 2" xfId="32"/>
    <cellStyle name="Normal 2 3" xfId="33"/>
    <cellStyle name="Normal 2 4" xfId="34"/>
    <cellStyle name="Normal 3" xfId="35"/>
    <cellStyle name="Normal 3 2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rmal 8" xfId="43"/>
    <cellStyle name="Normal 9" xfId="44"/>
    <cellStyle name="Normal_~9885111" xfId="1"/>
    <cellStyle name="Porcentual 2" xfId="45"/>
    <cellStyle name="Porcentual 3" xfId="46"/>
    <cellStyle name="Porcentual 4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98652</xdr:rowOff>
    </xdr:from>
    <xdr:to>
      <xdr:col>8</xdr:col>
      <xdr:colOff>416718</xdr:colOff>
      <xdr:row>6</xdr:row>
      <xdr:rowOff>106241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93927"/>
          <a:ext cx="3636168" cy="121726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rgas.CEPEGOB\Downloads\Documents\MARISELA%20VARGAS\1%20-%20JUNTAS%20DE%20GOBIERNO\0%20-%20JUNTA%20-%20AGOSTO%202013\PROCESO\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asco\AppData\Local\Temp\notesF4CC6D\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3"/>
  <sheetViews>
    <sheetView tabSelected="1" zoomScaleNormal="100" workbookViewId="0">
      <selection activeCell="J49" sqref="J49"/>
    </sheetView>
  </sheetViews>
  <sheetFormatPr baseColWidth="10" defaultColWidth="9.140625" defaultRowHeight="12.75"/>
  <cols>
    <col min="1" max="1" width="6.85546875" style="1" customWidth="1"/>
    <col min="2" max="2" width="4.85546875" style="1" customWidth="1"/>
    <col min="3" max="3" width="6.7109375" style="1" customWidth="1"/>
    <col min="4" max="4" width="5" style="1" customWidth="1"/>
    <col min="5" max="5" width="4" style="1" customWidth="1"/>
    <col min="6" max="6" width="7.140625" style="2" customWidth="1"/>
    <col min="7" max="7" width="8.140625" style="1" customWidth="1"/>
    <col min="8" max="8" width="6.28515625" style="1" customWidth="1"/>
    <col min="9" max="9" width="11.42578125" style="1" bestFit="1" customWidth="1"/>
    <col min="10" max="10" width="23.28515625" style="3" customWidth="1"/>
    <col min="11" max="11" width="16.140625" style="3" customWidth="1"/>
    <col min="12" max="12" width="42.7109375" style="1" customWidth="1"/>
    <col min="13" max="13" width="15.85546875" style="1" customWidth="1"/>
    <col min="14" max="14" width="10.5703125" style="4" hidden="1" customWidth="1"/>
    <col min="15" max="15" width="15.85546875" style="4" hidden="1" customWidth="1"/>
    <col min="16" max="16" width="17" style="4" customWidth="1"/>
    <col min="17" max="17" width="19.42578125" style="3" customWidth="1"/>
    <col min="18" max="19" width="17.140625" style="3" customWidth="1"/>
    <col min="20" max="20" width="13.7109375" style="3" customWidth="1"/>
    <col min="21" max="21" width="14.42578125" style="3" customWidth="1"/>
    <col min="22" max="22" width="14" style="3" customWidth="1"/>
    <col min="23" max="23" width="15.85546875" style="3" customWidth="1"/>
    <col min="24" max="24" width="15" style="3" customWidth="1"/>
    <col min="25" max="25" width="16.42578125" style="3" customWidth="1"/>
    <col min="26" max="26" width="16.140625" style="3" customWidth="1"/>
    <col min="27" max="27" width="18.5703125" style="3" customWidth="1"/>
    <col min="28" max="28" width="20.42578125" style="3" customWidth="1"/>
    <col min="29" max="29" width="21.28515625" style="3" customWidth="1"/>
    <col min="30" max="30" width="21.28515625" style="3" hidden="1" customWidth="1"/>
    <col min="31" max="31" width="48.28515625" style="3" customWidth="1"/>
    <col min="32" max="32" width="11.28515625" style="3" bestFit="1" customWidth="1"/>
    <col min="33" max="16384" width="9.140625" style="3"/>
  </cols>
  <sheetData>
    <row r="1" spans="1:31" ht="23.25">
      <c r="T1" s="5"/>
    </row>
    <row r="4" spans="1:31" ht="23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U4" s="5"/>
      <c r="V4" s="5"/>
      <c r="W4" s="5"/>
      <c r="X4" s="5"/>
      <c r="Y4" s="5"/>
    </row>
    <row r="5" spans="1:31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U5" s="5"/>
      <c r="V5" s="5"/>
      <c r="W5" s="5"/>
      <c r="X5" s="5"/>
      <c r="Y5" s="5"/>
    </row>
    <row r="6" spans="1:31" ht="23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U6" s="5"/>
      <c r="V6" s="5"/>
      <c r="W6" s="5"/>
      <c r="X6" s="5"/>
      <c r="Y6" s="5"/>
    </row>
    <row r="7" spans="1:31" ht="23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U7" s="5"/>
      <c r="V7" s="5"/>
      <c r="W7" s="5"/>
      <c r="X7" s="5"/>
      <c r="Y7" s="5"/>
    </row>
    <row r="8" spans="1:31" ht="23.25">
      <c r="A8" s="5"/>
      <c r="B8" s="5"/>
      <c r="C8" s="5"/>
      <c r="D8" s="5"/>
      <c r="E8" s="5"/>
      <c r="F8" s="5"/>
      <c r="G8" s="5"/>
      <c r="H8" s="5"/>
      <c r="I8" s="5"/>
      <c r="J8" s="5" t="s">
        <v>0</v>
      </c>
      <c r="K8" s="5"/>
      <c r="L8" s="5"/>
      <c r="M8" s="5"/>
      <c r="N8" s="5"/>
      <c r="O8" s="5"/>
      <c r="P8" s="5"/>
      <c r="Q8" s="5"/>
      <c r="R8" s="5"/>
      <c r="S8" s="5"/>
      <c r="U8" s="5"/>
      <c r="V8" s="5"/>
      <c r="W8" s="5"/>
      <c r="X8" s="5"/>
      <c r="Y8" s="5"/>
    </row>
    <row r="9" spans="1:31" ht="24" customHeight="1">
      <c r="A9" s="3"/>
      <c r="B9" s="6"/>
      <c r="D9" s="7"/>
      <c r="E9" s="7"/>
      <c r="F9" s="7"/>
      <c r="G9" s="7"/>
      <c r="H9" s="7"/>
      <c r="I9" s="7"/>
      <c r="J9" s="7"/>
      <c r="L9" s="8"/>
    </row>
    <row r="10" spans="1:31" ht="24" customHeight="1">
      <c r="A10" s="6" t="s">
        <v>1</v>
      </c>
      <c r="B10" s="6"/>
      <c r="D10" s="9"/>
      <c r="E10" s="9"/>
      <c r="F10" s="9"/>
      <c r="G10" s="9"/>
      <c r="H10" s="9"/>
      <c r="I10" s="9"/>
      <c r="J10" s="9"/>
      <c r="L10" s="8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1" ht="69.75" customHeight="1">
      <c r="M11" s="12" t="s">
        <v>2</v>
      </c>
      <c r="N11" s="13"/>
      <c r="O11" s="13"/>
      <c r="P11" s="13"/>
      <c r="Q11" s="13"/>
      <c r="R11" s="13"/>
      <c r="S11" s="13"/>
      <c r="T11" s="13"/>
      <c r="U11" s="13"/>
      <c r="V11" s="13"/>
      <c r="W11" s="14"/>
      <c r="Y11" s="15" t="s">
        <v>3</v>
      </c>
      <c r="Z11" s="16"/>
      <c r="AA11" s="16"/>
      <c r="AB11" s="17"/>
    </row>
    <row r="12" spans="1:31" s="23" customFormat="1" ht="80.25" customHeight="1" thickBot="1">
      <c r="A12" s="18" t="s">
        <v>4</v>
      </c>
      <c r="B12" s="18" t="s">
        <v>5</v>
      </c>
      <c r="C12" s="18" t="s">
        <v>6</v>
      </c>
      <c r="D12" s="18" t="s">
        <v>7</v>
      </c>
      <c r="E12" s="18" t="s">
        <v>8</v>
      </c>
      <c r="F12" s="18" t="s">
        <v>9</v>
      </c>
      <c r="G12" s="18" t="s">
        <v>10</v>
      </c>
      <c r="H12" s="18" t="s">
        <v>11</v>
      </c>
      <c r="I12" s="18" t="s">
        <v>12</v>
      </c>
      <c r="J12" s="18" t="s">
        <v>13</v>
      </c>
      <c r="K12" s="18" t="s">
        <v>14</v>
      </c>
      <c r="L12" s="18" t="s">
        <v>15</v>
      </c>
      <c r="M12" s="18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20" t="s">
        <v>27</v>
      </c>
      <c r="Y12" s="20" t="s">
        <v>28</v>
      </c>
      <c r="Z12" s="20" t="s">
        <v>29</v>
      </c>
      <c r="AA12" s="20" t="s">
        <v>30</v>
      </c>
      <c r="AB12" s="20" t="s">
        <v>31</v>
      </c>
      <c r="AC12" s="21" t="s">
        <v>32</v>
      </c>
      <c r="AD12" s="22" t="s">
        <v>33</v>
      </c>
    </row>
    <row r="13" spans="1:31" s="41" customFormat="1" ht="29.25" customHeight="1">
      <c r="A13" s="24">
        <v>1</v>
      </c>
      <c r="B13" s="25" t="s">
        <v>34</v>
      </c>
      <c r="C13" s="25" t="s">
        <v>35</v>
      </c>
      <c r="D13" s="26">
        <v>3</v>
      </c>
      <c r="E13" s="25" t="s">
        <v>35</v>
      </c>
      <c r="F13" s="27" t="s">
        <v>36</v>
      </c>
      <c r="G13" s="28">
        <v>28</v>
      </c>
      <c r="H13" s="29">
        <v>40</v>
      </c>
      <c r="I13" s="29" t="s">
        <v>67</v>
      </c>
      <c r="J13" s="30" t="s">
        <v>37</v>
      </c>
      <c r="K13" s="29">
        <v>1</v>
      </c>
      <c r="L13" s="31"/>
      <c r="M13" s="32">
        <f>63240</f>
        <v>63240</v>
      </c>
      <c r="N13" s="33">
        <v>0</v>
      </c>
      <c r="O13" s="33">
        <f t="shared" ref="O13:O42" si="0">+M13+N13</f>
        <v>63240</v>
      </c>
      <c r="P13" s="34"/>
      <c r="Q13" s="35">
        <f>(O13+W13)*15%</f>
        <v>9770.58</v>
      </c>
      <c r="R13" s="35">
        <f t="shared" ref="R13:R42" si="1">(O13+W13)*3%</f>
        <v>1954.1159999999998</v>
      </c>
      <c r="S13" s="35">
        <f>(1590.43/31*61)/2*1.04</f>
        <v>1627.3690193548389</v>
      </c>
      <c r="T13" s="35">
        <f>(70.1*30)/2</f>
        <v>1051.5</v>
      </c>
      <c r="U13" s="35">
        <v>2832</v>
      </c>
      <c r="V13" s="35">
        <v>1992</v>
      </c>
      <c r="W13" s="36">
        <f>M13*3%</f>
        <v>1897.1999999999998</v>
      </c>
      <c r="X13" s="35">
        <f>O13+Q13+R13+S13+T13+U13+V13</f>
        <v>82467.565019354835</v>
      </c>
      <c r="Y13" s="35">
        <f>W13*12</f>
        <v>22766.399999999998</v>
      </c>
      <c r="Z13" s="37">
        <f t="shared" ref="Z13:Z42" si="2">(O13+W13)/30*50</f>
        <v>108561.99999999999</v>
      </c>
      <c r="AA13" s="37">
        <f t="shared" ref="AA13:AA42" si="3">(O13+W13)/30*5</f>
        <v>10856.199999999999</v>
      </c>
      <c r="AB13" s="37"/>
      <c r="AC13" s="101">
        <f t="shared" ref="AC13:AC42" si="4">(X13*12)+Y13+Z13+AA13+AB13+P13</f>
        <v>1131795.380232258</v>
      </c>
      <c r="AD13" s="100">
        <f>(M13+U13+V13)/30*20</f>
        <v>45376</v>
      </c>
      <c r="AE13" s="40"/>
    </row>
    <row r="14" spans="1:31" s="41" customFormat="1" ht="24" customHeight="1">
      <c r="A14" s="42">
        <v>2</v>
      </c>
      <c r="B14" s="43" t="s">
        <v>34</v>
      </c>
      <c r="C14" s="43" t="s">
        <v>35</v>
      </c>
      <c r="D14" s="44">
        <v>3</v>
      </c>
      <c r="E14" s="43" t="s">
        <v>35</v>
      </c>
      <c r="F14" s="45" t="s">
        <v>36</v>
      </c>
      <c r="G14" s="46">
        <v>24</v>
      </c>
      <c r="H14" s="47">
        <v>40</v>
      </c>
      <c r="I14" s="47" t="s">
        <v>67</v>
      </c>
      <c r="J14" s="48" t="s">
        <v>38</v>
      </c>
      <c r="K14" s="47">
        <v>1</v>
      </c>
      <c r="L14" s="47" t="s">
        <v>39</v>
      </c>
      <c r="M14" s="49">
        <f>42280</f>
        <v>42280</v>
      </c>
      <c r="N14" s="50">
        <v>0</v>
      </c>
      <c r="O14" s="50">
        <f t="shared" si="0"/>
        <v>42280</v>
      </c>
      <c r="P14" s="51"/>
      <c r="Q14" s="39">
        <f>(O14+W14)*15%</f>
        <v>6532.26</v>
      </c>
      <c r="R14" s="39">
        <f t="shared" si="1"/>
        <v>1306.452</v>
      </c>
      <c r="S14" s="39">
        <f t="shared" ref="S14:S15" si="5">(1590.43/31*61)/2*1.04</f>
        <v>1627.3690193548389</v>
      </c>
      <c r="T14" s="39">
        <f t="shared" ref="T14:T42" si="6">(O14+W14)*2%</f>
        <v>870.96800000000007</v>
      </c>
      <c r="U14" s="39">
        <v>1865</v>
      </c>
      <c r="V14" s="39">
        <v>1345</v>
      </c>
      <c r="W14" s="52">
        <f>M14*3%</f>
        <v>1268.3999999999999</v>
      </c>
      <c r="X14" s="39">
        <f t="shared" ref="X14:X42" si="7">O14+Q14+R14+S14+T14+U14+V14</f>
        <v>55827.049019354839</v>
      </c>
      <c r="Y14" s="39">
        <f>W14*12</f>
        <v>15220.8</v>
      </c>
      <c r="Z14" s="52">
        <f t="shared" si="2"/>
        <v>72580.666666666672</v>
      </c>
      <c r="AA14" s="52">
        <f t="shared" si="3"/>
        <v>7258.0666666666675</v>
      </c>
      <c r="AB14" s="52">
        <f t="shared" ref="AB14:AB42" si="8">(O14+W14)/30*15</f>
        <v>21774.2</v>
      </c>
      <c r="AC14" s="102">
        <f t="shared" si="4"/>
        <v>786758.32156559138</v>
      </c>
      <c r="AD14" s="100">
        <f t="shared" ref="AD14:AD42" si="9">(M14+U14+V14)/30*20</f>
        <v>30326.666666666664</v>
      </c>
    </row>
    <row r="15" spans="1:31" s="41" customFormat="1" ht="24.75" customHeight="1">
      <c r="A15" s="42">
        <v>3</v>
      </c>
      <c r="B15" s="43" t="s">
        <v>34</v>
      </c>
      <c r="C15" s="43" t="s">
        <v>35</v>
      </c>
      <c r="D15" s="44">
        <v>3</v>
      </c>
      <c r="E15" s="43" t="s">
        <v>35</v>
      </c>
      <c r="F15" s="45" t="s">
        <v>36</v>
      </c>
      <c r="G15" s="46">
        <v>24</v>
      </c>
      <c r="H15" s="47">
        <v>40</v>
      </c>
      <c r="I15" s="47" t="s">
        <v>67</v>
      </c>
      <c r="J15" s="53" t="s">
        <v>40</v>
      </c>
      <c r="K15" s="47">
        <v>1</v>
      </c>
      <c r="L15" s="47" t="s">
        <v>39</v>
      </c>
      <c r="M15" s="49">
        <f>42280</f>
        <v>42280</v>
      </c>
      <c r="N15" s="50">
        <v>0</v>
      </c>
      <c r="O15" s="50">
        <f t="shared" si="0"/>
        <v>42280</v>
      </c>
      <c r="P15" s="51"/>
      <c r="Q15" s="39">
        <f t="shared" ref="Q15:Q42" si="10">(O15+W15)*15%</f>
        <v>6532.26</v>
      </c>
      <c r="R15" s="39">
        <f t="shared" si="1"/>
        <v>1306.452</v>
      </c>
      <c r="S15" s="54">
        <f t="shared" si="5"/>
        <v>1627.3690193548389</v>
      </c>
      <c r="T15" s="39">
        <f t="shared" si="6"/>
        <v>870.96800000000007</v>
      </c>
      <c r="U15" s="39">
        <v>1865</v>
      </c>
      <c r="V15" s="39">
        <v>1345</v>
      </c>
      <c r="W15" s="52">
        <f>M15*3%</f>
        <v>1268.3999999999999</v>
      </c>
      <c r="X15" s="39">
        <f t="shared" si="7"/>
        <v>55827.049019354839</v>
      </c>
      <c r="Y15" s="39">
        <f t="shared" ref="Y15:Y42" si="11">W15*12</f>
        <v>15220.8</v>
      </c>
      <c r="Z15" s="52">
        <f t="shared" si="2"/>
        <v>72580.666666666672</v>
      </c>
      <c r="AA15" s="52">
        <f t="shared" si="3"/>
        <v>7258.0666666666675</v>
      </c>
      <c r="AB15" s="52">
        <f t="shared" si="8"/>
        <v>21774.2</v>
      </c>
      <c r="AC15" s="102">
        <f t="shared" si="4"/>
        <v>786758.32156559138</v>
      </c>
      <c r="AD15" s="100">
        <f t="shared" si="9"/>
        <v>30326.666666666664</v>
      </c>
      <c r="AE15" s="55"/>
    </row>
    <row r="16" spans="1:31" s="58" customFormat="1" ht="24" customHeight="1">
      <c r="A16" s="42">
        <v>4</v>
      </c>
      <c r="B16" s="43" t="s">
        <v>34</v>
      </c>
      <c r="C16" s="43" t="s">
        <v>35</v>
      </c>
      <c r="D16" s="44">
        <v>3</v>
      </c>
      <c r="E16" s="43" t="s">
        <v>35</v>
      </c>
      <c r="F16" s="45" t="s">
        <v>36</v>
      </c>
      <c r="G16" s="46">
        <v>21</v>
      </c>
      <c r="H16" s="47">
        <v>40</v>
      </c>
      <c r="I16" s="47" t="s">
        <v>67</v>
      </c>
      <c r="J16" s="56" t="s">
        <v>41</v>
      </c>
      <c r="K16" s="47">
        <v>1</v>
      </c>
      <c r="L16" s="57" t="s">
        <v>42</v>
      </c>
      <c r="M16" s="49">
        <f>30883</f>
        <v>30883</v>
      </c>
      <c r="N16" s="50">
        <v>0</v>
      </c>
      <c r="O16" s="50">
        <f t="shared" si="0"/>
        <v>30883</v>
      </c>
      <c r="P16" s="51">
        <v>2148.12</v>
      </c>
      <c r="Q16" s="39">
        <f t="shared" si="10"/>
        <v>4771.4234999999999</v>
      </c>
      <c r="R16" s="39">
        <f t="shared" si="1"/>
        <v>954.28470000000004</v>
      </c>
      <c r="S16" s="39">
        <f>(1267.83/31*61)/2*1.04</f>
        <v>1297.2763741935485</v>
      </c>
      <c r="T16" s="39">
        <f t="shared" si="6"/>
        <v>636.18979999999999</v>
      </c>
      <c r="U16" s="39">
        <v>1671</v>
      </c>
      <c r="V16" s="39">
        <v>1133</v>
      </c>
      <c r="W16" s="52">
        <f t="shared" ref="W16:W42" si="12">M16*3%</f>
        <v>926.49</v>
      </c>
      <c r="X16" s="39">
        <f t="shared" si="7"/>
        <v>41346.174374193542</v>
      </c>
      <c r="Y16" s="39">
        <f t="shared" si="11"/>
        <v>11117.880000000001</v>
      </c>
      <c r="Z16" s="52">
        <f t="shared" si="2"/>
        <v>53015.816666666673</v>
      </c>
      <c r="AA16" s="52">
        <f t="shared" si="3"/>
        <v>5301.5816666666669</v>
      </c>
      <c r="AB16" s="52">
        <f t="shared" si="8"/>
        <v>15904.745000000001</v>
      </c>
      <c r="AC16" s="102">
        <f t="shared" si="4"/>
        <v>583642.23582365585</v>
      </c>
      <c r="AD16" s="100">
        <f t="shared" si="9"/>
        <v>22458</v>
      </c>
    </row>
    <row r="17" spans="1:30" s="58" customFormat="1" ht="24" customHeight="1">
      <c r="A17" s="42">
        <v>5</v>
      </c>
      <c r="B17" s="43" t="s">
        <v>34</v>
      </c>
      <c r="C17" s="43" t="s">
        <v>35</v>
      </c>
      <c r="D17" s="44">
        <v>3</v>
      </c>
      <c r="E17" s="43" t="s">
        <v>35</v>
      </c>
      <c r="F17" s="45" t="s">
        <v>36</v>
      </c>
      <c r="G17" s="46">
        <v>21</v>
      </c>
      <c r="H17" s="47">
        <v>40</v>
      </c>
      <c r="I17" s="47" t="s">
        <v>67</v>
      </c>
      <c r="J17" s="56" t="s">
        <v>43</v>
      </c>
      <c r="K17" s="47">
        <v>1</v>
      </c>
      <c r="L17" s="57" t="s">
        <v>42</v>
      </c>
      <c r="M17" s="49">
        <f>30883</f>
        <v>30883</v>
      </c>
      <c r="N17" s="50">
        <v>0</v>
      </c>
      <c r="O17" s="50">
        <f t="shared" si="0"/>
        <v>30883</v>
      </c>
      <c r="P17" s="51"/>
      <c r="Q17" s="39">
        <f t="shared" si="10"/>
        <v>4771.4234999999999</v>
      </c>
      <c r="R17" s="39">
        <f t="shared" si="1"/>
        <v>954.28470000000004</v>
      </c>
      <c r="S17" s="39">
        <f>(1264.81/31*61)/2*1.04</f>
        <v>1294.1862322580646</v>
      </c>
      <c r="T17" s="39">
        <f t="shared" si="6"/>
        <v>636.18979999999999</v>
      </c>
      <c r="U17" s="39">
        <v>1671</v>
      </c>
      <c r="V17" s="39">
        <v>1133</v>
      </c>
      <c r="W17" s="52">
        <f t="shared" si="12"/>
        <v>926.49</v>
      </c>
      <c r="X17" s="39">
        <f t="shared" si="7"/>
        <v>41343.084232258057</v>
      </c>
      <c r="Y17" s="39">
        <f t="shared" si="11"/>
        <v>11117.880000000001</v>
      </c>
      <c r="Z17" s="52">
        <f t="shared" si="2"/>
        <v>53015.816666666673</v>
      </c>
      <c r="AA17" s="52">
        <f t="shared" si="3"/>
        <v>5301.5816666666669</v>
      </c>
      <c r="AB17" s="52">
        <f t="shared" si="8"/>
        <v>15904.745000000001</v>
      </c>
      <c r="AC17" s="102">
        <f t="shared" si="4"/>
        <v>581457.03412043001</v>
      </c>
      <c r="AD17" s="100">
        <f t="shared" si="9"/>
        <v>22458</v>
      </c>
    </row>
    <row r="18" spans="1:30" ht="24" customHeight="1">
      <c r="A18" s="42">
        <v>6</v>
      </c>
      <c r="B18" s="43" t="s">
        <v>34</v>
      </c>
      <c r="C18" s="43" t="s">
        <v>35</v>
      </c>
      <c r="D18" s="44">
        <v>3</v>
      </c>
      <c r="E18" s="43" t="s">
        <v>35</v>
      </c>
      <c r="F18" s="45" t="s">
        <v>36</v>
      </c>
      <c r="G18" s="46">
        <v>21</v>
      </c>
      <c r="H18" s="47">
        <v>40</v>
      </c>
      <c r="I18" s="47" t="s">
        <v>67</v>
      </c>
      <c r="J18" s="48" t="s">
        <v>44</v>
      </c>
      <c r="K18" s="47">
        <v>1</v>
      </c>
      <c r="L18" s="57" t="s">
        <v>42</v>
      </c>
      <c r="M18" s="49">
        <f>30883</f>
        <v>30883</v>
      </c>
      <c r="N18" s="50">
        <v>0</v>
      </c>
      <c r="O18" s="50">
        <f t="shared" si="0"/>
        <v>30883</v>
      </c>
      <c r="P18" s="51"/>
      <c r="Q18" s="39">
        <f t="shared" si="10"/>
        <v>4771.4234999999999</v>
      </c>
      <c r="R18" s="39">
        <f t="shared" si="1"/>
        <v>954.28470000000004</v>
      </c>
      <c r="S18" s="39">
        <f t="shared" ref="S18:S21" si="13">(1264.81/31*61)/2*1.04</f>
        <v>1294.1862322580646</v>
      </c>
      <c r="T18" s="39">
        <f t="shared" si="6"/>
        <v>636.18979999999999</v>
      </c>
      <c r="U18" s="39">
        <v>1671</v>
      </c>
      <c r="V18" s="39">
        <v>1133</v>
      </c>
      <c r="W18" s="52">
        <f t="shared" si="12"/>
        <v>926.49</v>
      </c>
      <c r="X18" s="39">
        <f t="shared" si="7"/>
        <v>41343.084232258057</v>
      </c>
      <c r="Y18" s="39">
        <f t="shared" si="11"/>
        <v>11117.880000000001</v>
      </c>
      <c r="Z18" s="52">
        <f t="shared" si="2"/>
        <v>53015.816666666673</v>
      </c>
      <c r="AA18" s="52">
        <f t="shared" si="3"/>
        <v>5301.5816666666669</v>
      </c>
      <c r="AB18" s="52">
        <f t="shared" si="8"/>
        <v>15904.745000000001</v>
      </c>
      <c r="AC18" s="102">
        <f t="shared" si="4"/>
        <v>581457.03412043001</v>
      </c>
      <c r="AD18" s="100">
        <f t="shared" si="9"/>
        <v>22458</v>
      </c>
    </row>
    <row r="19" spans="1:30" ht="24" customHeight="1">
      <c r="A19" s="42">
        <v>7</v>
      </c>
      <c r="B19" s="43" t="s">
        <v>34</v>
      </c>
      <c r="C19" s="43" t="s">
        <v>35</v>
      </c>
      <c r="D19" s="44">
        <v>3</v>
      </c>
      <c r="E19" s="43" t="s">
        <v>35</v>
      </c>
      <c r="F19" s="45" t="s">
        <v>36</v>
      </c>
      <c r="G19" s="46">
        <v>21</v>
      </c>
      <c r="H19" s="47">
        <v>40</v>
      </c>
      <c r="I19" s="47" t="s">
        <v>67</v>
      </c>
      <c r="J19" s="59" t="s">
        <v>45</v>
      </c>
      <c r="K19" s="47">
        <v>1</v>
      </c>
      <c r="L19" s="47" t="s">
        <v>42</v>
      </c>
      <c r="M19" s="49">
        <f>30883</f>
        <v>30883</v>
      </c>
      <c r="N19" s="50">
        <v>0</v>
      </c>
      <c r="O19" s="50">
        <f t="shared" si="0"/>
        <v>30883</v>
      </c>
      <c r="P19" s="51"/>
      <c r="Q19" s="39">
        <f t="shared" si="10"/>
        <v>4771.4234999999999</v>
      </c>
      <c r="R19" s="39">
        <f t="shared" si="1"/>
        <v>954.28470000000004</v>
      </c>
      <c r="S19" s="39">
        <f t="shared" si="13"/>
        <v>1294.1862322580646</v>
      </c>
      <c r="T19" s="39">
        <f t="shared" si="6"/>
        <v>636.18979999999999</v>
      </c>
      <c r="U19" s="39">
        <v>1671</v>
      </c>
      <c r="V19" s="39">
        <v>1133</v>
      </c>
      <c r="W19" s="52">
        <f t="shared" si="12"/>
        <v>926.49</v>
      </c>
      <c r="X19" s="39">
        <f t="shared" si="7"/>
        <v>41343.084232258057</v>
      </c>
      <c r="Y19" s="39">
        <f t="shared" si="11"/>
        <v>11117.880000000001</v>
      </c>
      <c r="Z19" s="52">
        <f t="shared" si="2"/>
        <v>53015.816666666673</v>
      </c>
      <c r="AA19" s="52">
        <f t="shared" si="3"/>
        <v>5301.5816666666669</v>
      </c>
      <c r="AB19" s="52">
        <f t="shared" si="8"/>
        <v>15904.745000000001</v>
      </c>
      <c r="AC19" s="102">
        <f t="shared" si="4"/>
        <v>581457.03412043001</v>
      </c>
      <c r="AD19" s="100">
        <f t="shared" si="9"/>
        <v>22458</v>
      </c>
    </row>
    <row r="20" spans="1:30" ht="24" customHeight="1">
      <c r="A20" s="42">
        <v>8</v>
      </c>
      <c r="B20" s="43" t="s">
        <v>34</v>
      </c>
      <c r="C20" s="43" t="s">
        <v>35</v>
      </c>
      <c r="D20" s="44">
        <v>3</v>
      </c>
      <c r="E20" s="43" t="s">
        <v>35</v>
      </c>
      <c r="F20" s="45" t="s">
        <v>36</v>
      </c>
      <c r="G20" s="46">
        <v>21</v>
      </c>
      <c r="H20" s="47">
        <v>40</v>
      </c>
      <c r="I20" s="47" t="s">
        <v>67</v>
      </c>
      <c r="J20" s="59" t="s">
        <v>46</v>
      </c>
      <c r="K20" s="47">
        <v>1</v>
      </c>
      <c r="L20" s="47" t="s">
        <v>42</v>
      </c>
      <c r="M20" s="49">
        <f>30883</f>
        <v>30883</v>
      </c>
      <c r="N20" s="50">
        <v>0</v>
      </c>
      <c r="O20" s="50">
        <f t="shared" si="0"/>
        <v>30883</v>
      </c>
      <c r="P20" s="51"/>
      <c r="Q20" s="39">
        <f t="shared" si="10"/>
        <v>4771.4234999999999</v>
      </c>
      <c r="R20" s="39">
        <f t="shared" si="1"/>
        <v>954.28470000000004</v>
      </c>
      <c r="S20" s="39">
        <f t="shared" si="13"/>
        <v>1294.1862322580646</v>
      </c>
      <c r="T20" s="39">
        <f t="shared" si="6"/>
        <v>636.18979999999999</v>
      </c>
      <c r="U20" s="39">
        <v>1671</v>
      </c>
      <c r="V20" s="39">
        <v>1133</v>
      </c>
      <c r="W20" s="52">
        <f t="shared" si="12"/>
        <v>926.49</v>
      </c>
      <c r="X20" s="39">
        <f t="shared" si="7"/>
        <v>41343.084232258057</v>
      </c>
      <c r="Y20" s="39">
        <f t="shared" si="11"/>
        <v>11117.880000000001</v>
      </c>
      <c r="Z20" s="52">
        <f t="shared" si="2"/>
        <v>53015.816666666673</v>
      </c>
      <c r="AA20" s="52">
        <f t="shared" si="3"/>
        <v>5301.5816666666669</v>
      </c>
      <c r="AB20" s="52">
        <f t="shared" si="8"/>
        <v>15904.745000000001</v>
      </c>
      <c r="AC20" s="102">
        <f t="shared" si="4"/>
        <v>581457.03412043001</v>
      </c>
      <c r="AD20" s="100">
        <f t="shared" si="9"/>
        <v>22458</v>
      </c>
    </row>
    <row r="21" spans="1:30" ht="24" customHeight="1">
      <c r="A21" s="42">
        <v>9</v>
      </c>
      <c r="B21" s="43" t="s">
        <v>34</v>
      </c>
      <c r="C21" s="43" t="s">
        <v>35</v>
      </c>
      <c r="D21" s="44">
        <v>3</v>
      </c>
      <c r="E21" s="43" t="s">
        <v>35</v>
      </c>
      <c r="F21" s="45" t="s">
        <v>36</v>
      </c>
      <c r="G21" s="46">
        <v>21</v>
      </c>
      <c r="H21" s="47">
        <v>40</v>
      </c>
      <c r="I21" s="47" t="s">
        <v>67</v>
      </c>
      <c r="J21" s="59" t="s">
        <v>47</v>
      </c>
      <c r="K21" s="47">
        <v>1</v>
      </c>
      <c r="L21" s="57" t="s">
        <v>42</v>
      </c>
      <c r="M21" s="49">
        <f>30883</f>
        <v>30883</v>
      </c>
      <c r="N21" s="50">
        <v>0</v>
      </c>
      <c r="O21" s="50">
        <f t="shared" si="0"/>
        <v>30883</v>
      </c>
      <c r="P21" s="51"/>
      <c r="Q21" s="39">
        <f t="shared" si="10"/>
        <v>4771.4234999999999</v>
      </c>
      <c r="R21" s="39">
        <f t="shared" si="1"/>
        <v>954.28470000000004</v>
      </c>
      <c r="S21" s="39">
        <f t="shared" si="13"/>
        <v>1294.1862322580646</v>
      </c>
      <c r="T21" s="39">
        <f t="shared" si="6"/>
        <v>636.18979999999999</v>
      </c>
      <c r="U21" s="39">
        <v>1671</v>
      </c>
      <c r="V21" s="39">
        <v>1133</v>
      </c>
      <c r="W21" s="52">
        <f t="shared" si="12"/>
        <v>926.49</v>
      </c>
      <c r="X21" s="39">
        <f t="shared" si="7"/>
        <v>41343.084232258057</v>
      </c>
      <c r="Y21" s="39">
        <f t="shared" si="11"/>
        <v>11117.880000000001</v>
      </c>
      <c r="Z21" s="52">
        <f t="shared" si="2"/>
        <v>53015.816666666673</v>
      </c>
      <c r="AA21" s="52">
        <f t="shared" si="3"/>
        <v>5301.5816666666669</v>
      </c>
      <c r="AB21" s="52">
        <f t="shared" si="8"/>
        <v>15904.745000000001</v>
      </c>
      <c r="AC21" s="102">
        <f t="shared" si="4"/>
        <v>581457.03412043001</v>
      </c>
      <c r="AD21" s="100">
        <f t="shared" si="9"/>
        <v>22458</v>
      </c>
    </row>
    <row r="22" spans="1:30" ht="24" customHeight="1">
      <c r="A22" s="42">
        <v>10</v>
      </c>
      <c r="B22" s="43" t="s">
        <v>34</v>
      </c>
      <c r="C22" s="43" t="s">
        <v>35</v>
      </c>
      <c r="D22" s="44">
        <v>3</v>
      </c>
      <c r="E22" s="43" t="s">
        <v>35</v>
      </c>
      <c r="F22" s="45" t="s">
        <v>36</v>
      </c>
      <c r="G22" s="60">
        <v>16</v>
      </c>
      <c r="H22" s="47">
        <v>40</v>
      </c>
      <c r="I22" s="47" t="s">
        <v>67</v>
      </c>
      <c r="J22" s="56" t="s">
        <v>48</v>
      </c>
      <c r="K22" s="47">
        <v>1</v>
      </c>
      <c r="L22" s="57" t="s">
        <v>49</v>
      </c>
      <c r="M22" s="49">
        <f>17213</f>
        <v>17213</v>
      </c>
      <c r="N22" s="50">
        <v>0</v>
      </c>
      <c r="O22" s="50">
        <f t="shared" si="0"/>
        <v>17213</v>
      </c>
      <c r="P22" s="51">
        <v>2624.54</v>
      </c>
      <c r="Q22" s="39">
        <f t="shared" si="10"/>
        <v>2659.4085</v>
      </c>
      <c r="R22" s="39">
        <f t="shared" si="1"/>
        <v>531.88169999999991</v>
      </c>
      <c r="S22" s="39">
        <f>(864.83/31*61)/2*1.04</f>
        <v>884.91637419354845</v>
      </c>
      <c r="T22" s="39">
        <f t="shared" si="6"/>
        <v>354.58780000000002</v>
      </c>
      <c r="U22" s="39">
        <v>1247</v>
      </c>
      <c r="V22" s="39">
        <v>779</v>
      </c>
      <c r="W22" s="52">
        <f t="shared" si="12"/>
        <v>516.39</v>
      </c>
      <c r="X22" s="39">
        <f t="shared" si="7"/>
        <v>23669.794374193552</v>
      </c>
      <c r="Y22" s="39">
        <f t="shared" si="11"/>
        <v>6196.68</v>
      </c>
      <c r="Z22" s="52">
        <f t="shared" si="2"/>
        <v>29548.98333333333</v>
      </c>
      <c r="AA22" s="52">
        <f t="shared" si="3"/>
        <v>2954.8983333333331</v>
      </c>
      <c r="AB22" s="52">
        <f t="shared" si="8"/>
        <v>8864.6949999999997</v>
      </c>
      <c r="AC22" s="102">
        <f t="shared" si="4"/>
        <v>334227.32915698923</v>
      </c>
      <c r="AD22" s="100">
        <f t="shared" si="9"/>
        <v>12826</v>
      </c>
    </row>
    <row r="23" spans="1:30" ht="24" customHeight="1">
      <c r="A23" s="42">
        <v>11</v>
      </c>
      <c r="B23" s="43" t="s">
        <v>34</v>
      </c>
      <c r="C23" s="43" t="s">
        <v>35</v>
      </c>
      <c r="D23" s="44">
        <v>3</v>
      </c>
      <c r="E23" s="43" t="s">
        <v>35</v>
      </c>
      <c r="F23" s="45" t="s">
        <v>36</v>
      </c>
      <c r="G23" s="46">
        <v>16</v>
      </c>
      <c r="H23" s="47">
        <v>40</v>
      </c>
      <c r="I23" s="47" t="s">
        <v>67</v>
      </c>
      <c r="J23" s="56" t="s">
        <v>48</v>
      </c>
      <c r="K23" s="47">
        <v>1</v>
      </c>
      <c r="L23" s="57" t="s">
        <v>49</v>
      </c>
      <c r="M23" s="49">
        <f>17213</f>
        <v>17213</v>
      </c>
      <c r="N23" s="50">
        <v>0</v>
      </c>
      <c r="O23" s="50">
        <f t="shared" si="0"/>
        <v>17213</v>
      </c>
      <c r="P23" s="51"/>
      <c r="Q23" s="39">
        <f t="shared" si="10"/>
        <v>2659.4085</v>
      </c>
      <c r="R23" s="39">
        <f t="shared" si="1"/>
        <v>531.88169999999991</v>
      </c>
      <c r="S23" s="39">
        <f>(860.88/31*61)/2*1.04</f>
        <v>880.87463225806459</v>
      </c>
      <c r="T23" s="39">
        <f t="shared" si="6"/>
        <v>354.58780000000002</v>
      </c>
      <c r="U23" s="39">
        <v>1247</v>
      </c>
      <c r="V23" s="39">
        <v>779</v>
      </c>
      <c r="W23" s="52">
        <f t="shared" si="12"/>
        <v>516.39</v>
      </c>
      <c r="X23" s="39">
        <f t="shared" si="7"/>
        <v>23665.752632258067</v>
      </c>
      <c r="Y23" s="39">
        <f t="shared" si="11"/>
        <v>6196.68</v>
      </c>
      <c r="Z23" s="52">
        <f t="shared" si="2"/>
        <v>29548.98333333333</v>
      </c>
      <c r="AA23" s="52">
        <f t="shared" si="3"/>
        <v>2954.8983333333331</v>
      </c>
      <c r="AB23" s="52">
        <f t="shared" si="8"/>
        <v>8864.6949999999997</v>
      </c>
      <c r="AC23" s="102">
        <f t="shared" si="4"/>
        <v>331554.28825376346</v>
      </c>
      <c r="AD23" s="100">
        <f t="shared" si="9"/>
        <v>12826</v>
      </c>
    </row>
    <row r="24" spans="1:30" ht="24" customHeight="1">
      <c r="A24" s="42">
        <v>12</v>
      </c>
      <c r="B24" s="43" t="s">
        <v>34</v>
      </c>
      <c r="C24" s="43" t="s">
        <v>35</v>
      </c>
      <c r="D24" s="44">
        <v>3</v>
      </c>
      <c r="E24" s="43" t="s">
        <v>35</v>
      </c>
      <c r="F24" s="45" t="s">
        <v>36</v>
      </c>
      <c r="G24" s="46">
        <v>16</v>
      </c>
      <c r="H24" s="47">
        <v>40</v>
      </c>
      <c r="I24" s="47" t="s">
        <v>67</v>
      </c>
      <c r="J24" s="59" t="s">
        <v>48</v>
      </c>
      <c r="K24" s="47">
        <v>1</v>
      </c>
      <c r="L24" s="57" t="s">
        <v>49</v>
      </c>
      <c r="M24" s="49">
        <f>17213</f>
        <v>17213</v>
      </c>
      <c r="N24" s="50">
        <v>0</v>
      </c>
      <c r="O24" s="50">
        <f t="shared" si="0"/>
        <v>17213</v>
      </c>
      <c r="P24" s="51">
        <v>1749.7</v>
      </c>
      <c r="Q24" s="39">
        <f t="shared" si="10"/>
        <v>2659.4085</v>
      </c>
      <c r="R24" s="39">
        <f t="shared" si="1"/>
        <v>531.88169999999991</v>
      </c>
      <c r="S24" s="39">
        <f>(863.55/31*61)/2*1.04</f>
        <v>883.60664516129032</v>
      </c>
      <c r="T24" s="39">
        <f t="shared" si="6"/>
        <v>354.58780000000002</v>
      </c>
      <c r="U24" s="39">
        <v>1247</v>
      </c>
      <c r="V24" s="39">
        <v>779</v>
      </c>
      <c r="W24" s="52">
        <f t="shared" si="12"/>
        <v>516.39</v>
      </c>
      <c r="X24" s="39">
        <f t="shared" si="7"/>
        <v>23668.484645161294</v>
      </c>
      <c r="Y24" s="39">
        <f t="shared" si="11"/>
        <v>6196.68</v>
      </c>
      <c r="Z24" s="52">
        <f t="shared" si="2"/>
        <v>29548.98333333333</v>
      </c>
      <c r="AA24" s="52">
        <f t="shared" si="3"/>
        <v>2954.8983333333331</v>
      </c>
      <c r="AB24" s="52">
        <f t="shared" si="8"/>
        <v>8864.6949999999997</v>
      </c>
      <c r="AC24" s="102">
        <f t="shared" si="4"/>
        <v>333336.77240860218</v>
      </c>
      <c r="AD24" s="100">
        <f t="shared" si="9"/>
        <v>12826</v>
      </c>
    </row>
    <row r="25" spans="1:30" ht="24" customHeight="1">
      <c r="A25" s="42">
        <v>13</v>
      </c>
      <c r="B25" s="43" t="s">
        <v>34</v>
      </c>
      <c r="C25" s="43" t="s">
        <v>35</v>
      </c>
      <c r="D25" s="44">
        <v>3</v>
      </c>
      <c r="E25" s="43" t="s">
        <v>35</v>
      </c>
      <c r="F25" s="45" t="s">
        <v>36</v>
      </c>
      <c r="G25" s="46">
        <v>16</v>
      </c>
      <c r="H25" s="47">
        <v>40</v>
      </c>
      <c r="I25" s="47" t="s">
        <v>67</v>
      </c>
      <c r="J25" s="59" t="s">
        <v>48</v>
      </c>
      <c r="K25" s="47">
        <v>1</v>
      </c>
      <c r="L25" s="57" t="s">
        <v>49</v>
      </c>
      <c r="M25" s="49">
        <f>17213</f>
        <v>17213</v>
      </c>
      <c r="N25" s="50">
        <v>0</v>
      </c>
      <c r="O25" s="50">
        <f t="shared" si="0"/>
        <v>17213</v>
      </c>
      <c r="P25" s="51">
        <v>2624.54</v>
      </c>
      <c r="Q25" s="39">
        <f t="shared" si="10"/>
        <v>2659.4085</v>
      </c>
      <c r="R25" s="39">
        <f t="shared" si="1"/>
        <v>531.88169999999991</v>
      </c>
      <c r="S25" s="39">
        <f>(864.44/31*61)/2*1.04</f>
        <v>884.51731612903234</v>
      </c>
      <c r="T25" s="39">
        <f t="shared" si="6"/>
        <v>354.58780000000002</v>
      </c>
      <c r="U25" s="39">
        <v>1247</v>
      </c>
      <c r="V25" s="39">
        <v>779</v>
      </c>
      <c r="W25" s="52">
        <f t="shared" si="12"/>
        <v>516.39</v>
      </c>
      <c r="X25" s="39">
        <f t="shared" si="7"/>
        <v>23669.395316129037</v>
      </c>
      <c r="Y25" s="39">
        <f t="shared" si="11"/>
        <v>6196.68</v>
      </c>
      <c r="Z25" s="52">
        <f t="shared" si="2"/>
        <v>29548.98333333333</v>
      </c>
      <c r="AA25" s="52">
        <f t="shared" si="3"/>
        <v>2954.8983333333331</v>
      </c>
      <c r="AB25" s="52">
        <f t="shared" si="8"/>
        <v>8864.6949999999997</v>
      </c>
      <c r="AC25" s="102">
        <f t="shared" si="4"/>
        <v>334222.54046021507</v>
      </c>
      <c r="AD25" s="100">
        <f t="shared" si="9"/>
        <v>12826</v>
      </c>
    </row>
    <row r="26" spans="1:30" ht="24" customHeight="1">
      <c r="A26" s="42">
        <v>14</v>
      </c>
      <c r="B26" s="43" t="s">
        <v>34</v>
      </c>
      <c r="C26" s="43" t="s">
        <v>35</v>
      </c>
      <c r="D26" s="44">
        <v>3</v>
      </c>
      <c r="E26" s="43" t="s">
        <v>35</v>
      </c>
      <c r="F26" s="45" t="s">
        <v>36</v>
      </c>
      <c r="G26" s="46">
        <v>16</v>
      </c>
      <c r="H26" s="47">
        <v>40</v>
      </c>
      <c r="I26" s="47" t="s">
        <v>67</v>
      </c>
      <c r="J26" s="56" t="s">
        <v>48</v>
      </c>
      <c r="K26" s="47">
        <v>1</v>
      </c>
      <c r="L26" s="57" t="s">
        <v>49</v>
      </c>
      <c r="M26" s="49">
        <f>17213</f>
        <v>17213</v>
      </c>
      <c r="N26" s="50">
        <v>0</v>
      </c>
      <c r="O26" s="50">
        <f t="shared" si="0"/>
        <v>17213</v>
      </c>
      <c r="P26" s="51">
        <v>1749.7</v>
      </c>
      <c r="Q26" s="39">
        <f t="shared" si="10"/>
        <v>2659.4085</v>
      </c>
      <c r="R26" s="39">
        <f t="shared" si="1"/>
        <v>531.88169999999991</v>
      </c>
      <c r="S26" s="39">
        <f>(863.46/31*61)/2*1.04</f>
        <v>883.51455483870984</v>
      </c>
      <c r="T26" s="39">
        <f t="shared" si="6"/>
        <v>354.58780000000002</v>
      </c>
      <c r="U26" s="39">
        <v>1247</v>
      </c>
      <c r="V26" s="39">
        <v>779</v>
      </c>
      <c r="W26" s="52">
        <f t="shared" si="12"/>
        <v>516.39</v>
      </c>
      <c r="X26" s="39">
        <f t="shared" si="7"/>
        <v>23668.392554838712</v>
      </c>
      <c r="Y26" s="39">
        <f t="shared" si="11"/>
        <v>6196.68</v>
      </c>
      <c r="Z26" s="52">
        <f t="shared" si="2"/>
        <v>29548.98333333333</v>
      </c>
      <c r="AA26" s="52">
        <f t="shared" si="3"/>
        <v>2954.8983333333331</v>
      </c>
      <c r="AB26" s="52">
        <f t="shared" si="8"/>
        <v>8864.6949999999997</v>
      </c>
      <c r="AC26" s="102">
        <f t="shared" si="4"/>
        <v>333335.66732473124</v>
      </c>
      <c r="AD26" s="100">
        <f t="shared" si="9"/>
        <v>12826</v>
      </c>
    </row>
    <row r="27" spans="1:30" ht="24" customHeight="1">
      <c r="A27" s="42">
        <v>15</v>
      </c>
      <c r="B27" s="43" t="s">
        <v>34</v>
      </c>
      <c r="C27" s="43" t="s">
        <v>35</v>
      </c>
      <c r="D27" s="44">
        <v>3</v>
      </c>
      <c r="E27" s="43" t="s">
        <v>35</v>
      </c>
      <c r="F27" s="45" t="s">
        <v>36</v>
      </c>
      <c r="G27" s="46">
        <v>15</v>
      </c>
      <c r="H27" s="47">
        <v>40</v>
      </c>
      <c r="I27" s="47" t="s">
        <v>67</v>
      </c>
      <c r="J27" s="48" t="s">
        <v>50</v>
      </c>
      <c r="K27" s="47">
        <v>1</v>
      </c>
      <c r="L27" s="57" t="s">
        <v>51</v>
      </c>
      <c r="M27" s="49">
        <f>15425</f>
        <v>15425</v>
      </c>
      <c r="N27" s="50">
        <v>0</v>
      </c>
      <c r="O27" s="50">
        <f t="shared" si="0"/>
        <v>15425</v>
      </c>
      <c r="P27" s="51">
        <v>1749.7</v>
      </c>
      <c r="Q27" s="39">
        <f t="shared" si="10"/>
        <v>2383.1624999999999</v>
      </c>
      <c r="R27" s="39">
        <f t="shared" si="1"/>
        <v>476.63249999999999</v>
      </c>
      <c r="S27" s="39">
        <f t="shared" ref="S27:S28" si="14">(863.46/31*61)/2*1.04</f>
        <v>883.51455483870984</v>
      </c>
      <c r="T27" s="39">
        <f t="shared" si="6"/>
        <v>317.755</v>
      </c>
      <c r="U27" s="39">
        <v>1206</v>
      </c>
      <c r="V27" s="39">
        <v>755</v>
      </c>
      <c r="W27" s="52">
        <f t="shared" si="12"/>
        <v>462.75</v>
      </c>
      <c r="X27" s="39">
        <f t="shared" si="7"/>
        <v>21447.064554838707</v>
      </c>
      <c r="Y27" s="39">
        <f t="shared" si="11"/>
        <v>5553</v>
      </c>
      <c r="Z27" s="52">
        <f t="shared" si="2"/>
        <v>26479.583333333336</v>
      </c>
      <c r="AA27" s="52">
        <f t="shared" si="3"/>
        <v>2647.9583333333335</v>
      </c>
      <c r="AB27" s="52">
        <f t="shared" si="8"/>
        <v>7943.875</v>
      </c>
      <c r="AC27" s="102">
        <f t="shared" si="4"/>
        <v>301738.89132473111</v>
      </c>
      <c r="AD27" s="100">
        <f t="shared" si="9"/>
        <v>11590.666666666666</v>
      </c>
    </row>
    <row r="28" spans="1:30" ht="24" customHeight="1">
      <c r="A28" s="42">
        <v>16</v>
      </c>
      <c r="B28" s="43" t="s">
        <v>34</v>
      </c>
      <c r="C28" s="43" t="s">
        <v>35</v>
      </c>
      <c r="D28" s="44">
        <v>3</v>
      </c>
      <c r="E28" s="43" t="s">
        <v>35</v>
      </c>
      <c r="F28" s="45" t="s">
        <v>36</v>
      </c>
      <c r="G28" s="46">
        <v>15</v>
      </c>
      <c r="H28" s="47">
        <v>40</v>
      </c>
      <c r="I28" s="47" t="s">
        <v>67</v>
      </c>
      <c r="J28" s="48" t="s">
        <v>50</v>
      </c>
      <c r="K28" s="47">
        <v>1</v>
      </c>
      <c r="L28" s="57" t="s">
        <v>51</v>
      </c>
      <c r="M28" s="49">
        <f>15425</f>
        <v>15425</v>
      </c>
      <c r="N28" s="50">
        <v>0</v>
      </c>
      <c r="O28" s="50">
        <f t="shared" si="0"/>
        <v>15425</v>
      </c>
      <c r="P28" s="51">
        <v>2624.54</v>
      </c>
      <c r="Q28" s="39">
        <f t="shared" si="10"/>
        <v>2383.1624999999999</v>
      </c>
      <c r="R28" s="39">
        <f t="shared" si="1"/>
        <v>476.63249999999999</v>
      </c>
      <c r="S28" s="39">
        <f t="shared" si="14"/>
        <v>883.51455483870984</v>
      </c>
      <c r="T28" s="39">
        <f t="shared" si="6"/>
        <v>317.755</v>
      </c>
      <c r="U28" s="39">
        <v>1206</v>
      </c>
      <c r="V28" s="39">
        <v>755</v>
      </c>
      <c r="W28" s="52">
        <f t="shared" si="12"/>
        <v>462.75</v>
      </c>
      <c r="X28" s="39">
        <f t="shared" si="7"/>
        <v>21447.064554838707</v>
      </c>
      <c r="Y28" s="39">
        <f t="shared" si="11"/>
        <v>5553</v>
      </c>
      <c r="Z28" s="52">
        <f t="shared" si="2"/>
        <v>26479.583333333336</v>
      </c>
      <c r="AA28" s="52">
        <f t="shared" si="3"/>
        <v>2647.9583333333335</v>
      </c>
      <c r="AB28" s="52">
        <f t="shared" si="8"/>
        <v>7943.875</v>
      </c>
      <c r="AC28" s="102">
        <f t="shared" si="4"/>
        <v>302613.73132473108</v>
      </c>
      <c r="AD28" s="100">
        <f t="shared" si="9"/>
        <v>11590.666666666666</v>
      </c>
    </row>
    <row r="29" spans="1:30" ht="24" customHeight="1">
      <c r="A29" s="42">
        <v>17</v>
      </c>
      <c r="B29" s="43" t="s">
        <v>34</v>
      </c>
      <c r="C29" s="43" t="s">
        <v>35</v>
      </c>
      <c r="D29" s="44">
        <v>3</v>
      </c>
      <c r="E29" s="43" t="s">
        <v>35</v>
      </c>
      <c r="F29" s="45" t="s">
        <v>36</v>
      </c>
      <c r="G29" s="46">
        <v>15</v>
      </c>
      <c r="H29" s="47">
        <v>40</v>
      </c>
      <c r="I29" s="47" t="s">
        <v>67</v>
      </c>
      <c r="J29" s="48" t="s">
        <v>50</v>
      </c>
      <c r="K29" s="47">
        <v>1</v>
      </c>
      <c r="L29" s="57" t="s">
        <v>51</v>
      </c>
      <c r="M29" s="49">
        <f>15425</f>
        <v>15425</v>
      </c>
      <c r="N29" s="50">
        <v>0</v>
      </c>
      <c r="O29" s="50">
        <f t="shared" si="0"/>
        <v>15425</v>
      </c>
      <c r="P29" s="51">
        <v>3499.39</v>
      </c>
      <c r="Q29" s="39">
        <f t="shared" si="10"/>
        <v>2383.1624999999999</v>
      </c>
      <c r="R29" s="39">
        <f t="shared" si="1"/>
        <v>476.63249999999999</v>
      </c>
      <c r="S29" s="39">
        <f>(813.38/31*61)/2*1.04</f>
        <v>832.27140645161296</v>
      </c>
      <c r="T29" s="39">
        <f t="shared" si="6"/>
        <v>317.755</v>
      </c>
      <c r="U29" s="39">
        <v>1206</v>
      </c>
      <c r="V29" s="39">
        <v>755</v>
      </c>
      <c r="W29" s="52">
        <f t="shared" si="12"/>
        <v>462.75</v>
      </c>
      <c r="X29" s="39">
        <f t="shared" si="7"/>
        <v>21395.821406451611</v>
      </c>
      <c r="Y29" s="39">
        <f t="shared" si="11"/>
        <v>5553</v>
      </c>
      <c r="Z29" s="52">
        <f t="shared" si="2"/>
        <v>26479.583333333336</v>
      </c>
      <c r="AA29" s="52">
        <f t="shared" si="3"/>
        <v>2647.9583333333335</v>
      </c>
      <c r="AB29" s="52">
        <f t="shared" si="8"/>
        <v>7943.875</v>
      </c>
      <c r="AC29" s="102">
        <f t="shared" si="4"/>
        <v>302873.66354408598</v>
      </c>
      <c r="AD29" s="100">
        <f t="shared" si="9"/>
        <v>11590.666666666666</v>
      </c>
    </row>
    <row r="30" spans="1:30" ht="24" customHeight="1">
      <c r="A30" s="42">
        <v>18</v>
      </c>
      <c r="B30" s="43" t="s">
        <v>34</v>
      </c>
      <c r="C30" s="43" t="s">
        <v>35</v>
      </c>
      <c r="D30" s="44">
        <v>3</v>
      </c>
      <c r="E30" s="43" t="s">
        <v>35</v>
      </c>
      <c r="F30" s="45" t="s">
        <v>36</v>
      </c>
      <c r="G30" s="46">
        <v>15</v>
      </c>
      <c r="H30" s="47">
        <v>40</v>
      </c>
      <c r="I30" s="47" t="s">
        <v>67</v>
      </c>
      <c r="J30" s="59" t="s">
        <v>52</v>
      </c>
      <c r="K30" s="47">
        <v>1</v>
      </c>
      <c r="L30" s="57" t="s">
        <v>49</v>
      </c>
      <c r="M30" s="49">
        <f>15425</f>
        <v>15425</v>
      </c>
      <c r="N30" s="50">
        <v>0</v>
      </c>
      <c r="O30" s="50">
        <f t="shared" si="0"/>
        <v>15425</v>
      </c>
      <c r="P30" s="51">
        <v>1749.7</v>
      </c>
      <c r="Q30" s="39">
        <f t="shared" si="10"/>
        <v>2383.1624999999999</v>
      </c>
      <c r="R30" s="39">
        <f t="shared" si="1"/>
        <v>476.63249999999999</v>
      </c>
      <c r="S30" s="39">
        <f>(810.24/31*61)/2*1.04</f>
        <v>829.05847741935486</v>
      </c>
      <c r="T30" s="39">
        <f t="shared" si="6"/>
        <v>317.755</v>
      </c>
      <c r="U30" s="39">
        <v>1206</v>
      </c>
      <c r="V30" s="39">
        <v>755</v>
      </c>
      <c r="W30" s="52">
        <f t="shared" si="12"/>
        <v>462.75</v>
      </c>
      <c r="X30" s="39">
        <f t="shared" si="7"/>
        <v>21392.608477419355</v>
      </c>
      <c r="Y30" s="39">
        <f t="shared" si="11"/>
        <v>5553</v>
      </c>
      <c r="Z30" s="52">
        <f t="shared" si="2"/>
        <v>26479.583333333336</v>
      </c>
      <c r="AA30" s="52">
        <f t="shared" si="3"/>
        <v>2647.9583333333335</v>
      </c>
      <c r="AB30" s="52">
        <f t="shared" si="8"/>
        <v>7943.875</v>
      </c>
      <c r="AC30" s="102">
        <f t="shared" si="4"/>
        <v>301085.41839569889</v>
      </c>
      <c r="AD30" s="100">
        <f t="shared" si="9"/>
        <v>11590.666666666666</v>
      </c>
    </row>
    <row r="31" spans="1:30" ht="24" customHeight="1">
      <c r="A31" s="42">
        <v>19</v>
      </c>
      <c r="B31" s="43" t="s">
        <v>34</v>
      </c>
      <c r="C31" s="43" t="s">
        <v>35</v>
      </c>
      <c r="D31" s="44">
        <v>3</v>
      </c>
      <c r="E31" s="43" t="s">
        <v>35</v>
      </c>
      <c r="F31" s="45" t="s">
        <v>36</v>
      </c>
      <c r="G31" s="46">
        <v>15</v>
      </c>
      <c r="H31" s="47">
        <v>40</v>
      </c>
      <c r="I31" s="47" t="s">
        <v>67</v>
      </c>
      <c r="J31" s="59" t="s">
        <v>52</v>
      </c>
      <c r="K31" s="47">
        <v>1</v>
      </c>
      <c r="L31" s="57" t="s">
        <v>49</v>
      </c>
      <c r="M31" s="49">
        <f>15425</f>
        <v>15425</v>
      </c>
      <c r="N31" s="50">
        <v>0</v>
      </c>
      <c r="O31" s="50">
        <f t="shared" si="0"/>
        <v>15425</v>
      </c>
      <c r="P31" s="51">
        <v>3499.39</v>
      </c>
      <c r="Q31" s="39">
        <f t="shared" si="10"/>
        <v>2383.1624999999999</v>
      </c>
      <c r="R31" s="39">
        <f t="shared" si="1"/>
        <v>476.63249999999999</v>
      </c>
      <c r="S31" s="39">
        <f>(814.04/31*61)/2*1.04</f>
        <v>832.94673548387095</v>
      </c>
      <c r="T31" s="39">
        <f t="shared" si="6"/>
        <v>317.755</v>
      </c>
      <c r="U31" s="39">
        <v>1206</v>
      </c>
      <c r="V31" s="39">
        <v>755</v>
      </c>
      <c r="W31" s="52">
        <f t="shared" si="12"/>
        <v>462.75</v>
      </c>
      <c r="X31" s="39">
        <f>O31+Q31+R31+S31+T31+U31+V31</f>
        <v>21396.49673548387</v>
      </c>
      <c r="Y31" s="39">
        <f t="shared" si="11"/>
        <v>5553</v>
      </c>
      <c r="Z31" s="52">
        <f t="shared" si="2"/>
        <v>26479.583333333336</v>
      </c>
      <c r="AA31" s="52">
        <f t="shared" si="3"/>
        <v>2647.9583333333335</v>
      </c>
      <c r="AB31" s="52">
        <f t="shared" si="8"/>
        <v>7943.875</v>
      </c>
      <c r="AC31" s="102">
        <f t="shared" si="4"/>
        <v>302881.76749247307</v>
      </c>
      <c r="AD31" s="100">
        <f t="shared" si="9"/>
        <v>11590.666666666666</v>
      </c>
    </row>
    <row r="32" spans="1:30" ht="24" customHeight="1">
      <c r="A32" s="42">
        <v>20</v>
      </c>
      <c r="B32" s="43" t="s">
        <v>34</v>
      </c>
      <c r="C32" s="43" t="s">
        <v>35</v>
      </c>
      <c r="D32" s="44">
        <v>3</v>
      </c>
      <c r="E32" s="43" t="s">
        <v>35</v>
      </c>
      <c r="F32" s="45" t="s">
        <v>36</v>
      </c>
      <c r="G32" s="46">
        <v>15</v>
      </c>
      <c r="H32" s="47">
        <v>40</v>
      </c>
      <c r="I32" s="47" t="s">
        <v>67</v>
      </c>
      <c r="J32" s="48" t="s">
        <v>53</v>
      </c>
      <c r="K32" s="47">
        <v>1</v>
      </c>
      <c r="L32" s="57" t="s">
        <v>54</v>
      </c>
      <c r="M32" s="49">
        <f>15425</f>
        <v>15425</v>
      </c>
      <c r="N32" s="50">
        <v>0</v>
      </c>
      <c r="O32" s="50">
        <f t="shared" si="0"/>
        <v>15425</v>
      </c>
      <c r="P32" s="51">
        <v>2260.02</v>
      </c>
      <c r="Q32" s="39">
        <f t="shared" si="10"/>
        <v>2383.1624999999999</v>
      </c>
      <c r="R32" s="39">
        <f t="shared" si="1"/>
        <v>476.63249999999999</v>
      </c>
      <c r="S32" s="39">
        <f>(810.89/31*61)/2*1.04</f>
        <v>829.7235741935483</v>
      </c>
      <c r="T32" s="39">
        <f t="shared" si="6"/>
        <v>317.755</v>
      </c>
      <c r="U32" s="39">
        <v>1206</v>
      </c>
      <c r="V32" s="39">
        <v>755</v>
      </c>
      <c r="W32" s="52">
        <f t="shared" si="12"/>
        <v>462.75</v>
      </c>
      <c r="X32" s="39">
        <f t="shared" si="7"/>
        <v>21393.273574193547</v>
      </c>
      <c r="Y32" s="39">
        <f t="shared" si="11"/>
        <v>5553</v>
      </c>
      <c r="Z32" s="52">
        <f t="shared" si="2"/>
        <v>26479.583333333336</v>
      </c>
      <c r="AA32" s="52">
        <f t="shared" si="3"/>
        <v>2647.9583333333335</v>
      </c>
      <c r="AB32" s="52">
        <f t="shared" si="8"/>
        <v>7943.875</v>
      </c>
      <c r="AC32" s="102">
        <f t="shared" si="4"/>
        <v>301603.71955698921</v>
      </c>
      <c r="AD32" s="100">
        <f t="shared" si="9"/>
        <v>11590.666666666666</v>
      </c>
    </row>
    <row r="33" spans="1:32" ht="24" customHeight="1">
      <c r="A33" s="42">
        <v>21</v>
      </c>
      <c r="B33" s="43" t="s">
        <v>34</v>
      </c>
      <c r="C33" s="43" t="s">
        <v>35</v>
      </c>
      <c r="D33" s="44">
        <v>3</v>
      </c>
      <c r="E33" s="43" t="s">
        <v>35</v>
      </c>
      <c r="F33" s="45" t="s">
        <v>36</v>
      </c>
      <c r="G33" s="46">
        <v>15</v>
      </c>
      <c r="H33" s="47">
        <v>40</v>
      </c>
      <c r="I33" s="47" t="s">
        <v>67</v>
      </c>
      <c r="J33" s="48" t="s">
        <v>53</v>
      </c>
      <c r="K33" s="47">
        <v>1</v>
      </c>
      <c r="L33" s="57" t="s">
        <v>54</v>
      </c>
      <c r="M33" s="49">
        <f>15425</f>
        <v>15425</v>
      </c>
      <c r="N33" s="50">
        <v>0</v>
      </c>
      <c r="O33" s="50">
        <f t="shared" si="0"/>
        <v>15425</v>
      </c>
      <c r="P33" s="51">
        <v>1749.7</v>
      </c>
      <c r="Q33" s="39">
        <f t="shared" si="10"/>
        <v>2383.1624999999999</v>
      </c>
      <c r="R33" s="39">
        <f t="shared" si="1"/>
        <v>476.63249999999999</v>
      </c>
      <c r="S33" s="39">
        <f>(810.24/31*61)/2*1.04</f>
        <v>829.05847741935486</v>
      </c>
      <c r="T33" s="39">
        <f t="shared" si="6"/>
        <v>317.755</v>
      </c>
      <c r="U33" s="39">
        <v>1206</v>
      </c>
      <c r="V33" s="39">
        <v>755</v>
      </c>
      <c r="W33" s="52">
        <f t="shared" si="12"/>
        <v>462.75</v>
      </c>
      <c r="X33" s="39">
        <f t="shared" si="7"/>
        <v>21392.608477419355</v>
      </c>
      <c r="Y33" s="39">
        <f t="shared" si="11"/>
        <v>5553</v>
      </c>
      <c r="Z33" s="52">
        <f t="shared" si="2"/>
        <v>26479.583333333336</v>
      </c>
      <c r="AA33" s="52">
        <f t="shared" si="3"/>
        <v>2647.9583333333335</v>
      </c>
      <c r="AB33" s="52">
        <f t="shared" si="8"/>
        <v>7943.875</v>
      </c>
      <c r="AC33" s="102">
        <f t="shared" si="4"/>
        <v>301085.41839569889</v>
      </c>
      <c r="AD33" s="100">
        <f t="shared" si="9"/>
        <v>11590.666666666666</v>
      </c>
    </row>
    <row r="34" spans="1:32" ht="24" customHeight="1">
      <c r="A34" s="42">
        <v>22</v>
      </c>
      <c r="B34" s="43" t="s">
        <v>34</v>
      </c>
      <c r="C34" s="43" t="s">
        <v>35</v>
      </c>
      <c r="D34" s="44">
        <v>3</v>
      </c>
      <c r="E34" s="43" t="s">
        <v>35</v>
      </c>
      <c r="F34" s="45" t="s">
        <v>36</v>
      </c>
      <c r="G34" s="46">
        <v>15</v>
      </c>
      <c r="H34" s="47">
        <v>40</v>
      </c>
      <c r="I34" s="47" t="s">
        <v>67</v>
      </c>
      <c r="J34" s="48" t="s">
        <v>55</v>
      </c>
      <c r="K34" s="47">
        <v>1</v>
      </c>
      <c r="L34" s="47" t="s">
        <v>56</v>
      </c>
      <c r="M34" s="49">
        <f>15425</f>
        <v>15425</v>
      </c>
      <c r="N34" s="50">
        <v>0</v>
      </c>
      <c r="O34" s="50">
        <f t="shared" si="0"/>
        <v>15425</v>
      </c>
      <c r="P34" s="51">
        <v>2989.06</v>
      </c>
      <c r="Q34" s="39">
        <f t="shared" si="10"/>
        <v>2383.1624999999999</v>
      </c>
      <c r="R34" s="39">
        <f t="shared" si="1"/>
        <v>476.63249999999999</v>
      </c>
      <c r="S34" s="39">
        <f>(812.47/31*61)/2*1.04</f>
        <v>831.34027096774196</v>
      </c>
      <c r="T34" s="39">
        <f t="shared" si="6"/>
        <v>317.755</v>
      </c>
      <c r="U34" s="39">
        <v>1206</v>
      </c>
      <c r="V34" s="39">
        <v>755</v>
      </c>
      <c r="W34" s="52">
        <f t="shared" si="12"/>
        <v>462.75</v>
      </c>
      <c r="X34" s="39">
        <f t="shared" si="7"/>
        <v>21394.890270967742</v>
      </c>
      <c r="Y34" s="39">
        <f t="shared" si="11"/>
        <v>5553</v>
      </c>
      <c r="Z34" s="52">
        <f t="shared" si="2"/>
        <v>26479.583333333336</v>
      </c>
      <c r="AA34" s="52">
        <f t="shared" si="3"/>
        <v>2647.9583333333335</v>
      </c>
      <c r="AB34" s="52">
        <f t="shared" si="8"/>
        <v>7943.875</v>
      </c>
      <c r="AC34" s="102">
        <f t="shared" si="4"/>
        <v>302352.15991827956</v>
      </c>
      <c r="AD34" s="100">
        <f t="shared" si="9"/>
        <v>11590.666666666666</v>
      </c>
      <c r="AE34" s="2"/>
    </row>
    <row r="35" spans="1:32" ht="24" customHeight="1">
      <c r="A35" s="42">
        <v>23</v>
      </c>
      <c r="B35" s="43" t="s">
        <v>34</v>
      </c>
      <c r="C35" s="43" t="s">
        <v>35</v>
      </c>
      <c r="D35" s="44">
        <v>3</v>
      </c>
      <c r="E35" s="43" t="s">
        <v>35</v>
      </c>
      <c r="F35" s="45" t="s">
        <v>36</v>
      </c>
      <c r="G35" s="61">
        <v>14</v>
      </c>
      <c r="H35" s="62">
        <v>40</v>
      </c>
      <c r="I35" s="47" t="s">
        <v>67</v>
      </c>
      <c r="J35" s="63" t="s">
        <v>57</v>
      </c>
      <c r="K35" s="62">
        <v>1</v>
      </c>
      <c r="L35" s="62" t="s">
        <v>56</v>
      </c>
      <c r="M35" s="64">
        <f>13967</f>
        <v>13967</v>
      </c>
      <c r="N35" s="65">
        <v>0</v>
      </c>
      <c r="O35" s="65">
        <f t="shared" si="0"/>
        <v>13967</v>
      </c>
      <c r="P35" s="51"/>
      <c r="Q35" s="39">
        <f t="shared" si="10"/>
        <v>2157.9014999999999</v>
      </c>
      <c r="R35" s="39">
        <f t="shared" si="1"/>
        <v>431.58029999999997</v>
      </c>
      <c r="S35" s="38">
        <f>(764.83/31*61)/2*1.04</f>
        <v>782.59379354838711</v>
      </c>
      <c r="T35" s="38">
        <f t="shared" si="6"/>
        <v>287.72020000000003</v>
      </c>
      <c r="U35" s="38">
        <v>1163</v>
      </c>
      <c r="V35" s="38">
        <v>722</v>
      </c>
      <c r="W35" s="52">
        <f t="shared" si="12"/>
        <v>419.01</v>
      </c>
      <c r="X35" s="39">
        <f t="shared" si="7"/>
        <v>19511.79579354839</v>
      </c>
      <c r="Y35" s="39">
        <f t="shared" si="11"/>
        <v>5028.12</v>
      </c>
      <c r="Z35" s="52">
        <f t="shared" si="2"/>
        <v>23976.683333333331</v>
      </c>
      <c r="AA35" s="52">
        <f t="shared" si="3"/>
        <v>2397.6683333333331</v>
      </c>
      <c r="AB35" s="52">
        <f t="shared" si="8"/>
        <v>7193.0050000000001</v>
      </c>
      <c r="AC35" s="102">
        <f t="shared" si="4"/>
        <v>272737.02618924738</v>
      </c>
      <c r="AD35" s="100">
        <f t="shared" si="9"/>
        <v>10568</v>
      </c>
    </row>
    <row r="36" spans="1:32" ht="24" customHeight="1">
      <c r="A36" s="42">
        <v>24</v>
      </c>
      <c r="B36" s="43" t="s">
        <v>34</v>
      </c>
      <c r="C36" s="43" t="s">
        <v>35</v>
      </c>
      <c r="D36" s="44">
        <v>3</v>
      </c>
      <c r="E36" s="43" t="s">
        <v>35</v>
      </c>
      <c r="F36" s="45" t="s">
        <v>36</v>
      </c>
      <c r="G36" s="46">
        <v>14</v>
      </c>
      <c r="H36" s="47">
        <v>40</v>
      </c>
      <c r="I36" s="47" t="s">
        <v>67</v>
      </c>
      <c r="J36" s="48" t="s">
        <v>58</v>
      </c>
      <c r="K36" s="47">
        <v>1</v>
      </c>
      <c r="L36" s="47" t="s">
        <v>39</v>
      </c>
      <c r="M36" s="64">
        <f>13967</f>
        <v>13967</v>
      </c>
      <c r="N36" s="50">
        <v>0</v>
      </c>
      <c r="O36" s="50">
        <f t="shared" si="0"/>
        <v>13967</v>
      </c>
      <c r="P36" s="51">
        <v>1749.7</v>
      </c>
      <c r="Q36" s="39">
        <f t="shared" si="10"/>
        <v>2157.9014999999999</v>
      </c>
      <c r="R36" s="39">
        <f t="shared" si="1"/>
        <v>431.58029999999997</v>
      </c>
      <c r="S36" s="38">
        <f>(764.83/31*61)/2*1.04</f>
        <v>782.59379354838711</v>
      </c>
      <c r="T36" s="39">
        <f t="shared" si="6"/>
        <v>287.72020000000003</v>
      </c>
      <c r="U36" s="39">
        <v>1163</v>
      </c>
      <c r="V36" s="39">
        <v>722</v>
      </c>
      <c r="W36" s="52">
        <f t="shared" si="12"/>
        <v>419.01</v>
      </c>
      <c r="X36" s="39">
        <f t="shared" si="7"/>
        <v>19511.79579354839</v>
      </c>
      <c r="Y36" s="39">
        <f t="shared" si="11"/>
        <v>5028.12</v>
      </c>
      <c r="Z36" s="52">
        <f t="shared" si="2"/>
        <v>23976.683333333331</v>
      </c>
      <c r="AA36" s="52">
        <f t="shared" si="3"/>
        <v>2397.6683333333331</v>
      </c>
      <c r="AB36" s="52">
        <f t="shared" si="8"/>
        <v>7193.0050000000001</v>
      </c>
      <c r="AC36" s="102">
        <f t="shared" si="4"/>
        <v>274486.72618924739</v>
      </c>
      <c r="AD36" s="100">
        <f t="shared" si="9"/>
        <v>10568</v>
      </c>
    </row>
    <row r="37" spans="1:32" ht="24" customHeight="1">
      <c r="A37" s="42">
        <v>25</v>
      </c>
      <c r="B37" s="43" t="s">
        <v>34</v>
      </c>
      <c r="C37" s="43" t="s">
        <v>35</v>
      </c>
      <c r="D37" s="44">
        <v>3</v>
      </c>
      <c r="E37" s="43" t="s">
        <v>35</v>
      </c>
      <c r="F37" s="45" t="s">
        <v>36</v>
      </c>
      <c r="G37" s="46">
        <v>12</v>
      </c>
      <c r="H37" s="47">
        <v>40</v>
      </c>
      <c r="I37" s="47" t="s">
        <v>67</v>
      </c>
      <c r="J37" s="59" t="s">
        <v>59</v>
      </c>
      <c r="K37" s="47">
        <v>1</v>
      </c>
      <c r="L37" s="47" t="s">
        <v>56</v>
      </c>
      <c r="M37" s="49">
        <f>13198</f>
        <v>13198</v>
      </c>
      <c r="N37" s="50">
        <v>0</v>
      </c>
      <c r="O37" s="50">
        <f t="shared" si="0"/>
        <v>13198</v>
      </c>
      <c r="P37" s="51"/>
      <c r="Q37" s="39">
        <f t="shared" si="10"/>
        <v>2039.0909999999999</v>
      </c>
      <c r="R37" s="39">
        <f t="shared" si="1"/>
        <v>407.81819999999999</v>
      </c>
      <c r="S37" s="39">
        <f>(740.08/31*61)/2*1.04</f>
        <v>757.26895483870976</v>
      </c>
      <c r="T37" s="39">
        <f t="shared" si="6"/>
        <v>271.87880000000001</v>
      </c>
      <c r="U37" s="39">
        <v>1099</v>
      </c>
      <c r="V37" s="39">
        <v>689</v>
      </c>
      <c r="W37" s="52">
        <f t="shared" si="12"/>
        <v>395.94</v>
      </c>
      <c r="X37" s="39">
        <f t="shared" si="7"/>
        <v>18462.056954838707</v>
      </c>
      <c r="Y37" s="39">
        <f t="shared" si="11"/>
        <v>4751.28</v>
      </c>
      <c r="Z37" s="52">
        <f t="shared" si="2"/>
        <v>22656.566666666669</v>
      </c>
      <c r="AA37" s="52">
        <f t="shared" si="3"/>
        <v>2265.6566666666668</v>
      </c>
      <c r="AB37" s="52">
        <f t="shared" si="8"/>
        <v>6796.97</v>
      </c>
      <c r="AC37" s="102">
        <f t="shared" si="4"/>
        <v>258015.15679139784</v>
      </c>
      <c r="AD37" s="100">
        <f t="shared" si="9"/>
        <v>9990.6666666666679</v>
      </c>
    </row>
    <row r="38" spans="1:32" ht="24" customHeight="1">
      <c r="A38" s="42">
        <v>26</v>
      </c>
      <c r="B38" s="43" t="s">
        <v>34</v>
      </c>
      <c r="C38" s="43" t="s">
        <v>35</v>
      </c>
      <c r="D38" s="44">
        <v>3</v>
      </c>
      <c r="E38" s="43" t="s">
        <v>35</v>
      </c>
      <c r="F38" s="45" t="s">
        <v>36</v>
      </c>
      <c r="G38" s="46">
        <v>12</v>
      </c>
      <c r="H38" s="47">
        <v>40</v>
      </c>
      <c r="I38" s="47" t="s">
        <v>67</v>
      </c>
      <c r="J38" s="59" t="s">
        <v>59</v>
      </c>
      <c r="K38" s="47">
        <v>1</v>
      </c>
      <c r="L38" s="47" t="s">
        <v>56</v>
      </c>
      <c r="M38" s="49">
        <f>13198</f>
        <v>13198</v>
      </c>
      <c r="N38" s="50">
        <v>0</v>
      </c>
      <c r="O38" s="50">
        <f t="shared" si="0"/>
        <v>13198</v>
      </c>
      <c r="P38" s="51">
        <v>1749.7</v>
      </c>
      <c r="Q38" s="39">
        <f t="shared" si="10"/>
        <v>2039.0909999999999</v>
      </c>
      <c r="R38" s="39">
        <f t="shared" si="1"/>
        <v>407.81819999999999</v>
      </c>
      <c r="S38" s="39">
        <f>(743.35/31*61)/2*1.04</f>
        <v>760.61490322580653</v>
      </c>
      <c r="T38" s="39">
        <f t="shared" si="6"/>
        <v>271.87880000000001</v>
      </c>
      <c r="U38" s="39">
        <v>1099</v>
      </c>
      <c r="V38" s="39">
        <v>689</v>
      </c>
      <c r="W38" s="52">
        <f t="shared" si="12"/>
        <v>395.94</v>
      </c>
      <c r="X38" s="39">
        <f t="shared" si="7"/>
        <v>18465.402903225804</v>
      </c>
      <c r="Y38" s="39">
        <f t="shared" si="11"/>
        <v>4751.28</v>
      </c>
      <c r="Z38" s="52">
        <f t="shared" si="2"/>
        <v>22656.566666666669</v>
      </c>
      <c r="AA38" s="52">
        <f t="shared" si="3"/>
        <v>2265.6566666666668</v>
      </c>
      <c r="AB38" s="52">
        <f t="shared" si="8"/>
        <v>6796.97</v>
      </c>
      <c r="AC38" s="102">
        <f t="shared" si="4"/>
        <v>259805.00817204302</v>
      </c>
      <c r="AD38" s="100">
        <f t="shared" si="9"/>
        <v>9990.6666666666679</v>
      </c>
    </row>
    <row r="39" spans="1:32" ht="24" customHeight="1">
      <c r="A39" s="42">
        <v>27</v>
      </c>
      <c r="B39" s="43" t="s">
        <v>34</v>
      </c>
      <c r="C39" s="43" t="s">
        <v>35</v>
      </c>
      <c r="D39" s="44">
        <v>3</v>
      </c>
      <c r="E39" s="43" t="s">
        <v>35</v>
      </c>
      <c r="F39" s="45" t="s">
        <v>36</v>
      </c>
      <c r="G39" s="46">
        <v>10</v>
      </c>
      <c r="H39" s="47">
        <v>40</v>
      </c>
      <c r="I39" s="57" t="s">
        <v>68</v>
      </c>
      <c r="J39" s="59" t="s">
        <v>60</v>
      </c>
      <c r="K39" s="47">
        <v>1</v>
      </c>
      <c r="L39" s="57" t="s">
        <v>51</v>
      </c>
      <c r="M39" s="49">
        <f>12355</f>
        <v>12355</v>
      </c>
      <c r="N39" s="50">
        <v>0</v>
      </c>
      <c r="O39" s="50">
        <f t="shared" si="0"/>
        <v>12355</v>
      </c>
      <c r="P39" s="51">
        <v>1749.7</v>
      </c>
      <c r="Q39" s="39">
        <f t="shared" si="10"/>
        <v>1908.8474999999999</v>
      </c>
      <c r="R39" s="39">
        <f t="shared" si="1"/>
        <v>381.76949999999999</v>
      </c>
      <c r="S39" s="39">
        <f>(714.51/31*61)/2*1.04</f>
        <v>731.10507096774188</v>
      </c>
      <c r="T39" s="39">
        <f t="shared" si="6"/>
        <v>254.51300000000001</v>
      </c>
      <c r="U39" s="39">
        <v>1046</v>
      </c>
      <c r="V39" s="39">
        <v>666</v>
      </c>
      <c r="W39" s="52">
        <f t="shared" si="12"/>
        <v>370.65</v>
      </c>
      <c r="X39" s="39">
        <f t="shared" si="7"/>
        <v>17343.235070967741</v>
      </c>
      <c r="Y39" s="39">
        <f t="shared" si="11"/>
        <v>4447.7999999999993</v>
      </c>
      <c r="Z39" s="52">
        <f t="shared" si="2"/>
        <v>21209.416666666668</v>
      </c>
      <c r="AA39" s="52">
        <f t="shared" si="3"/>
        <v>2120.9416666666666</v>
      </c>
      <c r="AB39" s="52">
        <f t="shared" si="8"/>
        <v>6362.8249999999998</v>
      </c>
      <c r="AC39" s="102">
        <f t="shared" si="4"/>
        <v>244009.50418494624</v>
      </c>
      <c r="AD39" s="100">
        <f t="shared" si="9"/>
        <v>9378</v>
      </c>
    </row>
    <row r="40" spans="1:32" ht="24" customHeight="1">
      <c r="A40" s="42">
        <v>28</v>
      </c>
      <c r="B40" s="43" t="s">
        <v>34</v>
      </c>
      <c r="C40" s="43" t="s">
        <v>35</v>
      </c>
      <c r="D40" s="44">
        <v>3</v>
      </c>
      <c r="E40" s="43" t="s">
        <v>35</v>
      </c>
      <c r="F40" s="45" t="s">
        <v>36</v>
      </c>
      <c r="G40" s="46">
        <v>10</v>
      </c>
      <c r="H40" s="47">
        <v>40</v>
      </c>
      <c r="I40" s="57" t="s">
        <v>68</v>
      </c>
      <c r="J40" s="59" t="s">
        <v>61</v>
      </c>
      <c r="K40" s="47">
        <v>1</v>
      </c>
      <c r="L40" s="47" t="s">
        <v>56</v>
      </c>
      <c r="M40" s="49">
        <f>12355</f>
        <v>12355</v>
      </c>
      <c r="N40" s="50">
        <v>0</v>
      </c>
      <c r="O40" s="50">
        <f t="shared" si="0"/>
        <v>12355</v>
      </c>
      <c r="P40" s="51">
        <v>1749.7</v>
      </c>
      <c r="Q40" s="39">
        <f t="shared" si="10"/>
        <v>1908.8474999999999</v>
      </c>
      <c r="R40" s="39">
        <f t="shared" si="1"/>
        <v>381.76949999999999</v>
      </c>
      <c r="S40" s="39">
        <f>(717.79/31*61)/2*1.04</f>
        <v>734.4612516129032</v>
      </c>
      <c r="T40" s="39">
        <f t="shared" si="6"/>
        <v>254.51300000000001</v>
      </c>
      <c r="U40" s="39">
        <v>1046</v>
      </c>
      <c r="V40" s="39">
        <v>666</v>
      </c>
      <c r="W40" s="52">
        <f t="shared" si="12"/>
        <v>370.65</v>
      </c>
      <c r="X40" s="39">
        <f t="shared" si="7"/>
        <v>17346.591251612903</v>
      </c>
      <c r="Y40" s="39">
        <f t="shared" si="11"/>
        <v>4447.7999999999993</v>
      </c>
      <c r="Z40" s="52">
        <f t="shared" si="2"/>
        <v>21209.416666666668</v>
      </c>
      <c r="AA40" s="52">
        <f t="shared" si="3"/>
        <v>2120.9416666666666</v>
      </c>
      <c r="AB40" s="52">
        <f t="shared" si="8"/>
        <v>6362.8249999999998</v>
      </c>
      <c r="AC40" s="102">
        <f t="shared" si="4"/>
        <v>244049.77835268818</v>
      </c>
      <c r="AD40" s="100">
        <f t="shared" si="9"/>
        <v>9378</v>
      </c>
    </row>
    <row r="41" spans="1:32" ht="24" customHeight="1">
      <c r="A41" s="42">
        <v>29</v>
      </c>
      <c r="B41" s="43" t="s">
        <v>34</v>
      </c>
      <c r="C41" s="43" t="s">
        <v>35</v>
      </c>
      <c r="D41" s="44">
        <v>3</v>
      </c>
      <c r="E41" s="43" t="s">
        <v>35</v>
      </c>
      <c r="F41" s="45" t="s">
        <v>36</v>
      </c>
      <c r="G41" s="46">
        <v>3</v>
      </c>
      <c r="H41" s="47">
        <v>40</v>
      </c>
      <c r="I41" s="57" t="s">
        <v>68</v>
      </c>
      <c r="J41" s="59" t="s">
        <v>62</v>
      </c>
      <c r="K41" s="47">
        <v>1</v>
      </c>
      <c r="L41" s="47" t="s">
        <v>56</v>
      </c>
      <c r="M41" s="49">
        <v>8969</v>
      </c>
      <c r="N41" s="50">
        <v>0</v>
      </c>
      <c r="O41" s="50">
        <f t="shared" si="0"/>
        <v>8969</v>
      </c>
      <c r="P41" s="51">
        <v>1749.7</v>
      </c>
      <c r="Q41" s="39">
        <f t="shared" si="10"/>
        <v>1385.7104999999999</v>
      </c>
      <c r="R41" s="39">
        <f t="shared" si="1"/>
        <v>277.14209999999997</v>
      </c>
      <c r="S41" s="39">
        <f>(612.83/31*61)/2*1.04</f>
        <v>627.06347096774198</v>
      </c>
      <c r="T41" s="39">
        <f t="shared" si="6"/>
        <v>184.76140000000001</v>
      </c>
      <c r="U41" s="39">
        <v>788</v>
      </c>
      <c r="V41" s="39">
        <v>468</v>
      </c>
      <c r="W41" s="52">
        <f t="shared" si="12"/>
        <v>269.07</v>
      </c>
      <c r="X41" s="39">
        <f t="shared" si="7"/>
        <v>12699.677470967739</v>
      </c>
      <c r="Y41" s="39">
        <f t="shared" si="11"/>
        <v>3228.84</v>
      </c>
      <c r="Z41" s="52">
        <f t="shared" si="2"/>
        <v>15396.783333333331</v>
      </c>
      <c r="AA41" s="52">
        <f t="shared" si="3"/>
        <v>1539.6783333333333</v>
      </c>
      <c r="AB41" s="52">
        <f t="shared" si="8"/>
        <v>4619.0349999999999</v>
      </c>
      <c r="AC41" s="102">
        <f t="shared" si="4"/>
        <v>178930.16631827955</v>
      </c>
      <c r="AD41" s="100">
        <f t="shared" si="9"/>
        <v>6816.6666666666661</v>
      </c>
    </row>
    <row r="42" spans="1:32" ht="24" customHeight="1" thickBot="1">
      <c r="A42" s="66">
        <v>30</v>
      </c>
      <c r="B42" s="67" t="s">
        <v>34</v>
      </c>
      <c r="C42" s="67" t="s">
        <v>35</v>
      </c>
      <c r="D42" s="68">
        <v>3</v>
      </c>
      <c r="E42" s="67" t="s">
        <v>35</v>
      </c>
      <c r="F42" s="69" t="s">
        <v>36</v>
      </c>
      <c r="G42" s="70">
        <v>1</v>
      </c>
      <c r="H42" s="71">
        <v>40</v>
      </c>
      <c r="I42" s="71" t="s">
        <v>68</v>
      </c>
      <c r="J42" s="72" t="s">
        <v>63</v>
      </c>
      <c r="K42" s="73">
        <v>1</v>
      </c>
      <c r="L42" s="73" t="s">
        <v>56</v>
      </c>
      <c r="M42" s="74">
        <v>8207</v>
      </c>
      <c r="N42" s="75">
        <v>0</v>
      </c>
      <c r="O42" s="75">
        <f t="shared" si="0"/>
        <v>8207</v>
      </c>
      <c r="P42" s="76">
        <v>2624.54</v>
      </c>
      <c r="Q42" s="77">
        <f t="shared" si="10"/>
        <v>1267.9814999999999</v>
      </c>
      <c r="R42" s="77">
        <f t="shared" si="1"/>
        <v>253.59629999999996</v>
      </c>
      <c r="S42" s="77">
        <f>(592.47/31*61)/2*1.04</f>
        <v>606.23059354838722</v>
      </c>
      <c r="T42" s="77">
        <f t="shared" si="6"/>
        <v>169.0642</v>
      </c>
      <c r="U42" s="77">
        <v>717</v>
      </c>
      <c r="V42" s="77">
        <v>447</v>
      </c>
      <c r="W42" s="78">
        <f t="shared" si="12"/>
        <v>246.20999999999998</v>
      </c>
      <c r="X42" s="77">
        <f t="shared" si="7"/>
        <v>11667.872593548387</v>
      </c>
      <c r="Y42" s="77">
        <f t="shared" si="11"/>
        <v>2954.5199999999995</v>
      </c>
      <c r="Z42" s="78">
        <f t="shared" si="2"/>
        <v>14088.683333333332</v>
      </c>
      <c r="AA42" s="78">
        <f t="shared" si="3"/>
        <v>1408.8683333333333</v>
      </c>
      <c r="AB42" s="78">
        <f t="shared" si="8"/>
        <v>4226.6049999999996</v>
      </c>
      <c r="AC42" s="103">
        <f t="shared" si="4"/>
        <v>165317.68778924731</v>
      </c>
      <c r="AD42" s="100">
        <f t="shared" si="9"/>
        <v>6247.3333333333339</v>
      </c>
    </row>
    <row r="43" spans="1:32" ht="24" customHeight="1">
      <c r="A43" s="79"/>
      <c r="B43" s="79"/>
      <c r="C43" s="79"/>
      <c r="D43" s="79"/>
      <c r="E43" s="79"/>
      <c r="F43" s="80"/>
      <c r="G43" s="79"/>
      <c r="H43" s="79"/>
      <c r="I43" s="79"/>
      <c r="J43" s="81"/>
      <c r="K43" s="81"/>
      <c r="L43" s="79"/>
      <c r="M43" s="82">
        <f t="shared" ref="M43:AB43" si="15">SUM(M13:M42)</f>
        <v>638779</v>
      </c>
      <c r="N43" s="82">
        <f t="shared" si="15"/>
        <v>0</v>
      </c>
      <c r="O43" s="82">
        <f t="shared" si="15"/>
        <v>638779</v>
      </c>
      <c r="P43" s="82"/>
      <c r="Q43" s="82">
        <f>SUM(Q13:Q42)</f>
        <v>98691.35550000002</v>
      </c>
      <c r="R43" s="82">
        <f>SUM(R13:R42)</f>
        <v>19738.271100000002</v>
      </c>
      <c r="S43" s="82">
        <f>SUM(S13:S42)</f>
        <v>29601.103999999992</v>
      </c>
      <c r="T43" s="82">
        <f t="shared" si="15"/>
        <v>12907.603399999996</v>
      </c>
      <c r="U43" s="82">
        <f t="shared" si="15"/>
        <v>40592</v>
      </c>
      <c r="V43" s="82">
        <f t="shared" si="15"/>
        <v>26484</v>
      </c>
      <c r="W43" s="82">
        <f>SUM(W13:W42)</f>
        <v>19163.369999999992</v>
      </c>
      <c r="X43" s="82">
        <f t="shared" si="15"/>
        <v>866793.33399999968</v>
      </c>
      <c r="Y43" s="82">
        <f>SUM(Y13:Y42)</f>
        <v>229960.43999999994</v>
      </c>
      <c r="Z43" s="82">
        <f t="shared" si="15"/>
        <v>1096570.6166666667</v>
      </c>
      <c r="AA43" s="82">
        <f t="shared" si="15"/>
        <v>109657.0616666666</v>
      </c>
      <c r="AB43" s="82">
        <f t="shared" si="15"/>
        <v>296402.58499999996</v>
      </c>
      <c r="AC43" s="83">
        <f>SUM(AC13:AC42)</f>
        <v>12176501.851333333</v>
      </c>
      <c r="AD43" s="84"/>
    </row>
    <row r="44" spans="1:32" ht="24" customHeight="1">
      <c r="A44" s="85">
        <f>A42</f>
        <v>30</v>
      </c>
      <c r="B44" s="86"/>
      <c r="C44" s="87"/>
      <c r="D44" s="86" t="s">
        <v>64</v>
      </c>
      <c r="E44" s="86"/>
      <c r="F44" s="88"/>
      <c r="G44" s="86"/>
      <c r="H44" s="86"/>
      <c r="I44" s="86"/>
      <c r="J44" s="87"/>
      <c r="K44" s="87"/>
      <c r="L44" s="86"/>
      <c r="M44" s="89">
        <f>M43*12</f>
        <v>7665348</v>
      </c>
      <c r="N44" s="90"/>
      <c r="O44" s="89">
        <f>O43*12</f>
        <v>7665348</v>
      </c>
      <c r="P44" s="91">
        <f>SUM(P13:P42)</f>
        <v>42391.139999999992</v>
      </c>
      <c r="Q44" s="92">
        <f>Q43*12</f>
        <v>1184296.2660000003</v>
      </c>
      <c r="R44" s="92">
        <f t="shared" ref="R44:V44" si="16">R43*12</f>
        <v>236859.25320000004</v>
      </c>
      <c r="S44" s="92">
        <f t="shared" si="16"/>
        <v>355213.24799999991</v>
      </c>
      <c r="T44" s="92">
        <f t="shared" si="16"/>
        <v>154891.24079999997</v>
      </c>
      <c r="U44" s="92">
        <f t="shared" si="16"/>
        <v>487104</v>
      </c>
      <c r="V44" s="92">
        <f t="shared" si="16"/>
        <v>317808</v>
      </c>
      <c r="W44" s="92"/>
      <c r="X44" s="91"/>
      <c r="Y44" s="92">
        <f>Y43</f>
        <v>229960.43999999994</v>
      </c>
      <c r="Z44" s="91">
        <f>Z43</f>
        <v>1096570.6166666667</v>
      </c>
      <c r="AA44" s="91">
        <f>AA43</f>
        <v>109657.0616666666</v>
      </c>
      <c r="AB44" s="93">
        <f>AB43</f>
        <v>296402.58499999996</v>
      </c>
      <c r="AC44" s="94">
        <f>SUM(O44:AB44)</f>
        <v>12176501.851333335</v>
      </c>
      <c r="AD44" s="95"/>
      <c r="AF44" s="96"/>
    </row>
    <row r="45" spans="1:32" ht="13.5" thickBot="1">
      <c r="A45" s="97"/>
      <c r="B45" s="97"/>
      <c r="O45" s="98"/>
      <c r="P45" s="98"/>
      <c r="Q45" s="99"/>
      <c r="R45" s="99"/>
      <c r="S45" s="99"/>
      <c r="V45" s="99"/>
      <c r="W45" s="99"/>
      <c r="X45" s="99"/>
      <c r="Y45" s="99"/>
      <c r="Z45" s="99"/>
      <c r="AA45" s="99"/>
    </row>
    <row r="46" spans="1:32" ht="16.5" thickBot="1">
      <c r="A46" s="104">
        <v>26</v>
      </c>
      <c r="C46" s="105" t="s">
        <v>65</v>
      </c>
      <c r="O46" s="98"/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32" ht="16.5" thickBot="1">
      <c r="A47" s="106"/>
      <c r="B47" s="107"/>
      <c r="C47" s="105"/>
      <c r="O47" s="98"/>
      <c r="P47" s="98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</row>
    <row r="48" spans="1:32" ht="16.5" thickBot="1">
      <c r="A48" s="104">
        <v>4</v>
      </c>
      <c r="C48" s="105" t="s">
        <v>66</v>
      </c>
      <c r="O48" s="98"/>
      <c r="P48" s="98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</row>
    <row r="49" spans="15:27">
      <c r="O49" s="98"/>
      <c r="P49" s="98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</row>
    <row r="50" spans="15:27">
      <c r="O50" s="98"/>
      <c r="P50" s="98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</row>
    <row r="51" spans="15:27">
      <c r="O51" s="98"/>
      <c r="P51" s="98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</row>
    <row r="52" spans="15:27">
      <c r="O52" s="98"/>
      <c r="P52" s="98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</row>
    <row r="53" spans="15:27">
      <c r="O53" s="98"/>
      <c r="P53" s="98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</row>
    <row r="54" spans="15:27">
      <c r="O54" s="98"/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</row>
    <row r="55" spans="15:27">
      <c r="O55" s="98"/>
      <c r="P55" s="98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</row>
    <row r="56" spans="15:27">
      <c r="O56" s="98"/>
      <c r="P56" s="98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</row>
    <row r="57" spans="15:27">
      <c r="O57" s="98"/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5:27">
      <c r="O58" s="98"/>
      <c r="P58" s="98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  <row r="59" spans="15:27">
      <c r="O59" s="98"/>
      <c r="P59" s="98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</row>
    <row r="60" spans="15:27">
      <c r="O60" s="98"/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5:27">
      <c r="O61" s="98"/>
      <c r="P61" s="98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</row>
    <row r="62" spans="15:27">
      <c r="O62" s="98"/>
      <c r="P62" s="98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</row>
    <row r="63" spans="15:27">
      <c r="O63" s="98"/>
      <c r="P63" s="98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5:27">
      <c r="O64" s="98"/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5:27">
      <c r="O65" s="98"/>
      <c r="P65" s="98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5:27">
      <c r="O66" s="98"/>
      <c r="P66" s="98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5:27">
      <c r="O67" s="98"/>
      <c r="P67" s="98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5:27">
      <c r="O68" s="98"/>
      <c r="P68" s="98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5:27">
      <c r="O69" s="98"/>
      <c r="P69" s="98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5:27">
      <c r="O70" s="98"/>
      <c r="P70" s="98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5:27">
      <c r="O71" s="98"/>
      <c r="P71" s="98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5:27">
      <c r="O72" s="98"/>
      <c r="P72" s="98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5:27">
      <c r="O73" s="98"/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5:27">
      <c r="O74" s="98"/>
      <c r="P74" s="98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5:27">
      <c r="O75" s="98"/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5:27">
      <c r="O76" s="98"/>
      <c r="P76" s="98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</row>
    <row r="77" spans="15:27">
      <c r="O77" s="98"/>
      <c r="P77" s="98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</row>
    <row r="78" spans="15:27">
      <c r="O78" s="98"/>
      <c r="P78" s="98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</row>
    <row r="79" spans="15:27">
      <c r="O79" s="98"/>
      <c r="P79" s="98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</row>
    <row r="80" spans="15:27">
      <c r="O80" s="98"/>
      <c r="P80" s="98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</row>
    <row r="81" spans="15:27">
      <c r="O81" s="98"/>
      <c r="P81" s="98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</row>
    <row r="82" spans="15:27">
      <c r="O82" s="98"/>
      <c r="P82" s="98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</row>
    <row r="83" spans="15:27">
      <c r="O83" s="98"/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</row>
    <row r="84" spans="15:27">
      <c r="O84" s="98"/>
      <c r="P84" s="98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</row>
    <row r="85" spans="15:27">
      <c r="O85" s="98"/>
      <c r="P85" s="98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</row>
    <row r="86" spans="15:27">
      <c r="O86" s="98"/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5:27">
      <c r="O87" s="98"/>
      <c r="P87" s="98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</row>
    <row r="88" spans="15:27">
      <c r="O88" s="98"/>
      <c r="P88" s="98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</row>
    <row r="89" spans="15:27">
      <c r="O89" s="98"/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</row>
    <row r="90" spans="15:27">
      <c r="O90" s="98"/>
      <c r="P90" s="98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</row>
    <row r="91" spans="15:27">
      <c r="O91" s="98"/>
      <c r="P91" s="98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</row>
    <row r="92" spans="15:27">
      <c r="O92" s="98"/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</row>
    <row r="93" spans="15:27">
      <c r="O93" s="98"/>
      <c r="P93" s="98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</row>
    <row r="94" spans="15:27">
      <c r="O94" s="98"/>
      <c r="P94" s="98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</row>
    <row r="95" spans="15:27">
      <c r="O95" s="98"/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</row>
    <row r="96" spans="15:27">
      <c r="O96" s="98"/>
      <c r="P96" s="98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</row>
    <row r="97" spans="15:27">
      <c r="O97" s="98"/>
      <c r="P97" s="98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</row>
    <row r="98" spans="15:27">
      <c r="O98" s="98"/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</row>
    <row r="99" spans="15:27">
      <c r="O99" s="98"/>
      <c r="P99" s="98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5:27">
      <c r="O100" s="98"/>
      <c r="P100" s="98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</row>
    <row r="101" spans="15:27">
      <c r="O101" s="98"/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</row>
    <row r="102" spans="15:27">
      <c r="O102" s="98"/>
      <c r="P102" s="98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</row>
    <row r="103" spans="15:27">
      <c r="O103" s="98"/>
      <c r="P103" s="98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</row>
    <row r="104" spans="15:27">
      <c r="O104" s="98"/>
      <c r="P104" s="98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</row>
    <row r="105" spans="15:27">
      <c r="O105" s="98"/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</row>
    <row r="106" spans="15:27">
      <c r="O106" s="98"/>
      <c r="P106" s="98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5:27">
      <c r="O107" s="98"/>
      <c r="P107" s="98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5:27">
      <c r="O108" s="98"/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</row>
    <row r="109" spans="15:27">
      <c r="O109" s="98"/>
      <c r="P109" s="98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</row>
    <row r="110" spans="15:27">
      <c r="O110" s="98"/>
      <c r="P110" s="98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</row>
    <row r="111" spans="15:27">
      <c r="O111" s="98"/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</row>
    <row r="112" spans="15:27">
      <c r="O112" s="98"/>
      <c r="P112" s="98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</row>
    <row r="113" spans="15:27">
      <c r="O113" s="98"/>
      <c r="P113" s="98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</row>
    <row r="114" spans="15:27">
      <c r="O114" s="98"/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</row>
    <row r="115" spans="15:27">
      <c r="O115" s="98"/>
      <c r="P115" s="98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</row>
    <row r="116" spans="15:27">
      <c r="O116" s="98"/>
      <c r="P116" s="98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</row>
    <row r="117" spans="15:27">
      <c r="O117" s="98"/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</row>
    <row r="118" spans="15:27">
      <c r="O118" s="98"/>
      <c r="P118" s="98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</row>
    <row r="119" spans="15:27">
      <c r="O119" s="98"/>
      <c r="P119" s="98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</row>
    <row r="120" spans="15:27">
      <c r="O120" s="98"/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</row>
    <row r="121" spans="15:27">
      <c r="O121" s="98"/>
      <c r="P121" s="98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</row>
    <row r="122" spans="15:27">
      <c r="O122" s="98"/>
      <c r="P122" s="98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</row>
    <row r="123" spans="15:27">
      <c r="O123" s="98"/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</row>
    <row r="124" spans="15:27">
      <c r="O124" s="98"/>
      <c r="P124" s="98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</row>
    <row r="125" spans="15:27">
      <c r="O125" s="98"/>
      <c r="P125" s="98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</row>
    <row r="126" spans="15:27">
      <c r="O126" s="98"/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</row>
    <row r="127" spans="15:27">
      <c r="O127" s="98"/>
      <c r="P127" s="98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</row>
    <row r="128" spans="15:27">
      <c r="O128" s="98"/>
      <c r="P128" s="98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</row>
    <row r="129" spans="15:27">
      <c r="O129" s="98"/>
      <c r="P129" s="98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</row>
    <row r="130" spans="15:27">
      <c r="O130" s="98"/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</row>
    <row r="131" spans="15:27">
      <c r="O131" s="98"/>
      <c r="P131" s="98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</row>
    <row r="132" spans="15:27">
      <c r="O132" s="98"/>
      <c r="P132" s="98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</row>
    <row r="133" spans="15:27">
      <c r="O133" s="98"/>
      <c r="P133" s="98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</row>
    <row r="134" spans="15:27">
      <c r="O134" s="98"/>
      <c r="P134" s="98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</row>
    <row r="135" spans="15:27">
      <c r="O135" s="98"/>
      <c r="P135" s="98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</row>
    <row r="136" spans="15:27">
      <c r="O136" s="98"/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</row>
    <row r="137" spans="15:27">
      <c r="O137" s="98"/>
      <c r="P137" s="98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</row>
    <row r="138" spans="15:27">
      <c r="O138" s="98"/>
      <c r="P138" s="98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</row>
    <row r="139" spans="15:27">
      <c r="O139" s="98"/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</row>
    <row r="140" spans="15:27">
      <c r="O140" s="98"/>
      <c r="P140" s="98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</row>
    <row r="141" spans="15:27">
      <c r="O141" s="98"/>
      <c r="P141" s="98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</row>
    <row r="142" spans="15:27">
      <c r="O142" s="98"/>
      <c r="P142" s="98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</row>
    <row r="143" spans="15:27">
      <c r="O143" s="98"/>
      <c r="P143" s="98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</row>
    <row r="144" spans="15:27">
      <c r="O144" s="98"/>
      <c r="P144" s="98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</row>
    <row r="145" spans="15:27">
      <c r="O145" s="98"/>
      <c r="P145" s="98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</row>
    <row r="146" spans="15:27">
      <c r="O146" s="98"/>
      <c r="P146" s="98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</row>
    <row r="147" spans="15:27">
      <c r="O147" s="98"/>
      <c r="P147" s="98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</row>
    <row r="148" spans="15:27">
      <c r="O148" s="98"/>
      <c r="P148" s="98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</row>
    <row r="149" spans="15:27">
      <c r="O149" s="98"/>
      <c r="P149" s="98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</row>
    <row r="150" spans="15:27">
      <c r="O150" s="98"/>
      <c r="P150" s="98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</row>
    <row r="151" spans="15:27">
      <c r="O151" s="98"/>
      <c r="P151" s="98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</row>
    <row r="152" spans="15:27">
      <c r="O152" s="98"/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</row>
    <row r="153" spans="15:27">
      <c r="O153" s="98"/>
      <c r="P153" s="98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</row>
    <row r="154" spans="15:27">
      <c r="O154" s="98"/>
      <c r="P154" s="98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</row>
    <row r="155" spans="15:27">
      <c r="O155" s="98"/>
      <c r="P155" s="98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</row>
    <row r="156" spans="15:27">
      <c r="O156" s="98"/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</row>
    <row r="157" spans="15:27">
      <c r="O157" s="98"/>
      <c r="P157" s="98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</row>
    <row r="158" spans="15:27">
      <c r="O158" s="98"/>
      <c r="P158" s="98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</row>
    <row r="159" spans="15:27">
      <c r="O159" s="98"/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</row>
    <row r="160" spans="15:27">
      <c r="O160" s="98"/>
      <c r="P160" s="98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</row>
    <row r="161" spans="15:27">
      <c r="O161" s="98"/>
      <c r="P161" s="98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</row>
    <row r="162" spans="15:27">
      <c r="O162" s="98"/>
      <c r="P162" s="98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</row>
    <row r="163" spans="15:27">
      <c r="O163" s="98"/>
      <c r="P163" s="98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</row>
    <row r="164" spans="15:27">
      <c r="O164" s="98"/>
      <c r="P164" s="98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</row>
    <row r="165" spans="15:27">
      <c r="O165" s="98"/>
      <c r="P165" s="98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</row>
    <row r="166" spans="15:27">
      <c r="O166" s="98"/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</row>
    <row r="167" spans="15:27">
      <c r="O167" s="98"/>
      <c r="P167" s="98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</row>
    <row r="168" spans="15:27">
      <c r="O168" s="98"/>
      <c r="P168" s="98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</row>
    <row r="169" spans="15:27">
      <c r="O169" s="98"/>
      <c r="P169" s="9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</row>
    <row r="170" spans="15:27">
      <c r="O170" s="98"/>
      <c r="P170" s="98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</row>
    <row r="171" spans="15:27">
      <c r="O171" s="98"/>
      <c r="P171" s="98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</row>
    <row r="172" spans="15:27">
      <c r="O172" s="98"/>
      <c r="P172" s="9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</row>
    <row r="173" spans="15:27">
      <c r="O173" s="98"/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</row>
    <row r="174" spans="15:27">
      <c r="O174" s="98"/>
      <c r="P174" s="98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</row>
    <row r="175" spans="15:27">
      <c r="O175" s="98"/>
      <c r="P175" s="98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</row>
    <row r="176" spans="15:27">
      <c r="O176" s="98"/>
      <c r="P176" s="98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</row>
    <row r="177" spans="15:27">
      <c r="O177" s="98"/>
      <c r="P177" s="98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</row>
    <row r="178" spans="15:27">
      <c r="O178" s="98"/>
      <c r="P178" s="98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</row>
    <row r="179" spans="15:27">
      <c r="O179" s="98"/>
      <c r="P179" s="98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</row>
    <row r="180" spans="15:27">
      <c r="O180" s="98"/>
      <c r="P180" s="98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</row>
    <row r="181" spans="15:27">
      <c r="O181" s="98"/>
      <c r="P181" s="98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</row>
    <row r="182" spans="15:27">
      <c r="O182" s="98"/>
      <c r="P182" s="98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</row>
    <row r="183" spans="15:27">
      <c r="O183" s="98"/>
      <c r="P183" s="98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</row>
    <row r="184" spans="15:27">
      <c r="O184" s="98"/>
      <c r="P184" s="98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</row>
    <row r="185" spans="15:27">
      <c r="O185" s="98"/>
      <c r="P185" s="98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</row>
    <row r="186" spans="15:27">
      <c r="O186" s="98"/>
      <c r="P186" s="98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</row>
    <row r="187" spans="15:27">
      <c r="O187" s="98"/>
      <c r="P187" s="98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</row>
    <row r="188" spans="15:27">
      <c r="O188" s="98"/>
      <c r="P188" s="98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</row>
    <row r="189" spans="15:27">
      <c r="O189" s="98"/>
      <c r="P189" s="98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</row>
    <row r="190" spans="15:27">
      <c r="O190" s="98"/>
      <c r="P190" s="98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</row>
    <row r="191" spans="15:27">
      <c r="O191" s="98"/>
      <c r="P191" s="98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</row>
    <row r="192" spans="15:27">
      <c r="O192" s="98"/>
      <c r="P192" s="98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</row>
    <row r="193" spans="15:27">
      <c r="O193" s="98"/>
      <c r="P193" s="98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</row>
    <row r="194" spans="15:27">
      <c r="O194" s="98"/>
      <c r="P194" s="98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</row>
    <row r="195" spans="15:27">
      <c r="O195" s="98"/>
      <c r="P195" s="98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</row>
    <row r="196" spans="15:27">
      <c r="O196" s="98"/>
      <c r="P196" s="98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</row>
    <row r="197" spans="15:27">
      <c r="O197" s="98"/>
      <c r="P197" s="98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</row>
    <row r="198" spans="15:27">
      <c r="O198" s="98"/>
      <c r="P198" s="98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</row>
    <row r="199" spans="15:27">
      <c r="O199" s="98"/>
      <c r="P199" s="98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</row>
    <row r="200" spans="15:27">
      <c r="O200" s="98"/>
      <c r="P200" s="98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</row>
    <row r="201" spans="15:27">
      <c r="O201" s="98"/>
      <c r="P201" s="98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</row>
    <row r="202" spans="15:27">
      <c r="O202" s="98"/>
      <c r="P202" s="98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</row>
    <row r="203" spans="15:27">
      <c r="O203" s="98"/>
      <c r="P203" s="98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</row>
    <row r="204" spans="15:27">
      <c r="O204" s="98"/>
      <c r="P204" s="98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</row>
    <row r="205" spans="15:27">
      <c r="O205" s="98"/>
      <c r="P205" s="98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</row>
    <row r="206" spans="15:27">
      <c r="O206" s="98"/>
      <c r="P206" s="98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</row>
    <row r="207" spans="15:27">
      <c r="O207" s="98"/>
      <c r="P207" s="98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</row>
    <row r="208" spans="15:27">
      <c r="O208" s="98"/>
      <c r="P208" s="98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</row>
    <row r="209" spans="15:27">
      <c r="O209" s="98"/>
      <c r="P209" s="98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</row>
    <row r="210" spans="15:27">
      <c r="O210" s="98"/>
      <c r="P210" s="98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</row>
    <row r="211" spans="15:27">
      <c r="O211" s="98"/>
      <c r="P211" s="98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</row>
    <row r="212" spans="15:27">
      <c r="O212" s="98"/>
      <c r="P212" s="98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</row>
    <row r="213" spans="15:27">
      <c r="O213" s="98"/>
      <c r="P213" s="98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</row>
    <row r="214" spans="15:27">
      <c r="O214" s="98"/>
      <c r="P214" s="98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</row>
    <row r="215" spans="15:27">
      <c r="O215" s="98"/>
      <c r="P215" s="98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</row>
    <row r="216" spans="15:27">
      <c r="O216" s="98"/>
      <c r="P216" s="98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</row>
    <row r="217" spans="15:27">
      <c r="O217" s="98"/>
      <c r="P217" s="98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</row>
    <row r="218" spans="15:27">
      <c r="O218" s="98"/>
      <c r="P218" s="98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</row>
    <row r="219" spans="15:27">
      <c r="O219" s="98"/>
      <c r="P219" s="98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</row>
    <row r="220" spans="15:27">
      <c r="O220" s="98"/>
      <c r="P220" s="98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</row>
    <row r="221" spans="15:27">
      <c r="O221" s="98"/>
      <c r="P221" s="98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</row>
    <row r="222" spans="15:27">
      <c r="O222" s="98"/>
      <c r="P222" s="98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</row>
    <row r="223" spans="15:27">
      <c r="O223" s="98"/>
      <c r="P223" s="98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</row>
    <row r="224" spans="15:27">
      <c r="O224" s="98"/>
      <c r="P224" s="98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</row>
    <row r="225" spans="15:27">
      <c r="O225" s="98"/>
      <c r="P225" s="98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</row>
    <row r="226" spans="15:27">
      <c r="O226" s="98"/>
      <c r="P226" s="98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</row>
    <row r="227" spans="15:27">
      <c r="O227" s="98"/>
      <c r="P227" s="98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</row>
    <row r="228" spans="15:27">
      <c r="O228" s="98"/>
      <c r="P228" s="98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</row>
    <row r="229" spans="15:27">
      <c r="O229" s="98"/>
      <c r="P229" s="98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</row>
    <row r="230" spans="15:27">
      <c r="O230" s="98"/>
      <c r="P230" s="98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</row>
    <row r="231" spans="15:27">
      <c r="O231" s="98"/>
      <c r="P231" s="98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</row>
    <row r="232" spans="15:27">
      <c r="O232" s="98"/>
      <c r="P232" s="98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</row>
    <row r="233" spans="15:27">
      <c r="O233" s="98"/>
      <c r="P233" s="98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</row>
    <row r="234" spans="15:27">
      <c r="O234" s="98"/>
      <c r="P234" s="98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</row>
    <row r="235" spans="15:27">
      <c r="O235" s="98"/>
      <c r="P235" s="98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</row>
    <row r="236" spans="15:27">
      <c r="O236" s="98"/>
      <c r="P236" s="98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</row>
    <row r="237" spans="15:27">
      <c r="O237" s="98"/>
      <c r="P237" s="98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</row>
    <row r="238" spans="15:27">
      <c r="O238" s="98"/>
      <c r="P238" s="98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</row>
    <row r="239" spans="15:27">
      <c r="O239" s="98"/>
      <c r="P239" s="98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</row>
    <row r="240" spans="15:27">
      <c r="O240" s="98"/>
      <c r="P240" s="98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</row>
    <row r="241" spans="15:27">
      <c r="O241" s="98"/>
      <c r="P241" s="98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</row>
    <row r="242" spans="15:27">
      <c r="O242" s="98"/>
      <c r="P242" s="98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</row>
    <row r="243" spans="15:27">
      <c r="O243" s="98"/>
      <c r="P243" s="98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</row>
    <row r="244" spans="15:27">
      <c r="O244" s="98"/>
      <c r="P244" s="98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</row>
    <row r="245" spans="15:27">
      <c r="O245" s="98"/>
      <c r="P245" s="98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</row>
    <row r="246" spans="15:27">
      <c r="O246" s="98"/>
      <c r="P246" s="98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</row>
    <row r="247" spans="15:27">
      <c r="O247" s="98"/>
      <c r="P247" s="98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</row>
    <row r="248" spans="15:27">
      <c r="O248" s="98"/>
      <c r="P248" s="98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</row>
    <row r="249" spans="15:27">
      <c r="O249" s="98"/>
      <c r="P249" s="98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</row>
    <row r="250" spans="15:27">
      <c r="O250" s="98"/>
      <c r="P250" s="98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</row>
    <row r="251" spans="15:27">
      <c r="O251" s="98"/>
      <c r="P251" s="98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</row>
    <row r="252" spans="15:27">
      <c r="O252" s="98"/>
      <c r="P252" s="98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</row>
    <row r="253" spans="15:27">
      <c r="O253" s="98"/>
      <c r="P253" s="98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</row>
    <row r="254" spans="15:27">
      <c r="O254" s="98"/>
      <c r="P254" s="98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</row>
    <row r="255" spans="15:27">
      <c r="O255" s="98"/>
      <c r="P255" s="98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</row>
    <row r="256" spans="15:27">
      <c r="O256" s="98"/>
      <c r="P256" s="98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</row>
    <row r="257" spans="15:27">
      <c r="O257" s="98"/>
      <c r="P257" s="98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</row>
    <row r="258" spans="15:27">
      <c r="O258" s="98"/>
      <c r="P258" s="98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</row>
    <row r="259" spans="15:27">
      <c r="O259" s="98"/>
      <c r="P259" s="98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</row>
    <row r="260" spans="15:27">
      <c r="O260" s="98"/>
      <c r="P260" s="98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</row>
    <row r="261" spans="15:27">
      <c r="O261" s="98"/>
      <c r="P261" s="98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</row>
    <row r="262" spans="15:27">
      <c r="O262" s="98"/>
      <c r="P262" s="98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</row>
    <row r="263" spans="15:27">
      <c r="O263" s="98"/>
      <c r="P263" s="98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</row>
    <row r="264" spans="15:27">
      <c r="O264" s="98"/>
      <c r="P264" s="98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</row>
    <row r="265" spans="15:27">
      <c r="O265" s="98"/>
      <c r="P265" s="98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</row>
    <row r="266" spans="15:27">
      <c r="O266" s="98"/>
      <c r="P266" s="98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</row>
    <row r="267" spans="15:27">
      <c r="O267" s="98"/>
      <c r="P267" s="98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</row>
    <row r="268" spans="15:27">
      <c r="O268" s="98"/>
      <c r="P268" s="98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</row>
    <row r="269" spans="15:27">
      <c r="O269" s="98"/>
      <c r="P269" s="98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</row>
    <row r="270" spans="15:27">
      <c r="O270" s="98"/>
      <c r="P270" s="98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</row>
    <row r="271" spans="15:27">
      <c r="O271" s="98"/>
      <c r="P271" s="98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</row>
    <row r="272" spans="15:27">
      <c r="O272" s="98"/>
      <c r="P272" s="98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</row>
    <row r="273" spans="15:27">
      <c r="O273" s="98"/>
      <c r="P273" s="98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</row>
    <row r="274" spans="15:27">
      <c r="O274" s="98"/>
      <c r="P274" s="98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</row>
    <row r="275" spans="15:27">
      <c r="O275" s="98"/>
      <c r="P275" s="98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</row>
    <row r="276" spans="15:27">
      <c r="O276" s="98"/>
      <c r="P276" s="98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</row>
    <row r="277" spans="15:27">
      <c r="O277" s="98"/>
      <c r="P277" s="98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</row>
    <row r="278" spans="15:27">
      <c r="O278" s="98"/>
      <c r="P278" s="98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</row>
    <row r="279" spans="15:27">
      <c r="O279" s="98"/>
      <c r="P279" s="98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</row>
    <row r="280" spans="15:27">
      <c r="O280" s="98"/>
      <c r="P280" s="98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</row>
    <row r="281" spans="15:27">
      <c r="O281" s="98"/>
      <c r="P281" s="98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</row>
    <row r="282" spans="15:27">
      <c r="O282" s="98"/>
      <c r="P282" s="98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</row>
    <row r="283" spans="15:27">
      <c r="O283" s="98"/>
      <c r="P283" s="98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</row>
    <row r="284" spans="15:27">
      <c r="O284" s="98"/>
      <c r="P284" s="98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</row>
    <row r="285" spans="15:27">
      <c r="O285" s="98"/>
      <c r="P285" s="98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</row>
    <row r="286" spans="15:27">
      <c r="O286" s="98"/>
      <c r="P286" s="98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</row>
    <row r="287" spans="15:27">
      <c r="O287" s="98"/>
      <c r="P287" s="98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</row>
    <row r="288" spans="15:27">
      <c r="O288" s="98"/>
      <c r="P288" s="98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</row>
    <row r="289" spans="15:27">
      <c r="O289" s="98"/>
      <c r="P289" s="98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</row>
    <row r="290" spans="15:27">
      <c r="O290" s="98"/>
      <c r="P290" s="98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</row>
    <row r="291" spans="15:27">
      <c r="O291" s="98"/>
      <c r="P291" s="98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</row>
    <row r="292" spans="15:27">
      <c r="O292" s="98"/>
      <c r="P292" s="98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</row>
    <row r="293" spans="15:27">
      <c r="O293" s="98"/>
      <c r="P293" s="98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</row>
  </sheetData>
  <mergeCells count="3">
    <mergeCell ref="D9:J9"/>
    <mergeCell ref="M11:W11"/>
    <mergeCell ref="Y11:AB11"/>
  </mergeCells>
  <printOptions horizontalCentered="1" verticalCentered="1"/>
  <pageMargins left="0" right="0" top="0.39370078740157483" bottom="0" header="0" footer="0.11811023622047245"/>
  <pageSetup scale="60" orientation="landscape" r:id="rId1"/>
  <headerFooter alignWithMargins="0"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2016 </vt:lpstr>
      <vt:lpstr>'PLANTILLA 2016 '!Área_de_impresión</vt:lpstr>
      <vt:lpstr>'PLANTILLA 2016 '!PLANTILLA_PARA_REVISION_2001</vt:lpstr>
      <vt:lpstr>'PLANTILLA 2016 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2016-05-11T20:21:23Z</dcterms:created>
  <dcterms:modified xsi:type="dcterms:W3CDTF">2016-05-11T20:23:57Z</dcterms:modified>
</cp:coreProperties>
</file>