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240" yWindow="60" windowWidth="11580" windowHeight="5955" tabRatio="875"/>
  </bookViews>
  <sheets>
    <sheet name="PLANTILLA 2015" sheetId="141" r:id="rId1"/>
  </sheets>
  <externalReferences>
    <externalReference r:id="rId2"/>
    <externalReference r:id="rId3"/>
    <externalReference r:id="rId4"/>
    <externalReference r:id="rId5"/>
  </externalReferences>
  <definedNames>
    <definedName name="__123Graph_DGráfico2" hidden="1">'[1]011'!#REF!</definedName>
    <definedName name="_xlnm._FilterDatabase" localSheetId="0" hidden="1">'PLANTILLA 2015'!#REF!</definedName>
    <definedName name="a">[3]Hoja1!#REF!</definedName>
    <definedName name="Apoyo" hidden="1">'[2]011'!#REF!</definedName>
    <definedName name="_xlnm.Print_Area" localSheetId="0">'PLANTILLA 2015'!$A$4:$X$44</definedName>
    <definedName name="BASEDATOS">[4]Hoja1!#REF!</definedName>
    <definedName name="BD">[4]Hoja1!#REF!</definedName>
    <definedName name="calenda" hidden="1">'[2]011'!#REF!</definedName>
    <definedName name="d" hidden="1">'[2]011'!#REF!</definedName>
    <definedName name="EXPEDIENTESDJR">[4]Hoja1!#REF!</definedName>
    <definedName name="i" hidden="1">'[2]011'!#REF!</definedName>
    <definedName name="PLANTILLA_PARA_REVISION_2001" localSheetId="0">'PLANTILLA 2015'!$A$12:$F$12</definedName>
    <definedName name="PROGRAMA">[4]Hoja1!#REF!</definedName>
    <definedName name="SegmentaciónDeDatos_NI_PA_DONDE_HACERNOS">#N/A</definedName>
    <definedName name="SegmentaciónDeDatos_PROPUESTA_PRIORIDAD__1">#N/A</definedName>
    <definedName name="SegmentaciónDeDatos_PROPUESTA_PRIORIDAD__2">#N/A</definedName>
    <definedName name="SegmentaciónDeDatos_PROPUESTA_PRIORIDAD__3">#N/A</definedName>
    <definedName name="SegmentaciónDeDatos_STATUS1">#N/A</definedName>
    <definedName name="SegmentaciónDeDatos_UP1">#N/A</definedName>
    <definedName name="_xlnm.Print_Titles" localSheetId="0">'PLANTILLA 2015'!$12:$12</definedName>
    <definedName name="Transferencia" hidden="1">'[2]011'!#REF!</definedName>
  </definedNames>
  <calcPr calcId="125725"/>
</workbook>
</file>

<file path=xl/calcChain.xml><?xml version="1.0" encoding="utf-8"?>
<calcChain xmlns="http://schemas.openxmlformats.org/spreadsheetml/2006/main">
  <c r="N13" i="141"/>
  <c r="G42"/>
  <c r="Q42"/>
  <c r="S42" s="1"/>
  <c r="G41"/>
  <c r="Q41" s="1"/>
  <c r="S41" s="1"/>
  <c r="G40"/>
  <c r="Q40"/>
  <c r="S40" s="1"/>
  <c r="G39"/>
  <c r="I39" s="1"/>
  <c r="G38"/>
  <c r="X38" s="1"/>
  <c r="Q38"/>
  <c r="S38" s="1"/>
  <c r="G37"/>
  <c r="Q37" s="1"/>
  <c r="G36"/>
  <c r="Q36" s="1"/>
  <c r="G35"/>
  <c r="X35" s="1"/>
  <c r="G34"/>
  <c r="I34" s="1"/>
  <c r="G33"/>
  <c r="X33" s="1"/>
  <c r="G32"/>
  <c r="Q32" s="1"/>
  <c r="S32" s="1"/>
  <c r="G31"/>
  <c r="X31" s="1"/>
  <c r="G30"/>
  <c r="Q30"/>
  <c r="S30" s="1"/>
  <c r="G29"/>
  <c r="Q29" s="1"/>
  <c r="G28"/>
  <c r="Q28" s="1"/>
  <c r="N28" s="1"/>
  <c r="G27"/>
  <c r="I27" s="1"/>
  <c r="G26"/>
  <c r="Q26" s="1"/>
  <c r="V26" s="1"/>
  <c r="G25"/>
  <c r="X25" s="1"/>
  <c r="G24"/>
  <c r="Q24"/>
  <c r="S24" s="1"/>
  <c r="G23"/>
  <c r="X23" s="1"/>
  <c r="G22"/>
  <c r="X22" s="1"/>
  <c r="Q22"/>
  <c r="S22" s="1"/>
  <c r="G21"/>
  <c r="Q21" s="1"/>
  <c r="G20"/>
  <c r="Q20" s="1"/>
  <c r="K20" s="1"/>
  <c r="G19"/>
  <c r="Q19" s="1"/>
  <c r="S19" s="1"/>
  <c r="G18"/>
  <c r="X18" s="1"/>
  <c r="G17"/>
  <c r="Q17" s="1"/>
  <c r="S17" s="1"/>
  <c r="G16"/>
  <c r="Q16"/>
  <c r="S16" s="1"/>
  <c r="G15"/>
  <c r="G14"/>
  <c r="Q14"/>
  <c r="S14" s="1"/>
  <c r="G13"/>
  <c r="Q13" s="1"/>
  <c r="X42"/>
  <c r="X34"/>
  <c r="X26"/>
  <c r="M42"/>
  <c r="M41"/>
  <c r="M40"/>
  <c r="M39"/>
  <c r="M38"/>
  <c r="M37"/>
  <c r="M36"/>
  <c r="M35"/>
  <c r="M34"/>
  <c r="M33"/>
  <c r="M32"/>
  <c r="M31"/>
  <c r="M30"/>
  <c r="M29"/>
  <c r="M28"/>
  <c r="M26"/>
  <c r="M25"/>
  <c r="M27"/>
  <c r="M24"/>
  <c r="M23"/>
  <c r="M22"/>
  <c r="M21"/>
  <c r="M20"/>
  <c r="M19"/>
  <c r="M18"/>
  <c r="M17"/>
  <c r="M16"/>
  <c r="M15"/>
  <c r="M14"/>
  <c r="M13"/>
  <c r="X40"/>
  <c r="X37"/>
  <c r="X36"/>
  <c r="X32"/>
  <c r="X30"/>
  <c r="X29"/>
  <c r="X28"/>
  <c r="X24"/>
  <c r="X21"/>
  <c r="X20"/>
  <c r="X16"/>
  <c r="X14"/>
  <c r="X13"/>
  <c r="I37"/>
  <c r="I28"/>
  <c r="T28" s="1"/>
  <c r="J44"/>
  <c r="P43"/>
  <c r="P44" s="1"/>
  <c r="O43"/>
  <c r="O44" s="1"/>
  <c r="H43"/>
  <c r="I42"/>
  <c r="N42" s="1"/>
  <c r="I40"/>
  <c r="T40" s="1"/>
  <c r="I36"/>
  <c r="I35"/>
  <c r="I32"/>
  <c r="I31"/>
  <c r="I30"/>
  <c r="L30" s="1"/>
  <c r="I29"/>
  <c r="I26"/>
  <c r="I24"/>
  <c r="L24" s="1"/>
  <c r="I22"/>
  <c r="I21"/>
  <c r="L21" s="1"/>
  <c r="I20"/>
  <c r="I18"/>
  <c r="I16"/>
  <c r="U16" s="1"/>
  <c r="I14"/>
  <c r="K14" s="1"/>
  <c r="V30"/>
  <c r="U30"/>
  <c r="K30"/>
  <c r="K24"/>
  <c r="N16"/>
  <c r="V14"/>
  <c r="N14"/>
  <c r="L16"/>
  <c r="U14"/>
  <c r="T30"/>
  <c r="U40"/>
  <c r="U24"/>
  <c r="N30"/>
  <c r="N24"/>
  <c r="K32" l="1"/>
  <c r="N36"/>
  <c r="V36"/>
  <c r="T26"/>
  <c r="N32"/>
  <c r="T16"/>
  <c r="U20"/>
  <c r="V16"/>
  <c r="U32"/>
  <c r="T24"/>
  <c r="K16"/>
  <c r="R16" s="1"/>
  <c r="X19"/>
  <c r="G43"/>
  <c r="G44" s="1"/>
  <c r="T32"/>
  <c r="V24"/>
  <c r="L18"/>
  <c r="I38"/>
  <c r="M43"/>
  <c r="M44" s="1"/>
  <c r="X15"/>
  <c r="R30"/>
  <c r="W30" s="1"/>
  <c r="L26"/>
  <c r="Q34"/>
  <c r="V34" s="1"/>
  <c r="V32"/>
  <c r="L32"/>
  <c r="R24"/>
  <c r="Q18"/>
  <c r="K18" s="1"/>
  <c r="L14"/>
  <c r="R14" s="1"/>
  <c r="I13"/>
  <c r="T13" s="1"/>
  <c r="T22"/>
  <c r="X39"/>
  <c r="S13"/>
  <c r="L13"/>
  <c r="S29"/>
  <c r="K29"/>
  <c r="T29"/>
  <c r="U29"/>
  <c r="V29"/>
  <c r="N29"/>
  <c r="L29"/>
  <c r="K27"/>
  <c r="L27"/>
  <c r="S37"/>
  <c r="U37"/>
  <c r="K37"/>
  <c r="L37"/>
  <c r="T37"/>
  <c r="V37"/>
  <c r="N37"/>
  <c r="S21"/>
  <c r="K21"/>
  <c r="R21" s="1"/>
  <c r="W21" s="1"/>
  <c r="V18"/>
  <c r="U28"/>
  <c r="T21"/>
  <c r="L40"/>
  <c r="V21"/>
  <c r="I17"/>
  <c r="L22"/>
  <c r="K36"/>
  <c r="I25"/>
  <c r="X17"/>
  <c r="X41"/>
  <c r="Q15"/>
  <c r="S15" s="1"/>
  <c r="S18"/>
  <c r="Q23"/>
  <c r="S23" s="1"/>
  <c r="S26"/>
  <c r="Q31"/>
  <c r="N31" s="1"/>
  <c r="S34"/>
  <c r="Q39"/>
  <c r="S39" s="1"/>
  <c r="L20"/>
  <c r="R20" s="1"/>
  <c r="W20" s="1"/>
  <c r="L36"/>
  <c r="L42"/>
  <c r="T18"/>
  <c r="V28"/>
  <c r="N40"/>
  <c r="V20"/>
  <c r="U26"/>
  <c r="K34"/>
  <c r="N21"/>
  <c r="I41"/>
  <c r="S20"/>
  <c r="Q25"/>
  <c r="S25" s="1"/>
  <c r="S28"/>
  <c r="Q33"/>
  <c r="S33" s="1"/>
  <c r="S36"/>
  <c r="N22"/>
  <c r="U21"/>
  <c r="T20"/>
  <c r="K26"/>
  <c r="T34"/>
  <c r="I33"/>
  <c r="T31"/>
  <c r="N18"/>
  <c r="R18" s="1"/>
  <c r="N26"/>
  <c r="N34"/>
  <c r="T14"/>
  <c r="U22"/>
  <c r="T42"/>
  <c r="V40"/>
  <c r="I15"/>
  <c r="I19"/>
  <c r="K40"/>
  <c r="R40" s="1"/>
  <c r="X27"/>
  <c r="Q27"/>
  <c r="S27" s="1"/>
  <c r="Q35"/>
  <c r="S35" s="1"/>
  <c r="L28"/>
  <c r="U42"/>
  <c r="N20"/>
  <c r="V22"/>
  <c r="V42"/>
  <c r="K22"/>
  <c r="K42"/>
  <c r="R42" s="1"/>
  <c r="W42" s="1"/>
  <c r="L34"/>
  <c r="K28"/>
  <c r="R28" s="1"/>
  <c r="I23"/>
  <c r="T36"/>
  <c r="U36"/>
  <c r="L35" l="1"/>
  <c r="N35"/>
  <c r="R37"/>
  <c r="V35"/>
  <c r="W14"/>
  <c r="T39"/>
  <c r="R32"/>
  <c r="W32" s="1"/>
  <c r="W16"/>
  <c r="K38"/>
  <c r="L38"/>
  <c r="N38"/>
  <c r="U38"/>
  <c r="T38"/>
  <c r="V38"/>
  <c r="U39"/>
  <c r="W28"/>
  <c r="W24"/>
  <c r="T35"/>
  <c r="I43"/>
  <c r="I44" s="1"/>
  <c r="K13"/>
  <c r="U13"/>
  <c r="V27"/>
  <c r="U18"/>
  <c r="U34"/>
  <c r="U35"/>
  <c r="L39"/>
  <c r="W18"/>
  <c r="R36"/>
  <c r="W36" s="1"/>
  <c r="N39"/>
  <c r="K41"/>
  <c r="V41"/>
  <c r="N41"/>
  <c r="U41"/>
  <c r="L41"/>
  <c r="T41"/>
  <c r="L31"/>
  <c r="V31"/>
  <c r="S31"/>
  <c r="S43" s="1"/>
  <c r="S44" s="1"/>
  <c r="R19"/>
  <c r="K19"/>
  <c r="L19"/>
  <c r="U19"/>
  <c r="T19"/>
  <c r="V19"/>
  <c r="N19"/>
  <c r="K25"/>
  <c r="T25"/>
  <c r="V25"/>
  <c r="N25"/>
  <c r="L25"/>
  <c r="U25"/>
  <c r="N23"/>
  <c r="R23" s="1"/>
  <c r="W23" s="1"/>
  <c r="L23"/>
  <c r="K23"/>
  <c r="U23"/>
  <c r="V23"/>
  <c r="T23"/>
  <c r="W37"/>
  <c r="Q43"/>
  <c r="R26"/>
  <c r="W26" s="1"/>
  <c r="N27"/>
  <c r="R27" s="1"/>
  <c r="W27" s="1"/>
  <c r="V39"/>
  <c r="K35"/>
  <c r="R35" s="1"/>
  <c r="T27"/>
  <c r="K39"/>
  <c r="R29"/>
  <c r="W29" s="1"/>
  <c r="K31"/>
  <c r="R31" s="1"/>
  <c r="K17"/>
  <c r="R17" s="1"/>
  <c r="U17"/>
  <c r="N17"/>
  <c r="V17"/>
  <c r="T17"/>
  <c r="L17"/>
  <c r="L15"/>
  <c r="K15"/>
  <c r="N15"/>
  <c r="U15"/>
  <c r="T15"/>
  <c r="V15"/>
  <c r="L33"/>
  <c r="V33"/>
  <c r="K33"/>
  <c r="T33"/>
  <c r="U33"/>
  <c r="N33"/>
  <c r="U31"/>
  <c r="R34"/>
  <c r="U27"/>
  <c r="R13"/>
  <c r="R22"/>
  <c r="W22" s="1"/>
  <c r="W40"/>
  <c r="W19" l="1"/>
  <c r="W34"/>
  <c r="L43"/>
  <c r="L44" s="1"/>
  <c r="R38"/>
  <c r="W38" s="1"/>
  <c r="K43"/>
  <c r="K44" s="1"/>
  <c r="U43"/>
  <c r="U44" s="1"/>
  <c r="T43"/>
  <c r="T44" s="1"/>
  <c r="R41"/>
  <c r="W41" s="1"/>
  <c r="R39"/>
  <c r="W39" s="1"/>
  <c r="R25"/>
  <c r="W25" s="1"/>
  <c r="N43"/>
  <c r="N44" s="1"/>
  <c r="W35"/>
  <c r="V43"/>
  <c r="V44" s="1"/>
  <c r="R15"/>
  <c r="W15" s="1"/>
  <c r="W31"/>
  <c r="R33"/>
  <c r="W33" s="1"/>
  <c r="W13"/>
  <c r="W17"/>
  <c r="W43" l="1"/>
  <c r="W44"/>
  <c r="R43"/>
</calcChain>
</file>

<file path=xl/comments1.xml><?xml version="1.0" encoding="utf-8"?>
<comments xmlns="http://schemas.openxmlformats.org/spreadsheetml/2006/main">
  <authors>
    <author>Consejo Estatal de Promoción Económica</author>
  </authors>
  <commentList>
    <comment ref="N13" authorId="0">
      <text>
        <r>
          <rPr>
            <b/>
            <sz val="10"/>
            <color indexed="81"/>
            <rFont val="Tahoma"/>
            <family val="2"/>
          </rPr>
          <t>ESTA CANTIDAD ES
EL TOPE MENSUAL BIMESTRAL ES
$1,898.70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<sst xmlns="http://schemas.openxmlformats.org/spreadsheetml/2006/main" count="122" uniqueCount="62">
  <si>
    <t xml:space="preserve"> </t>
  </si>
  <si>
    <t>COSTO MENSUAL</t>
  </si>
  <si>
    <t>COSTO ANUAL</t>
  </si>
  <si>
    <t>NIVEL</t>
  </si>
  <si>
    <t>JOR</t>
  </si>
  <si>
    <t>CATEG</t>
  </si>
  <si>
    <t>CATEGORÍA</t>
  </si>
  <si>
    <t>ZONA
ECONÓMICA</t>
  </si>
  <si>
    <t>ADSCRIPCIÓN</t>
  </si>
  <si>
    <t>IMPACTO AL
SALARIO
1801</t>
  </si>
  <si>
    <t>TOTAL MENSUAL</t>
  </si>
  <si>
    <t>TOTAL ANUAL</t>
  </si>
  <si>
    <t>C</t>
  </si>
  <si>
    <t>DIR. GRAL.</t>
  </si>
  <si>
    <t>COORD. GRAL.</t>
  </si>
  <si>
    <t>DIRECCIÓN GENERAL</t>
  </si>
  <si>
    <t>COORD.GRAL.DE ANÁLISIS ECONÓMICO Y COMPETITIVIDAD</t>
  </si>
  <si>
    <t>DIR.EVALUAC.Y SEG.</t>
  </si>
  <si>
    <t>COORDINACIÓN GENERAL</t>
  </si>
  <si>
    <t>DIR.REGIONAL</t>
  </si>
  <si>
    <t>DIR. PARQUES INDUSTR.</t>
  </si>
  <si>
    <t>DIR. ADMVO.</t>
  </si>
  <si>
    <t>DIR. ANALISIS</t>
  </si>
  <si>
    <t>DIR. JURIDICO</t>
  </si>
  <si>
    <t>COORDIN. REGIONAL</t>
  </si>
  <si>
    <t>DIRECCIÓN DE EVALUACIÓN Y SEGUIMIENTO</t>
  </si>
  <si>
    <t>ASISTENTE JURIDICO</t>
  </si>
  <si>
    <t>DIRECCIÓN JURÍDICA</t>
  </si>
  <si>
    <t>ASISTENTE EVAL.Y SEG.</t>
  </si>
  <si>
    <t>ASISTENTE ANALISIS</t>
  </si>
  <si>
    <t>DIRECCIÓN DE ANALISIS</t>
  </si>
  <si>
    <t>CONTADOR A</t>
  </si>
  <si>
    <t>DIRECCIÓN ADMINISTRATIVA</t>
  </si>
  <si>
    <t>ENCARGADO SISTEMAS</t>
  </si>
  <si>
    <t>ASISTENTE DIR. GRAL.</t>
  </si>
  <si>
    <t>AUXILIAR ADMVO.</t>
  </si>
  <si>
    <t>B</t>
  </si>
  <si>
    <t>AUXILIAR JURIDICO</t>
  </si>
  <si>
    <t>RECEPCION</t>
  </si>
  <si>
    <t>CHOFER MENSAJERO</t>
  </si>
  <si>
    <t>INTENDENCIA</t>
  </si>
  <si>
    <t>SUELDO
1131</t>
  </si>
  <si>
    <t>TOTAL DE PLAZAS</t>
  </si>
  <si>
    <t>QUINQUENIO ANUAL
1311</t>
  </si>
  <si>
    <t>SOBRE
SUELDO
1131</t>
  </si>
  <si>
    <t>SUMA 
1131</t>
  </si>
  <si>
    <t>CUOTAS A
PENSIONES
1431</t>
  </si>
  <si>
    <t>CUOTAS PARA
LA VIVIENDA
1421</t>
  </si>
  <si>
    <t>CUOTAS 
AL IMSS
1412</t>
  </si>
  <si>
    <t>CUOTAS
AL S.A.R.
1432</t>
  </si>
  <si>
    <t>DESPENSA
1712</t>
  </si>
  <si>
    <t>PASAJES
1713</t>
  </si>
  <si>
    <t>IMPACTO AL
SALARIO
1611</t>
  </si>
  <si>
    <t>AGUINALDO     1322</t>
  </si>
  <si>
    <t>PRIMA VACACIONAL   1321</t>
  </si>
  <si>
    <t>ESTIMULO AL SERV.PÚBLICO   1715</t>
  </si>
  <si>
    <r>
      <t xml:space="preserve">ORGANISMO:  </t>
    </r>
    <r>
      <rPr>
        <b/>
        <sz val="18"/>
        <rFont val="Arial"/>
        <family val="2"/>
      </rPr>
      <t>CONSEJO ESTATAL DE PROMOCIÓN ECONÓMICA</t>
    </r>
  </si>
  <si>
    <t>20 DIAS POR AÑO</t>
  </si>
  <si>
    <t>PLANTILLA DE PERSONAL 2015</t>
  </si>
  <si>
    <t>Total de plazas personal de confianza</t>
  </si>
  <si>
    <t>Total de plazas personal de base</t>
  </si>
  <si>
    <t>Nuúmero de vacantes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</si>
</sst>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  <numFmt numFmtId="166" formatCode="#,##0.000000_ ;[Red]\-#,##0.000000\ "/>
    <numFmt numFmtId="171" formatCode="[$-80A]General"/>
  </numFmts>
  <fonts count="4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48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9"/>
      <color indexed="81"/>
      <name val="Tahoma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indexed="81"/>
      <name val="Tahoma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color rgb="FF000000"/>
      <name val="Arial1"/>
    </font>
    <font>
      <sz val="10"/>
      <name val="Garamond"/>
      <family val="1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54000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89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164" fontId="9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2" borderId="0" applyNumberFormat="0" applyBorder="0" applyAlignment="0" applyProtection="0"/>
    <xf numFmtId="0" fontId="9" fillId="23" borderId="4" applyNumberFormat="0" applyFont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9" fillId="0" borderId="0"/>
    <xf numFmtId="44" fontId="30" fillId="0" borderId="0" applyFont="0" applyFill="0" applyBorder="0" applyAlignment="0" applyProtection="0"/>
    <xf numFmtId="0" fontId="30" fillId="0" borderId="0"/>
    <xf numFmtId="0" fontId="31" fillId="0" borderId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4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71" fontId="4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4" fillId="0" borderId="0"/>
    <xf numFmtId="0" fontId="1" fillId="0" borderId="0"/>
    <xf numFmtId="0" fontId="9" fillId="0" borderId="0"/>
  </cellStyleXfs>
  <cellXfs count="102">
    <xf numFmtId="0" fontId="0" fillId="0" borderId="0" xfId="0"/>
    <xf numFmtId="0" fontId="9" fillId="0" borderId="0" xfId="51" applyFont="1" applyAlignment="1">
      <alignment vertical="center"/>
    </xf>
    <xf numFmtId="0" fontId="9" fillId="0" borderId="0" xfId="51" applyFont="1" applyAlignment="1">
      <alignment horizontal="center" vertical="center"/>
    </xf>
    <xf numFmtId="4" fontId="9" fillId="0" borderId="0" xfId="51" applyNumberFormat="1" applyFont="1" applyAlignment="1">
      <alignment vertical="center"/>
    </xf>
    <xf numFmtId="4" fontId="9" fillId="0" borderId="0" xfId="51" applyNumberFormat="1" applyFont="1" applyAlignment="1">
      <alignment horizontal="center" vertical="center"/>
    </xf>
    <xf numFmtId="0" fontId="11" fillId="0" borderId="0" xfId="51" applyFont="1" applyAlignment="1">
      <alignment vertical="center"/>
    </xf>
    <xf numFmtId="0" fontId="9" fillId="0" borderId="0" xfId="51" applyNumberFormat="1" applyFont="1" applyFill="1" applyAlignment="1">
      <alignment vertical="center"/>
    </xf>
    <xf numFmtId="165" fontId="9" fillId="0" borderId="0" xfId="51" applyNumberFormat="1" applyFont="1" applyFill="1" applyAlignment="1">
      <alignment vertical="center"/>
    </xf>
    <xf numFmtId="0" fontId="9" fillId="0" borderId="10" xfId="51" applyFont="1" applyFill="1" applyBorder="1" applyAlignment="1">
      <alignment horizontal="center" vertical="center"/>
    </xf>
    <xf numFmtId="0" fontId="33" fillId="0" borderId="10" xfId="44" applyFont="1" applyFill="1" applyBorder="1" applyAlignment="1">
      <alignment horizontal="left"/>
    </xf>
    <xf numFmtId="4" fontId="9" fillId="0" borderId="10" xfId="51" applyNumberFormat="1" applyFont="1" applyFill="1" applyBorder="1" applyAlignment="1">
      <alignment vertical="center"/>
    </xf>
    <xf numFmtId="4" fontId="9" fillId="0" borderId="10" xfId="51" applyNumberFormat="1" applyFont="1" applyFill="1" applyBorder="1" applyAlignment="1">
      <alignment horizontal="center" vertical="center"/>
    </xf>
    <xf numFmtId="165" fontId="9" fillId="0" borderId="10" xfId="51" applyNumberFormat="1" applyFont="1" applyFill="1" applyBorder="1" applyAlignment="1">
      <alignment vertical="center"/>
    </xf>
    <xf numFmtId="0" fontId="33" fillId="0" borderId="10" xfId="44" applyFont="1" applyFill="1" applyBorder="1" applyAlignment="1">
      <alignment horizontal="left" wrapText="1"/>
    </xf>
    <xf numFmtId="0" fontId="33" fillId="0" borderId="10" xfId="44" applyFont="1" applyBorder="1"/>
    <xf numFmtId="0" fontId="9" fillId="0" borderId="10" xfId="51" applyFont="1" applyBorder="1" applyAlignment="1">
      <alignment horizontal="center" vertical="center"/>
    </xf>
    <xf numFmtId="165" fontId="9" fillId="0" borderId="0" xfId="51" applyNumberFormat="1" applyFont="1" applyAlignment="1">
      <alignment vertical="center"/>
    </xf>
    <xf numFmtId="0" fontId="33" fillId="0" borderId="10" xfId="44" applyFont="1" applyFill="1" applyBorder="1"/>
    <xf numFmtId="0" fontId="9" fillId="0" borderId="12" xfId="51" applyFont="1" applyBorder="1" applyAlignment="1">
      <alignment horizontal="center" vertical="center"/>
    </xf>
    <xf numFmtId="0" fontId="33" fillId="0" borderId="12" xfId="44" applyFont="1" applyFill="1" applyBorder="1" applyAlignment="1">
      <alignment horizontal="left"/>
    </xf>
    <xf numFmtId="0" fontId="9" fillId="0" borderId="12" xfId="51" applyFont="1" applyFill="1" applyBorder="1" applyAlignment="1">
      <alignment horizontal="center" vertical="center"/>
    </xf>
    <xf numFmtId="4" fontId="9" fillId="0" borderId="12" xfId="51" applyNumberFormat="1" applyFont="1" applyFill="1" applyBorder="1" applyAlignment="1">
      <alignment vertical="center"/>
    </xf>
    <xf numFmtId="4" fontId="9" fillId="0" borderId="12" xfId="51" applyNumberFormat="1" applyFont="1" applyFill="1" applyBorder="1" applyAlignment="1">
      <alignment horizontal="center" vertical="center"/>
    </xf>
    <xf numFmtId="165" fontId="9" fillId="0" borderId="12" xfId="51" applyNumberFormat="1" applyFont="1" applyFill="1" applyBorder="1" applyAlignment="1">
      <alignment vertical="center"/>
    </xf>
    <xf numFmtId="44" fontId="34" fillId="0" borderId="0" xfId="51" applyNumberFormat="1" applyFont="1" applyFill="1" applyAlignment="1">
      <alignment horizontal="center" vertical="center"/>
    </xf>
    <xf numFmtId="44" fontId="11" fillId="0" borderId="0" xfId="45" applyFont="1" applyFill="1" applyAlignment="1">
      <alignment vertical="center"/>
    </xf>
    <xf numFmtId="0" fontId="9" fillId="0" borderId="0" xfId="51" applyFont="1" applyFill="1" applyAlignment="1">
      <alignment vertical="center"/>
    </xf>
    <xf numFmtId="4" fontId="35" fillId="0" borderId="0" xfId="51" applyNumberFormat="1" applyFont="1" applyFill="1" applyAlignment="1">
      <alignment horizontal="center" vertical="center"/>
    </xf>
    <xf numFmtId="44" fontId="9" fillId="0" borderId="0" xfId="51" applyNumberFormat="1" applyFont="1" applyAlignment="1">
      <alignment vertical="center"/>
    </xf>
    <xf numFmtId="0" fontId="35" fillId="0" borderId="0" xfId="51" applyFont="1" applyAlignment="1">
      <alignment horizontal="center" vertical="center"/>
    </xf>
    <xf numFmtId="4" fontId="35" fillId="0" borderId="0" xfId="51" applyNumberFormat="1" applyFont="1" applyAlignment="1">
      <alignment horizontal="center" vertical="center"/>
    </xf>
    <xf numFmtId="0" fontId="35" fillId="0" borderId="0" xfId="51" applyFont="1" applyFill="1" applyAlignment="1">
      <alignment vertical="center"/>
    </xf>
    <xf numFmtId="4" fontId="9" fillId="0" borderId="0" xfId="51" applyNumberFormat="1" applyFont="1" applyFill="1" applyAlignment="1">
      <alignment horizontal="center" vertical="center"/>
    </xf>
    <xf numFmtId="0" fontId="9" fillId="0" borderId="24" xfId="51" applyFont="1" applyFill="1" applyBorder="1" applyAlignment="1">
      <alignment horizontal="center" vertical="center"/>
    </xf>
    <xf numFmtId="0" fontId="33" fillId="0" borderId="24" xfId="44" applyFont="1" applyFill="1" applyBorder="1" applyAlignment="1">
      <alignment horizontal="left"/>
    </xf>
    <xf numFmtId="0" fontId="9" fillId="0" borderId="24" xfId="44" applyBorder="1" applyAlignment="1">
      <alignment horizontal="center" vertical="center" wrapText="1"/>
    </xf>
    <xf numFmtId="4" fontId="9" fillId="0" borderId="24" xfId="51" applyNumberFormat="1" applyFont="1" applyFill="1" applyBorder="1" applyAlignment="1">
      <alignment vertical="center"/>
    </xf>
    <xf numFmtId="4" fontId="9" fillId="0" borderId="24" xfId="51" applyNumberFormat="1" applyFont="1" applyFill="1" applyBorder="1" applyAlignment="1">
      <alignment horizontal="center" vertical="center"/>
    </xf>
    <xf numFmtId="165" fontId="9" fillId="0" borderId="24" xfId="51" applyNumberFormat="1" applyFont="1" applyFill="1" applyBorder="1" applyAlignment="1">
      <alignment vertical="center"/>
    </xf>
    <xf numFmtId="0" fontId="9" fillId="0" borderId="11" xfId="51" applyFont="1" applyFill="1" applyBorder="1" applyAlignment="1">
      <alignment horizontal="center" vertical="center"/>
    </xf>
    <xf numFmtId="0" fontId="33" fillId="0" borderId="11" xfId="44" applyFont="1" applyFill="1" applyBorder="1" applyAlignment="1">
      <alignment horizontal="left"/>
    </xf>
    <xf numFmtId="4" fontId="9" fillId="0" borderId="11" xfId="51" applyNumberFormat="1" applyFont="1" applyFill="1" applyBorder="1" applyAlignment="1">
      <alignment vertical="center"/>
    </xf>
    <xf numFmtId="165" fontId="9" fillId="0" borderId="11" xfId="51" applyNumberFormat="1" applyFont="1" applyFill="1" applyBorder="1" applyAlignment="1">
      <alignment vertical="center"/>
    </xf>
    <xf numFmtId="44" fontId="9" fillId="0" borderId="10" xfId="45" applyFont="1" applyFill="1" applyBorder="1" applyAlignment="1">
      <alignment vertical="center"/>
    </xf>
    <xf numFmtId="44" fontId="9" fillId="0" borderId="10" xfId="51" applyNumberFormat="1" applyFont="1" applyFill="1" applyBorder="1" applyAlignment="1">
      <alignment vertical="center"/>
    </xf>
    <xf numFmtId="44" fontId="9" fillId="0" borderId="24" xfId="45" applyFont="1" applyFill="1" applyBorder="1" applyAlignment="1">
      <alignment vertical="center"/>
    </xf>
    <xf numFmtId="44" fontId="9" fillId="0" borderId="24" xfId="51" applyNumberFormat="1" applyFont="1" applyFill="1" applyBorder="1" applyAlignment="1">
      <alignment vertical="center"/>
    </xf>
    <xf numFmtId="44" fontId="9" fillId="0" borderId="15" xfId="51" applyNumberFormat="1" applyFont="1" applyFill="1" applyBorder="1" applyAlignment="1">
      <alignment vertical="center"/>
    </xf>
    <xf numFmtId="44" fontId="9" fillId="0" borderId="11" xfId="45" applyFont="1" applyFill="1" applyBorder="1" applyAlignment="1">
      <alignment vertical="center"/>
    </xf>
    <xf numFmtId="44" fontId="9" fillId="0" borderId="12" xfId="45" applyFont="1" applyFill="1" applyBorder="1" applyAlignment="1">
      <alignment vertical="center"/>
    </xf>
    <xf numFmtId="44" fontId="9" fillId="0" borderId="12" xfId="51" applyNumberFormat="1" applyFont="1" applyFill="1" applyBorder="1" applyAlignment="1">
      <alignment vertical="center"/>
    </xf>
    <xf numFmtId="44" fontId="37" fillId="25" borderId="0" xfId="45" applyFont="1" applyFill="1" applyBorder="1" applyAlignment="1">
      <alignment vertical="center"/>
    </xf>
    <xf numFmtId="165" fontId="9" fillId="0" borderId="0" xfId="51" applyNumberFormat="1" applyFont="1" applyFill="1" applyAlignment="1">
      <alignment vertical="center" wrapText="1"/>
    </xf>
    <xf numFmtId="166" fontId="9" fillId="0" borderId="0" xfId="51" applyNumberFormat="1" applyFont="1" applyFill="1" applyAlignment="1">
      <alignment vertical="center"/>
    </xf>
    <xf numFmtId="44" fontId="41" fillId="0" borderId="0" xfId="51" applyNumberFormat="1" applyFont="1" applyFill="1" applyAlignment="1">
      <alignment vertical="center"/>
    </xf>
    <xf numFmtId="0" fontId="34" fillId="0" borderId="0" xfId="51" applyFont="1" applyAlignment="1">
      <alignment vertical="center"/>
    </xf>
    <xf numFmtId="0" fontId="34" fillId="0" borderId="0" xfId="51" applyFont="1" applyAlignment="1">
      <alignment horizontal="center" vertical="center"/>
    </xf>
    <xf numFmtId="44" fontId="37" fillId="0" borderId="0" xfId="45" applyFont="1" applyFill="1" applyAlignment="1">
      <alignment vertical="center"/>
    </xf>
    <xf numFmtId="0" fontId="12" fillId="0" borderId="0" xfId="51" applyFont="1" applyAlignment="1">
      <alignment horizontal="center" vertical="center"/>
    </xf>
    <xf numFmtId="0" fontId="32" fillId="0" borderId="0" xfId="51" applyFont="1" applyAlignment="1">
      <alignment horizontal="center" vertical="center"/>
    </xf>
    <xf numFmtId="0" fontId="10" fillId="0" borderId="0" xfId="51" applyFont="1" applyBorder="1" applyAlignment="1">
      <alignment horizontal="left"/>
    </xf>
    <xf numFmtId="44" fontId="9" fillId="0" borderId="0" xfId="79" applyFont="1" applyAlignment="1">
      <alignment horizontal="center" vertical="center"/>
    </xf>
    <xf numFmtId="44" fontId="9" fillId="0" borderId="0" xfId="79" applyFont="1" applyAlignment="1">
      <alignment vertical="center"/>
    </xf>
    <xf numFmtId="4" fontId="37" fillId="24" borderId="0" xfId="51" applyNumberFormat="1" applyFont="1" applyFill="1" applyBorder="1" applyAlignment="1">
      <alignment horizontal="center" vertical="center" wrapText="1"/>
    </xf>
    <xf numFmtId="0" fontId="32" fillId="0" borderId="0" xfId="51" applyFont="1" applyAlignment="1">
      <alignment horizontal="center" vertical="center"/>
    </xf>
    <xf numFmtId="0" fontId="11" fillId="26" borderId="14" xfId="51" applyNumberFormat="1" applyFont="1" applyFill="1" applyBorder="1" applyAlignment="1">
      <alignment horizontal="center" vertical="center" wrapText="1"/>
    </xf>
    <xf numFmtId="4" fontId="11" fillId="26" borderId="23" xfId="51" applyNumberFormat="1" applyFont="1" applyFill="1" applyBorder="1" applyAlignment="1">
      <alignment horizontal="center" vertical="center" wrapText="1"/>
    </xf>
    <xf numFmtId="4" fontId="11" fillId="26" borderId="14" xfId="51" applyNumberFormat="1" applyFont="1" applyFill="1" applyBorder="1" applyAlignment="1">
      <alignment horizontal="center" vertical="center" wrapText="1"/>
    </xf>
    <xf numFmtId="0" fontId="10" fillId="26" borderId="0" xfId="51" applyFont="1" applyFill="1" applyAlignment="1">
      <alignment horizontal="center" vertical="center"/>
    </xf>
    <xf numFmtId="0" fontId="10" fillId="26" borderId="0" xfId="51" applyFont="1" applyFill="1" applyAlignment="1">
      <alignment vertical="center"/>
    </xf>
    <xf numFmtId="44" fontId="9" fillId="26" borderId="0" xfId="51" applyNumberFormat="1" applyFont="1" applyFill="1" applyBorder="1" applyAlignment="1">
      <alignment horizontal="center" vertical="center"/>
    </xf>
    <xf numFmtId="4" fontId="9" fillId="26" borderId="0" xfId="51" applyNumberFormat="1" applyFont="1" applyFill="1" applyBorder="1" applyAlignment="1">
      <alignment horizontal="center" vertical="center"/>
    </xf>
    <xf numFmtId="44" fontId="9" fillId="26" borderId="0" xfId="51" applyNumberFormat="1" applyFont="1" applyFill="1" applyBorder="1" applyAlignment="1">
      <alignment vertical="center"/>
    </xf>
    <xf numFmtId="44" fontId="9" fillId="26" borderId="0" xfId="45" applyFont="1" applyFill="1" applyBorder="1" applyAlignment="1">
      <alignment horizontal="center" vertical="center"/>
    </xf>
    <xf numFmtId="165" fontId="9" fillId="26" borderId="0" xfId="51" applyNumberFormat="1" applyFont="1" applyFill="1" applyBorder="1" applyAlignment="1">
      <alignment vertical="center"/>
    </xf>
    <xf numFmtId="44" fontId="11" fillId="26" borderId="0" xfId="45" applyFont="1" applyFill="1" applyBorder="1" applyAlignment="1">
      <alignment vertical="center"/>
    </xf>
    <xf numFmtId="0" fontId="12" fillId="0" borderId="0" xfId="51" applyFont="1" applyBorder="1" applyAlignment="1">
      <alignment horizontal="left"/>
    </xf>
    <xf numFmtId="0" fontId="11" fillId="26" borderId="20" xfId="51" applyFont="1" applyFill="1" applyBorder="1" applyAlignment="1">
      <alignment horizontal="center" vertical="center"/>
    </xf>
    <xf numFmtId="0" fontId="11" fillId="26" borderId="13" xfId="51" applyFont="1" applyFill="1" applyBorder="1" applyAlignment="1">
      <alignment horizontal="center" vertical="center"/>
    </xf>
    <xf numFmtId="0" fontId="11" fillId="26" borderId="22" xfId="51" applyFont="1" applyFill="1" applyBorder="1" applyAlignment="1">
      <alignment horizontal="center" vertical="center"/>
    </xf>
    <xf numFmtId="0" fontId="11" fillId="26" borderId="20" xfId="51" applyFont="1" applyFill="1" applyBorder="1" applyAlignment="1">
      <alignment horizontal="center" vertical="center" wrapText="1"/>
    </xf>
    <xf numFmtId="0" fontId="11" fillId="26" borderId="13" xfId="51" applyFont="1" applyFill="1" applyBorder="1" applyAlignment="1">
      <alignment horizontal="center" vertical="center" wrapText="1"/>
    </xf>
    <xf numFmtId="0" fontId="11" fillId="26" borderId="22" xfId="51" applyFont="1" applyFill="1" applyBorder="1" applyAlignment="1">
      <alignment horizontal="center" vertical="center" wrapText="1"/>
    </xf>
    <xf numFmtId="0" fontId="10" fillId="0" borderId="0" xfId="51" applyFont="1" applyAlignment="1">
      <alignment vertical="center"/>
    </xf>
    <xf numFmtId="0" fontId="10" fillId="0" borderId="27" xfId="51" applyFont="1" applyBorder="1" applyAlignment="1">
      <alignment horizontal="center" vertical="center"/>
    </xf>
    <xf numFmtId="0" fontId="9" fillId="0" borderId="0" xfId="51" applyFont="1" applyBorder="1" applyAlignment="1">
      <alignment vertical="center"/>
    </xf>
    <xf numFmtId="0" fontId="10" fillId="0" borderId="26" xfId="51" applyFont="1" applyBorder="1" applyAlignment="1">
      <alignment horizontal="center" vertical="center"/>
    </xf>
    <xf numFmtId="0" fontId="10" fillId="26" borderId="0" xfId="51" applyFont="1" applyFill="1" applyAlignment="1">
      <alignment horizontal="left" vertical="center"/>
    </xf>
    <xf numFmtId="0" fontId="9" fillId="26" borderId="0" xfId="51" applyFont="1" applyFill="1" applyAlignment="1">
      <alignment horizontal="center" vertical="center"/>
    </xf>
    <xf numFmtId="0" fontId="12" fillId="0" borderId="0" xfId="51" applyFont="1" applyAlignment="1">
      <alignment horizontal="center" vertical="center"/>
    </xf>
    <xf numFmtId="0" fontId="9" fillId="0" borderId="0" xfId="51" applyFont="1" applyFill="1" applyBorder="1" applyAlignment="1">
      <alignment vertical="center"/>
    </xf>
    <xf numFmtId="0" fontId="11" fillId="0" borderId="0" xfId="51" applyFont="1" applyFill="1" applyBorder="1" applyAlignment="1">
      <alignment vertical="center" wrapText="1"/>
    </xf>
    <xf numFmtId="165" fontId="11" fillId="0" borderId="0" xfId="51" applyNumberFormat="1" applyFont="1" applyFill="1" applyBorder="1" applyAlignment="1">
      <alignment vertical="center"/>
    </xf>
    <xf numFmtId="165" fontId="9" fillId="0" borderId="22" xfId="51" applyNumberFormat="1" applyFont="1" applyFill="1" applyBorder="1" applyAlignment="1">
      <alignment vertical="center"/>
    </xf>
    <xf numFmtId="0" fontId="9" fillId="0" borderId="25" xfId="44" applyFont="1" applyFill="1" applyBorder="1" applyAlignment="1">
      <alignment horizontal="center" vertical="center"/>
    </xf>
    <xf numFmtId="165" fontId="9" fillId="0" borderId="19" xfId="51" applyNumberFormat="1" applyFont="1" applyFill="1" applyBorder="1" applyAlignment="1">
      <alignment vertical="center"/>
    </xf>
    <xf numFmtId="0" fontId="9" fillId="0" borderId="16" xfId="44" applyFont="1" applyFill="1" applyBorder="1" applyAlignment="1">
      <alignment horizontal="center" vertical="center"/>
    </xf>
    <xf numFmtId="165" fontId="9" fillId="0" borderId="17" xfId="51" applyNumberFormat="1" applyFont="1" applyFill="1" applyBorder="1" applyAlignment="1">
      <alignment vertical="center"/>
    </xf>
    <xf numFmtId="0" fontId="9" fillId="0" borderId="16" xfId="44" applyFont="1" applyBorder="1" applyAlignment="1">
      <alignment horizontal="center" vertical="center"/>
    </xf>
    <xf numFmtId="0" fontId="9" fillId="0" borderId="28" xfId="44" applyFont="1" applyFill="1" applyBorder="1" applyAlignment="1">
      <alignment horizontal="center" vertical="center"/>
    </xf>
    <xf numFmtId="0" fontId="9" fillId="0" borderId="18" xfId="44" applyFont="1" applyFill="1" applyBorder="1" applyAlignment="1">
      <alignment horizontal="center" vertical="center"/>
    </xf>
    <xf numFmtId="165" fontId="9" fillId="0" borderId="21" xfId="51" applyNumberFormat="1" applyFont="1" applyFill="1" applyBorder="1" applyAlignment="1">
      <alignment vertical="center"/>
    </xf>
  </cellXfs>
  <cellStyles count="89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Excel Built-in Normal" xfId="82"/>
    <cellStyle name="Incorrecto" xfId="32" builtinId="27" customBuiltin="1"/>
    <cellStyle name="Millares 2" xfId="55"/>
    <cellStyle name="Millares 2 2" xfId="61"/>
    <cellStyle name="Millares 2 3" xfId="60"/>
    <cellStyle name="Millares 3" xfId="75"/>
    <cellStyle name="Millares 4" xfId="76"/>
    <cellStyle name="Millares 5" xfId="81"/>
    <cellStyle name="Moneda" xfId="79" builtinId="4"/>
    <cellStyle name="Moneda 2" xfId="45"/>
    <cellStyle name="Moneda 2 2" xfId="83"/>
    <cellStyle name="Moneda 3" xfId="46"/>
    <cellStyle name="Moneda 3 2" xfId="47"/>
    <cellStyle name="Moneda 3 2 2" xfId="63"/>
    <cellStyle name="Moneda 3 3" xfId="52"/>
    <cellStyle name="Moneda 3 3 2" xfId="53"/>
    <cellStyle name="Moneda 3 3 2 2" xfId="65"/>
    <cellStyle name="Moneda 3 3 3" xfId="64"/>
    <cellStyle name="Moneda 3 4" xfId="62"/>
    <cellStyle name="Moneda 4" xfId="49"/>
    <cellStyle name="Moneda 4 2" xfId="54"/>
    <cellStyle name="Moneda 4 2 2" xfId="67"/>
    <cellStyle name="Moneda 4 3" xfId="66"/>
    <cellStyle name="Moneda 5" xfId="84"/>
    <cellStyle name="Moneda 6" xfId="85"/>
    <cellStyle name="Neutral" xfId="33" builtinId="28" customBuiltin="1"/>
    <cellStyle name="Normal" xfId="0" builtinId="0"/>
    <cellStyle name="Normal 10" xfId="57"/>
    <cellStyle name="Normal 10 2" xfId="88"/>
    <cellStyle name="Normal 11" xfId="80"/>
    <cellStyle name="Normal 13 2" xfId="86"/>
    <cellStyle name="Normal 2" xfId="44"/>
    <cellStyle name="Normal 2 2" xfId="48"/>
    <cellStyle name="Normal 2 3" xfId="68"/>
    <cellStyle name="Normal 2 4" xfId="87"/>
    <cellStyle name="Normal 3" xfId="50"/>
    <cellStyle name="Normal 3 2" xfId="69"/>
    <cellStyle name="Normal 4" xfId="56"/>
    <cellStyle name="Normal 4 2" xfId="58"/>
    <cellStyle name="Normal 4 3" xfId="78"/>
    <cellStyle name="Normal 5" xfId="70"/>
    <cellStyle name="Normal 6" xfId="71"/>
    <cellStyle name="Normal 7" xfId="72"/>
    <cellStyle name="Normal 8" xfId="73"/>
    <cellStyle name="Normal 9" xfId="59"/>
    <cellStyle name="Normal_~9885111" xfId="51"/>
    <cellStyle name="Notas" xfId="34" builtinId="10" customBuiltin="1"/>
    <cellStyle name="Porcentual 2" xfId="43"/>
    <cellStyle name="Porcentual 3" xfId="74"/>
    <cellStyle name="Porcentual 4" xfId="77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1" xfId="39" builtinId="16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9" defaultPivotStyle="PivotStyleLight16"/>
  <colors>
    <mruColors>
      <color rgb="FF66FF99"/>
      <color rgb="FF160DC5"/>
      <color rgb="FF540000"/>
      <color rgb="FFFFCD2D"/>
      <color rgb="FFFFECAF"/>
      <color rgb="FF1B0B93"/>
      <color rgb="FFFFEDB3"/>
      <color rgb="FFFFE89F"/>
      <color rgb="FFFFE389"/>
      <color rgb="FFFDA087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11907</xdr:colOff>
      <xdr:row>0</xdr:row>
      <xdr:rowOff>285750</xdr:rowOff>
    </xdr:from>
    <xdr:to>
      <xdr:col>4</xdr:col>
      <xdr:colOff>488157</xdr:colOff>
      <xdr:row>6</xdr:row>
      <xdr:rowOff>1239</xdr:rowOff>
    </xdr:to>
    <xdr:pic>
      <xdr:nvPicPr>
        <xdr:cNvPr id="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907" y="285750"/>
          <a:ext cx="3631406" cy="1233933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ardog_vidrio\Desktop\CENTRINF\Ci2002\Ingresos\Presupuesto%20de%20Ingresos\ESTADOS%20FINANCIEROS%202000\Septiembre\CUENTA%20PUBLICA%20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un\CENTRINF\Ci2002\Ingresos\Presupuesto%20de%20Ingresos\ESTADOS%20FINANCIEROS%202000\Septiembre\CUENTA%20PUBLICA%20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vargas.CEPEGOB\Downloads\Documents\MARISELA%20VARGAS\1%20-%20JUNTAS%20DE%20GOBIERNO\0%20-%20JUNTA%20-%20AGOSTO%202013\PROCESO\046.2007%20LUISANA%20FLORES%20GONZALEZ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velasco\AppData\Local\Temp\notesF4CC6D\RENTA%20Nave%20Ind.%201%20y%202%20Luisana%20Frores%20Gonz&#225;lez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A"/>
      <sheetName val="RENTA"/>
      <sheetName val="INCENTIVO"/>
      <sheetName val="SUELDOS"/>
      <sheetName val="EMPLEOS"/>
      <sheetName val="Empleos y sueldos"/>
      <sheetName val="INVERSION"/>
      <sheetName val="CONTROL DOC"/>
      <sheetName val="Nota Informativa"/>
      <sheetName val="Control Docum Cumplimient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Micro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TROL RENTAS"/>
      <sheetName val="Hoja1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8626667073579"/>
  </sheetPr>
  <dimension ref="A1:AG289"/>
  <sheetViews>
    <sheetView showGridLines="0" tabSelected="1" zoomScale="75" zoomScaleNormal="75" workbookViewId="0">
      <selection activeCell="F11" sqref="F11"/>
    </sheetView>
  </sheetViews>
  <sheetFormatPr baseColWidth="10" defaultColWidth="9.140625" defaultRowHeight="12.75"/>
  <cols>
    <col min="1" max="1" width="8.140625" style="2" customWidth="1"/>
    <col min="2" max="2" width="6.28515625" style="2" customWidth="1"/>
    <col min="3" max="3" width="9.5703125" style="2" customWidth="1"/>
    <col min="4" max="4" width="23.28515625" style="1" customWidth="1"/>
    <col min="5" max="5" width="16.140625" style="1" customWidth="1"/>
    <col min="6" max="6" width="42.7109375" style="2" customWidth="1"/>
    <col min="7" max="7" width="15.85546875" style="2" customWidth="1"/>
    <col min="8" max="8" width="10.5703125" style="4" customWidth="1"/>
    <col min="9" max="9" width="15.85546875" style="4" customWidth="1"/>
    <col min="10" max="10" width="17" style="4" customWidth="1"/>
    <col min="11" max="11" width="19.42578125" style="1" customWidth="1"/>
    <col min="12" max="13" width="17.140625" style="1" customWidth="1"/>
    <col min="14" max="14" width="13.7109375" style="1" customWidth="1"/>
    <col min="15" max="15" width="14.42578125" style="1" customWidth="1"/>
    <col min="16" max="16" width="14" style="1" customWidth="1"/>
    <col min="17" max="17" width="15.85546875" style="1" customWidth="1"/>
    <col min="18" max="18" width="15" style="1" customWidth="1"/>
    <col min="19" max="19" width="16.42578125" style="1" customWidth="1"/>
    <col min="20" max="20" width="16.140625" style="1" customWidth="1"/>
    <col min="21" max="21" width="18.5703125" style="1" customWidth="1"/>
    <col min="22" max="22" width="20.42578125" style="1" customWidth="1"/>
    <col min="23" max="23" width="21.28515625" style="1" customWidth="1"/>
    <col min="24" max="24" width="21.28515625" style="1" hidden="1" customWidth="1"/>
    <col min="25" max="25" width="48.28515625" style="1" customWidth="1"/>
    <col min="26" max="26" width="11.28515625" style="1" bestFit="1" customWidth="1"/>
    <col min="27" max="16384" width="9.140625" style="1"/>
  </cols>
  <sheetData>
    <row r="1" spans="1:25" ht="23.25">
      <c r="N1" s="58"/>
    </row>
    <row r="4" spans="1:25" ht="23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O4" s="58"/>
      <c r="P4" s="58"/>
      <c r="Q4" s="58"/>
      <c r="R4" s="58"/>
      <c r="S4" s="58"/>
    </row>
    <row r="5" spans="1:25" ht="23.2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O5" s="58"/>
      <c r="P5" s="58"/>
      <c r="Q5" s="58"/>
      <c r="R5" s="58"/>
      <c r="S5" s="58"/>
    </row>
    <row r="6" spans="1:25" ht="23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O6" s="58"/>
      <c r="P6" s="58"/>
      <c r="Q6" s="58"/>
      <c r="R6" s="58"/>
      <c r="S6" s="58"/>
    </row>
    <row r="7" spans="1:25" ht="23.2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O7" s="58"/>
      <c r="P7" s="58"/>
      <c r="Q7" s="58"/>
      <c r="R7" s="58"/>
      <c r="S7" s="58"/>
    </row>
    <row r="8" spans="1:25" ht="23.25">
      <c r="A8" s="89" t="s">
        <v>58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</row>
    <row r="9" spans="1:25" ht="24" customHeight="1">
      <c r="A9" s="76"/>
      <c r="B9" s="76"/>
      <c r="C9" s="76"/>
      <c r="D9" s="76"/>
      <c r="F9" s="64"/>
    </row>
    <row r="10" spans="1:25" ht="24" customHeight="1">
      <c r="A10" s="5" t="s">
        <v>56</v>
      </c>
      <c r="B10" s="60"/>
      <c r="C10" s="60"/>
      <c r="D10" s="60"/>
      <c r="F10" s="59"/>
      <c r="G10" s="61"/>
      <c r="H10" s="61"/>
      <c r="I10" s="61"/>
      <c r="J10" s="61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</row>
    <row r="11" spans="1:25" ht="69.75" customHeight="1">
      <c r="G11" s="77" t="s">
        <v>1</v>
      </c>
      <c r="H11" s="78"/>
      <c r="I11" s="78"/>
      <c r="J11" s="78"/>
      <c r="K11" s="78"/>
      <c r="L11" s="78"/>
      <c r="M11" s="78"/>
      <c r="N11" s="78"/>
      <c r="O11" s="78"/>
      <c r="P11" s="78"/>
      <c r="Q11" s="79"/>
      <c r="S11" s="80" t="s">
        <v>2</v>
      </c>
      <c r="T11" s="81"/>
      <c r="U11" s="81"/>
      <c r="V11" s="82"/>
    </row>
    <row r="12" spans="1:25" s="6" customFormat="1" ht="80.25" customHeight="1" thickBot="1">
      <c r="A12" s="65" t="s">
        <v>3</v>
      </c>
      <c r="B12" s="65" t="s">
        <v>4</v>
      </c>
      <c r="C12" s="65" t="s">
        <v>5</v>
      </c>
      <c r="D12" s="65" t="s">
        <v>6</v>
      </c>
      <c r="E12" s="65" t="s">
        <v>7</v>
      </c>
      <c r="F12" s="65" t="s">
        <v>8</v>
      </c>
      <c r="G12" s="65" t="s">
        <v>41</v>
      </c>
      <c r="H12" s="66" t="s">
        <v>44</v>
      </c>
      <c r="I12" s="66" t="s">
        <v>45</v>
      </c>
      <c r="J12" s="66" t="s">
        <v>43</v>
      </c>
      <c r="K12" s="66" t="s">
        <v>46</v>
      </c>
      <c r="L12" s="66" t="s">
        <v>47</v>
      </c>
      <c r="M12" s="66" t="s">
        <v>48</v>
      </c>
      <c r="N12" s="66" t="s">
        <v>49</v>
      </c>
      <c r="O12" s="66" t="s">
        <v>50</v>
      </c>
      <c r="P12" s="66" t="s">
        <v>51</v>
      </c>
      <c r="Q12" s="66" t="s">
        <v>9</v>
      </c>
      <c r="R12" s="67" t="s">
        <v>10</v>
      </c>
      <c r="S12" s="67" t="s">
        <v>52</v>
      </c>
      <c r="T12" s="67" t="s">
        <v>53</v>
      </c>
      <c r="U12" s="67" t="s">
        <v>54</v>
      </c>
      <c r="V12" s="67" t="s">
        <v>55</v>
      </c>
      <c r="W12" s="67" t="s">
        <v>11</v>
      </c>
      <c r="X12" s="63" t="s">
        <v>57</v>
      </c>
    </row>
    <row r="13" spans="1:25" s="7" customFormat="1" ht="29.25" customHeight="1">
      <c r="A13" s="94">
        <v>28</v>
      </c>
      <c r="B13" s="33">
        <v>40</v>
      </c>
      <c r="C13" s="33" t="s">
        <v>12</v>
      </c>
      <c r="D13" s="34" t="s">
        <v>13</v>
      </c>
      <c r="E13" s="33">
        <v>1</v>
      </c>
      <c r="F13" s="35"/>
      <c r="G13" s="45">
        <f>63240</f>
        <v>63240</v>
      </c>
      <c r="H13" s="36">
        <v>0</v>
      </c>
      <c r="I13" s="36">
        <f t="shared" ref="I13:I42" si="0">+G13+H13</f>
        <v>63240</v>
      </c>
      <c r="J13" s="37"/>
      <c r="K13" s="38">
        <f t="shared" ref="K13:K42" si="1">(I13+Q13)*13.5%</f>
        <v>8878.8960000000006</v>
      </c>
      <c r="L13" s="38">
        <f t="shared" ref="L13:L42" si="2">(I13+Q13)*3%</f>
        <v>1973.0880000000002</v>
      </c>
      <c r="M13" s="38">
        <f>(1526.69/31*61)/2*1.04</f>
        <v>1562.148606451613</v>
      </c>
      <c r="N13" s="38">
        <f>(70.1*30)/2</f>
        <v>1051.5</v>
      </c>
      <c r="O13" s="38">
        <v>2832</v>
      </c>
      <c r="P13" s="38">
        <v>1992</v>
      </c>
      <c r="Q13" s="46">
        <f>G13*4%</f>
        <v>2529.6</v>
      </c>
      <c r="R13" s="38">
        <f>I13+K13+L13+M13+N13+O13+P13</f>
        <v>81529.632606451618</v>
      </c>
      <c r="S13" s="38">
        <f>Q13*12</f>
        <v>30355.199999999997</v>
      </c>
      <c r="T13" s="47">
        <f t="shared" ref="T13:T42" si="3">(I13+Q13)/30*50</f>
        <v>109616.00000000001</v>
      </c>
      <c r="U13" s="47">
        <f t="shared" ref="U13:U42" si="4">(I13+Q13)/30*5</f>
        <v>10961.6</v>
      </c>
      <c r="V13" s="47"/>
      <c r="W13" s="95">
        <f t="shared" ref="W13:W42" si="5">(R13*12)+S13+T13+U13+V13+J13</f>
        <v>1129288.3912774194</v>
      </c>
      <c r="X13" s="93">
        <f>(G13+O13+P13)/30*20</f>
        <v>45376</v>
      </c>
      <c r="Y13" s="52"/>
    </row>
    <row r="14" spans="1:25" s="7" customFormat="1" ht="24" customHeight="1">
      <c r="A14" s="96">
        <v>24</v>
      </c>
      <c r="B14" s="8">
        <v>40</v>
      </c>
      <c r="C14" s="8" t="s">
        <v>12</v>
      </c>
      <c r="D14" s="9" t="s">
        <v>14</v>
      </c>
      <c r="E14" s="8">
        <v>1</v>
      </c>
      <c r="F14" s="8" t="s">
        <v>15</v>
      </c>
      <c r="G14" s="43">
        <f>42280</f>
        <v>42280</v>
      </c>
      <c r="H14" s="10">
        <v>0</v>
      </c>
      <c r="I14" s="10">
        <f t="shared" si="0"/>
        <v>42280</v>
      </c>
      <c r="J14" s="11"/>
      <c r="K14" s="12">
        <f t="shared" si="1"/>
        <v>5936.1120000000001</v>
      </c>
      <c r="L14" s="12">
        <f t="shared" si="2"/>
        <v>1319.136</v>
      </c>
      <c r="M14" s="12">
        <f>(1526.69/31*61)/2*1.04</f>
        <v>1562.148606451613</v>
      </c>
      <c r="N14" s="12">
        <f t="shared" ref="N14:N42" si="6">(I14+Q14)*2%</f>
        <v>879.42399999999998</v>
      </c>
      <c r="O14" s="12">
        <v>1865</v>
      </c>
      <c r="P14" s="12">
        <v>1345</v>
      </c>
      <c r="Q14" s="44">
        <f>G14*4%</f>
        <v>1691.2</v>
      </c>
      <c r="R14" s="12">
        <f t="shared" ref="R14:R42" si="7">I14+K14+L14+M14+N14+O14+P14</f>
        <v>55186.820606451613</v>
      </c>
      <c r="S14" s="12">
        <f>Q14*12</f>
        <v>20294.400000000001</v>
      </c>
      <c r="T14" s="44">
        <f t="shared" si="3"/>
        <v>73285.333333333328</v>
      </c>
      <c r="U14" s="44">
        <f t="shared" si="4"/>
        <v>7328.5333333333328</v>
      </c>
      <c r="V14" s="44">
        <f t="shared" ref="V14:V42" si="8">(I14+Q14)/30*15</f>
        <v>21985.599999999999</v>
      </c>
      <c r="W14" s="97">
        <f t="shared" si="5"/>
        <v>785135.71394408611</v>
      </c>
      <c r="X14" s="93">
        <f t="shared" ref="X14:X42" si="9">(G14+O14+P14)/30*20</f>
        <v>30326.666666666664</v>
      </c>
    </row>
    <row r="15" spans="1:25" s="7" customFormat="1" ht="24.75" customHeight="1">
      <c r="A15" s="96">
        <v>24</v>
      </c>
      <c r="B15" s="8">
        <v>40</v>
      </c>
      <c r="C15" s="8" t="s">
        <v>12</v>
      </c>
      <c r="D15" s="13" t="s">
        <v>16</v>
      </c>
      <c r="E15" s="8">
        <v>1</v>
      </c>
      <c r="F15" s="8" t="s">
        <v>15</v>
      </c>
      <c r="G15" s="43">
        <f>42280</f>
        <v>42280</v>
      </c>
      <c r="H15" s="10">
        <v>0</v>
      </c>
      <c r="I15" s="10">
        <f t="shared" si="0"/>
        <v>42280</v>
      </c>
      <c r="J15" s="11"/>
      <c r="K15" s="12">
        <f t="shared" si="1"/>
        <v>5936.1120000000001</v>
      </c>
      <c r="L15" s="12">
        <f t="shared" si="2"/>
        <v>1319.136</v>
      </c>
      <c r="M15" s="12">
        <f>(1526.69/31*61)/2*1.04</f>
        <v>1562.148606451613</v>
      </c>
      <c r="N15" s="12">
        <f t="shared" si="6"/>
        <v>879.42399999999998</v>
      </c>
      <c r="O15" s="12">
        <v>1865</v>
      </c>
      <c r="P15" s="12">
        <v>1345</v>
      </c>
      <c r="Q15" s="44">
        <f t="shared" ref="Q15:Q42" si="10">G15*4%</f>
        <v>1691.2</v>
      </c>
      <c r="R15" s="12">
        <f t="shared" si="7"/>
        <v>55186.820606451613</v>
      </c>
      <c r="S15" s="12">
        <f t="shared" ref="S15:S42" si="11">Q15*12</f>
        <v>20294.400000000001</v>
      </c>
      <c r="T15" s="44">
        <f t="shared" si="3"/>
        <v>73285.333333333328</v>
      </c>
      <c r="U15" s="44">
        <f t="shared" si="4"/>
        <v>7328.5333333333328</v>
      </c>
      <c r="V15" s="44">
        <f t="shared" si="8"/>
        <v>21985.599999999999</v>
      </c>
      <c r="W15" s="97">
        <f t="shared" si="5"/>
        <v>785135.71394408611</v>
      </c>
      <c r="X15" s="93">
        <f t="shared" si="9"/>
        <v>30326.666666666664</v>
      </c>
      <c r="Y15" s="53"/>
    </row>
    <row r="16" spans="1:25" s="16" customFormat="1" ht="24" customHeight="1">
      <c r="A16" s="96">
        <v>21</v>
      </c>
      <c r="B16" s="8">
        <v>40</v>
      </c>
      <c r="C16" s="8" t="s">
        <v>12</v>
      </c>
      <c r="D16" s="14" t="s">
        <v>17</v>
      </c>
      <c r="E16" s="8">
        <v>1</v>
      </c>
      <c r="F16" s="15" t="s">
        <v>18</v>
      </c>
      <c r="G16" s="43">
        <f>30883</f>
        <v>30883</v>
      </c>
      <c r="H16" s="10">
        <v>0</v>
      </c>
      <c r="I16" s="10">
        <f t="shared" si="0"/>
        <v>30883</v>
      </c>
      <c r="J16" s="11">
        <v>1679.52</v>
      </c>
      <c r="K16" s="12">
        <f t="shared" si="1"/>
        <v>4335.9732000000004</v>
      </c>
      <c r="L16" s="12">
        <f t="shared" si="2"/>
        <v>963.54959999999994</v>
      </c>
      <c r="M16" s="12">
        <f>(1253.99/31*61)/2*1.04</f>
        <v>1283.1149290322583</v>
      </c>
      <c r="N16" s="12">
        <f t="shared" si="6"/>
        <v>642.3664</v>
      </c>
      <c r="O16" s="12">
        <v>1671</v>
      </c>
      <c r="P16" s="12">
        <v>1133</v>
      </c>
      <c r="Q16" s="44">
        <f t="shared" si="10"/>
        <v>1235.32</v>
      </c>
      <c r="R16" s="12">
        <f t="shared" si="7"/>
        <v>40912.004129032255</v>
      </c>
      <c r="S16" s="12">
        <f t="shared" si="11"/>
        <v>14823.84</v>
      </c>
      <c r="T16" s="44">
        <f t="shared" si="3"/>
        <v>53530.533333333333</v>
      </c>
      <c r="U16" s="44">
        <f t="shared" si="4"/>
        <v>5353.0533333333333</v>
      </c>
      <c r="V16" s="44">
        <f t="shared" si="8"/>
        <v>16059.16</v>
      </c>
      <c r="W16" s="97">
        <f t="shared" si="5"/>
        <v>582390.15621505387</v>
      </c>
      <c r="X16" s="93">
        <f t="shared" si="9"/>
        <v>22458</v>
      </c>
    </row>
    <row r="17" spans="1:24" s="16" customFormat="1" ht="24" customHeight="1">
      <c r="A17" s="96">
        <v>21</v>
      </c>
      <c r="B17" s="8">
        <v>40</v>
      </c>
      <c r="C17" s="8" t="s">
        <v>12</v>
      </c>
      <c r="D17" s="14" t="s">
        <v>19</v>
      </c>
      <c r="E17" s="8">
        <v>1</v>
      </c>
      <c r="F17" s="15" t="s">
        <v>18</v>
      </c>
      <c r="G17" s="43">
        <f>30883</f>
        <v>30883</v>
      </c>
      <c r="H17" s="10">
        <v>0</v>
      </c>
      <c r="I17" s="10">
        <f t="shared" si="0"/>
        <v>30883</v>
      </c>
      <c r="J17" s="11"/>
      <c r="K17" s="12">
        <f t="shared" si="1"/>
        <v>4335.9732000000004</v>
      </c>
      <c r="L17" s="12">
        <f t="shared" si="2"/>
        <v>963.54959999999994</v>
      </c>
      <c r="M17" s="12">
        <f>(1250.96/31*61)/2*1.04</f>
        <v>1280.0145548387097</v>
      </c>
      <c r="N17" s="12">
        <f t="shared" si="6"/>
        <v>642.3664</v>
      </c>
      <c r="O17" s="12">
        <v>1671</v>
      </c>
      <c r="P17" s="12">
        <v>1133</v>
      </c>
      <c r="Q17" s="44">
        <f t="shared" si="10"/>
        <v>1235.32</v>
      </c>
      <c r="R17" s="12">
        <f t="shared" si="7"/>
        <v>40908.903754838706</v>
      </c>
      <c r="S17" s="12">
        <f t="shared" si="11"/>
        <v>14823.84</v>
      </c>
      <c r="T17" s="44">
        <f t="shared" si="3"/>
        <v>53530.533333333333</v>
      </c>
      <c r="U17" s="44">
        <f t="shared" si="4"/>
        <v>5353.0533333333333</v>
      </c>
      <c r="V17" s="44">
        <f t="shared" si="8"/>
        <v>16059.16</v>
      </c>
      <c r="W17" s="97">
        <f t="shared" si="5"/>
        <v>580673.43172473123</v>
      </c>
      <c r="X17" s="93">
        <f t="shared" si="9"/>
        <v>22458</v>
      </c>
    </row>
    <row r="18" spans="1:24" ht="24" customHeight="1">
      <c r="A18" s="96">
        <v>21</v>
      </c>
      <c r="B18" s="8">
        <v>40</v>
      </c>
      <c r="C18" s="8" t="s">
        <v>12</v>
      </c>
      <c r="D18" s="9" t="s">
        <v>20</v>
      </c>
      <c r="E18" s="8">
        <v>1</v>
      </c>
      <c r="F18" s="15" t="s">
        <v>18</v>
      </c>
      <c r="G18" s="43">
        <f>30883</f>
        <v>30883</v>
      </c>
      <c r="H18" s="10">
        <v>0</v>
      </c>
      <c r="I18" s="10">
        <f t="shared" si="0"/>
        <v>30883</v>
      </c>
      <c r="J18" s="11"/>
      <c r="K18" s="12">
        <f t="shared" si="1"/>
        <v>4335.9732000000004</v>
      </c>
      <c r="L18" s="12">
        <f t="shared" si="2"/>
        <v>963.54959999999994</v>
      </c>
      <c r="M18" s="12">
        <f t="shared" ref="M18:M21" si="12">(1250.96/31*61)/2*1.04</f>
        <v>1280.0145548387097</v>
      </c>
      <c r="N18" s="12">
        <f t="shared" si="6"/>
        <v>642.3664</v>
      </c>
      <c r="O18" s="12">
        <v>1671</v>
      </c>
      <c r="P18" s="12">
        <v>1133</v>
      </c>
      <c r="Q18" s="44">
        <f t="shared" si="10"/>
        <v>1235.32</v>
      </c>
      <c r="R18" s="12">
        <f t="shared" si="7"/>
        <v>40908.903754838706</v>
      </c>
      <c r="S18" s="12">
        <f t="shared" si="11"/>
        <v>14823.84</v>
      </c>
      <c r="T18" s="44">
        <f t="shared" si="3"/>
        <v>53530.533333333333</v>
      </c>
      <c r="U18" s="44">
        <f t="shared" si="4"/>
        <v>5353.0533333333333</v>
      </c>
      <c r="V18" s="44">
        <f t="shared" si="8"/>
        <v>16059.16</v>
      </c>
      <c r="W18" s="97">
        <f t="shared" si="5"/>
        <v>580673.43172473123</v>
      </c>
      <c r="X18" s="93">
        <f t="shared" si="9"/>
        <v>22458</v>
      </c>
    </row>
    <row r="19" spans="1:24" ht="24" customHeight="1">
      <c r="A19" s="96">
        <v>21</v>
      </c>
      <c r="B19" s="8">
        <v>40</v>
      </c>
      <c r="C19" s="8" t="s">
        <v>12</v>
      </c>
      <c r="D19" s="17" t="s">
        <v>21</v>
      </c>
      <c r="E19" s="8">
        <v>1</v>
      </c>
      <c r="F19" s="8" t="s">
        <v>18</v>
      </c>
      <c r="G19" s="43">
        <f>30883</f>
        <v>30883</v>
      </c>
      <c r="H19" s="10">
        <v>0</v>
      </c>
      <c r="I19" s="10">
        <f t="shared" si="0"/>
        <v>30883</v>
      </c>
      <c r="J19" s="11"/>
      <c r="K19" s="12">
        <f t="shared" si="1"/>
        <v>4335.9732000000004</v>
      </c>
      <c r="L19" s="12">
        <f t="shared" si="2"/>
        <v>963.54959999999994</v>
      </c>
      <c r="M19" s="12">
        <f t="shared" si="12"/>
        <v>1280.0145548387097</v>
      </c>
      <c r="N19" s="12">
        <f t="shared" si="6"/>
        <v>642.3664</v>
      </c>
      <c r="O19" s="12">
        <v>1671</v>
      </c>
      <c r="P19" s="12">
        <v>1133</v>
      </c>
      <c r="Q19" s="44">
        <f t="shared" si="10"/>
        <v>1235.32</v>
      </c>
      <c r="R19" s="12">
        <f t="shared" si="7"/>
        <v>40908.903754838706</v>
      </c>
      <c r="S19" s="12">
        <f t="shared" si="11"/>
        <v>14823.84</v>
      </c>
      <c r="T19" s="44">
        <f t="shared" si="3"/>
        <v>53530.533333333333</v>
      </c>
      <c r="U19" s="44">
        <f t="shared" si="4"/>
        <v>5353.0533333333333</v>
      </c>
      <c r="V19" s="44">
        <f t="shared" si="8"/>
        <v>16059.16</v>
      </c>
      <c r="W19" s="97">
        <f t="shared" si="5"/>
        <v>580673.43172473123</v>
      </c>
      <c r="X19" s="93">
        <f t="shared" si="9"/>
        <v>22458</v>
      </c>
    </row>
    <row r="20" spans="1:24" ht="24" customHeight="1">
      <c r="A20" s="96">
        <v>21</v>
      </c>
      <c r="B20" s="8">
        <v>40</v>
      </c>
      <c r="C20" s="8" t="s">
        <v>12</v>
      </c>
      <c r="D20" s="17" t="s">
        <v>22</v>
      </c>
      <c r="E20" s="8">
        <v>1</v>
      </c>
      <c r="F20" s="8" t="s">
        <v>18</v>
      </c>
      <c r="G20" s="43">
        <f>30883</f>
        <v>30883</v>
      </c>
      <c r="H20" s="10">
        <v>0</v>
      </c>
      <c r="I20" s="10">
        <f t="shared" si="0"/>
        <v>30883</v>
      </c>
      <c r="J20" s="11"/>
      <c r="K20" s="12">
        <f t="shared" si="1"/>
        <v>4335.9732000000004</v>
      </c>
      <c r="L20" s="12">
        <f t="shared" si="2"/>
        <v>963.54959999999994</v>
      </c>
      <c r="M20" s="12">
        <f t="shared" si="12"/>
        <v>1280.0145548387097</v>
      </c>
      <c r="N20" s="12">
        <f t="shared" si="6"/>
        <v>642.3664</v>
      </c>
      <c r="O20" s="12">
        <v>1671</v>
      </c>
      <c r="P20" s="12">
        <v>1133</v>
      </c>
      <c r="Q20" s="44">
        <f t="shared" si="10"/>
        <v>1235.32</v>
      </c>
      <c r="R20" s="12">
        <f t="shared" si="7"/>
        <v>40908.903754838706</v>
      </c>
      <c r="S20" s="12">
        <f t="shared" si="11"/>
        <v>14823.84</v>
      </c>
      <c r="T20" s="44">
        <f t="shared" si="3"/>
        <v>53530.533333333333</v>
      </c>
      <c r="U20" s="44">
        <f t="shared" si="4"/>
        <v>5353.0533333333333</v>
      </c>
      <c r="V20" s="44">
        <f t="shared" si="8"/>
        <v>16059.16</v>
      </c>
      <c r="W20" s="97">
        <f t="shared" si="5"/>
        <v>580673.43172473123</v>
      </c>
      <c r="X20" s="93">
        <f t="shared" si="9"/>
        <v>22458</v>
      </c>
    </row>
    <row r="21" spans="1:24" ht="24" customHeight="1">
      <c r="A21" s="96">
        <v>21</v>
      </c>
      <c r="B21" s="8">
        <v>40</v>
      </c>
      <c r="C21" s="8" t="s">
        <v>12</v>
      </c>
      <c r="D21" s="17" t="s">
        <v>23</v>
      </c>
      <c r="E21" s="8">
        <v>1</v>
      </c>
      <c r="F21" s="15" t="s">
        <v>18</v>
      </c>
      <c r="G21" s="43">
        <f>30883</f>
        <v>30883</v>
      </c>
      <c r="H21" s="10">
        <v>0</v>
      </c>
      <c r="I21" s="10">
        <f t="shared" si="0"/>
        <v>30883</v>
      </c>
      <c r="J21" s="11"/>
      <c r="K21" s="12">
        <f t="shared" si="1"/>
        <v>4335.9732000000004</v>
      </c>
      <c r="L21" s="12">
        <f t="shared" si="2"/>
        <v>963.54959999999994</v>
      </c>
      <c r="M21" s="12">
        <f t="shared" si="12"/>
        <v>1280.0145548387097</v>
      </c>
      <c r="N21" s="12">
        <f t="shared" si="6"/>
        <v>642.3664</v>
      </c>
      <c r="O21" s="12">
        <v>1671</v>
      </c>
      <c r="P21" s="12">
        <v>1133</v>
      </c>
      <c r="Q21" s="44">
        <f t="shared" si="10"/>
        <v>1235.32</v>
      </c>
      <c r="R21" s="12">
        <f t="shared" si="7"/>
        <v>40908.903754838706</v>
      </c>
      <c r="S21" s="12">
        <f t="shared" si="11"/>
        <v>14823.84</v>
      </c>
      <c r="T21" s="44">
        <f t="shared" si="3"/>
        <v>53530.533333333333</v>
      </c>
      <c r="U21" s="44">
        <f t="shared" si="4"/>
        <v>5353.0533333333333</v>
      </c>
      <c r="V21" s="44">
        <f t="shared" si="8"/>
        <v>16059.16</v>
      </c>
      <c r="W21" s="97">
        <f t="shared" si="5"/>
        <v>580673.43172473123</v>
      </c>
      <c r="X21" s="93">
        <f t="shared" si="9"/>
        <v>22458</v>
      </c>
    </row>
    <row r="22" spans="1:24" ht="24" customHeight="1">
      <c r="A22" s="98">
        <v>16</v>
      </c>
      <c r="B22" s="8">
        <v>40</v>
      </c>
      <c r="C22" s="8" t="s">
        <v>12</v>
      </c>
      <c r="D22" s="14" t="s">
        <v>24</v>
      </c>
      <c r="E22" s="8">
        <v>1</v>
      </c>
      <c r="F22" s="15" t="s">
        <v>25</v>
      </c>
      <c r="G22" s="43">
        <f>17213</f>
        <v>17213</v>
      </c>
      <c r="H22" s="10">
        <v>0</v>
      </c>
      <c r="I22" s="10">
        <f t="shared" si="0"/>
        <v>17213</v>
      </c>
      <c r="J22" s="11">
        <v>2519.2800000000002</v>
      </c>
      <c r="K22" s="12">
        <f t="shared" si="1"/>
        <v>2416.7052000000003</v>
      </c>
      <c r="L22" s="12">
        <f t="shared" si="2"/>
        <v>537.04560000000004</v>
      </c>
      <c r="M22" s="12">
        <f>(850.98/31*61)/2*1.04</f>
        <v>870.7446967741937</v>
      </c>
      <c r="N22" s="12">
        <f t="shared" si="6"/>
        <v>358.03040000000004</v>
      </c>
      <c r="O22" s="12">
        <v>1247</v>
      </c>
      <c r="P22" s="12">
        <v>779</v>
      </c>
      <c r="Q22" s="44">
        <f t="shared" si="10"/>
        <v>688.52</v>
      </c>
      <c r="R22" s="12">
        <f t="shared" si="7"/>
        <v>23421.525896774194</v>
      </c>
      <c r="S22" s="12">
        <f t="shared" si="11"/>
        <v>8262.24</v>
      </c>
      <c r="T22" s="44">
        <f t="shared" si="3"/>
        <v>29835.866666666669</v>
      </c>
      <c r="U22" s="44">
        <f t="shared" si="4"/>
        <v>2983.586666666667</v>
      </c>
      <c r="V22" s="44">
        <f t="shared" si="8"/>
        <v>8950.76</v>
      </c>
      <c r="W22" s="97">
        <f t="shared" si="5"/>
        <v>333610.04409462365</v>
      </c>
      <c r="X22" s="93">
        <f t="shared" si="9"/>
        <v>12826</v>
      </c>
    </row>
    <row r="23" spans="1:24" ht="24" customHeight="1">
      <c r="A23" s="96">
        <v>16</v>
      </c>
      <c r="B23" s="8">
        <v>40</v>
      </c>
      <c r="C23" s="8" t="s">
        <v>12</v>
      </c>
      <c r="D23" s="14" t="s">
        <v>24</v>
      </c>
      <c r="E23" s="8">
        <v>1</v>
      </c>
      <c r="F23" s="15" t="s">
        <v>25</v>
      </c>
      <c r="G23" s="43">
        <f>17213</f>
        <v>17213</v>
      </c>
      <c r="H23" s="10">
        <v>0</v>
      </c>
      <c r="I23" s="10">
        <f t="shared" si="0"/>
        <v>17213</v>
      </c>
      <c r="J23" s="11"/>
      <c r="K23" s="12">
        <f t="shared" si="1"/>
        <v>2416.7052000000003</v>
      </c>
      <c r="L23" s="12">
        <f t="shared" si="2"/>
        <v>537.04560000000004</v>
      </c>
      <c r="M23" s="12">
        <f>(847.03/31*61)/2*1.04</f>
        <v>866.70295483870973</v>
      </c>
      <c r="N23" s="12">
        <f t="shared" si="6"/>
        <v>358.03040000000004</v>
      </c>
      <c r="O23" s="12">
        <v>1247</v>
      </c>
      <c r="P23" s="12">
        <v>779</v>
      </c>
      <c r="Q23" s="44">
        <f t="shared" si="10"/>
        <v>688.52</v>
      </c>
      <c r="R23" s="12">
        <f t="shared" si="7"/>
        <v>23417.484154838712</v>
      </c>
      <c r="S23" s="12">
        <f t="shared" si="11"/>
        <v>8262.24</v>
      </c>
      <c r="T23" s="44">
        <f t="shared" si="3"/>
        <v>29835.866666666669</v>
      </c>
      <c r="U23" s="44">
        <f t="shared" si="4"/>
        <v>2983.586666666667</v>
      </c>
      <c r="V23" s="44">
        <f t="shared" si="8"/>
        <v>8950.76</v>
      </c>
      <c r="W23" s="97">
        <f t="shared" si="5"/>
        <v>331042.26319139788</v>
      </c>
      <c r="X23" s="93">
        <f t="shared" si="9"/>
        <v>12826</v>
      </c>
    </row>
    <row r="24" spans="1:24" ht="24" customHeight="1">
      <c r="A24" s="96">
        <v>16</v>
      </c>
      <c r="B24" s="8">
        <v>40</v>
      </c>
      <c r="C24" s="8" t="s">
        <v>12</v>
      </c>
      <c r="D24" s="17" t="s">
        <v>24</v>
      </c>
      <c r="E24" s="8">
        <v>1</v>
      </c>
      <c r="F24" s="15" t="s">
        <v>25</v>
      </c>
      <c r="G24" s="43">
        <f>17213</f>
        <v>17213</v>
      </c>
      <c r="H24" s="10">
        <v>0</v>
      </c>
      <c r="I24" s="10">
        <f t="shared" si="0"/>
        <v>17213</v>
      </c>
      <c r="J24" s="11">
        <v>1679.52</v>
      </c>
      <c r="K24" s="12">
        <f t="shared" si="1"/>
        <v>2416.7052000000003</v>
      </c>
      <c r="L24" s="12">
        <f t="shared" si="2"/>
        <v>537.04560000000004</v>
      </c>
      <c r="M24" s="12">
        <f>(849.69/31*61)/2*1.04</f>
        <v>869.42473548387102</v>
      </c>
      <c r="N24" s="12">
        <f t="shared" si="6"/>
        <v>358.03040000000004</v>
      </c>
      <c r="O24" s="12">
        <v>1247</v>
      </c>
      <c r="P24" s="12">
        <v>779</v>
      </c>
      <c r="Q24" s="44">
        <f t="shared" si="10"/>
        <v>688.52</v>
      </c>
      <c r="R24" s="12">
        <f t="shared" si="7"/>
        <v>23420.205935483871</v>
      </c>
      <c r="S24" s="12">
        <f t="shared" si="11"/>
        <v>8262.24</v>
      </c>
      <c r="T24" s="44">
        <f t="shared" si="3"/>
        <v>29835.866666666669</v>
      </c>
      <c r="U24" s="44">
        <f t="shared" si="4"/>
        <v>2983.586666666667</v>
      </c>
      <c r="V24" s="44">
        <f t="shared" si="8"/>
        <v>8950.76</v>
      </c>
      <c r="W24" s="97">
        <f t="shared" si="5"/>
        <v>332754.44455913978</v>
      </c>
      <c r="X24" s="93">
        <f t="shared" si="9"/>
        <v>12826</v>
      </c>
    </row>
    <row r="25" spans="1:24" ht="24" customHeight="1">
      <c r="A25" s="96">
        <v>16</v>
      </c>
      <c r="B25" s="8">
        <v>40</v>
      </c>
      <c r="C25" s="8" t="s">
        <v>12</v>
      </c>
      <c r="D25" s="17" t="s">
        <v>24</v>
      </c>
      <c r="E25" s="8">
        <v>1</v>
      </c>
      <c r="F25" s="15" t="s">
        <v>25</v>
      </c>
      <c r="G25" s="43">
        <f>17213</f>
        <v>17213</v>
      </c>
      <c r="H25" s="10">
        <v>0</v>
      </c>
      <c r="I25" s="10">
        <f t="shared" si="0"/>
        <v>17213</v>
      </c>
      <c r="J25" s="11">
        <v>2519.2800000000002</v>
      </c>
      <c r="K25" s="12">
        <f t="shared" si="1"/>
        <v>2416.7052000000003</v>
      </c>
      <c r="L25" s="12">
        <f t="shared" si="2"/>
        <v>537.04560000000004</v>
      </c>
      <c r="M25" s="12">
        <f>(850.59/31*61)/2*1.04</f>
        <v>870.34563870967759</v>
      </c>
      <c r="N25" s="12">
        <f t="shared" si="6"/>
        <v>358.03040000000004</v>
      </c>
      <c r="O25" s="12">
        <v>1247</v>
      </c>
      <c r="P25" s="12">
        <v>779</v>
      </c>
      <c r="Q25" s="44">
        <f t="shared" si="10"/>
        <v>688.52</v>
      </c>
      <c r="R25" s="12">
        <f t="shared" si="7"/>
        <v>23421.126838709679</v>
      </c>
      <c r="S25" s="12">
        <f t="shared" si="11"/>
        <v>8262.24</v>
      </c>
      <c r="T25" s="44">
        <f t="shared" si="3"/>
        <v>29835.866666666669</v>
      </c>
      <c r="U25" s="44">
        <f t="shared" si="4"/>
        <v>2983.586666666667</v>
      </c>
      <c r="V25" s="44">
        <f t="shared" si="8"/>
        <v>8950.76</v>
      </c>
      <c r="W25" s="97">
        <f t="shared" si="5"/>
        <v>333605.25539784948</v>
      </c>
      <c r="X25" s="93">
        <f t="shared" si="9"/>
        <v>12826</v>
      </c>
    </row>
    <row r="26" spans="1:24" ht="24" customHeight="1">
      <c r="A26" s="96">
        <v>16</v>
      </c>
      <c r="B26" s="8">
        <v>40</v>
      </c>
      <c r="C26" s="8" t="s">
        <v>12</v>
      </c>
      <c r="D26" s="14" t="s">
        <v>24</v>
      </c>
      <c r="E26" s="8">
        <v>1</v>
      </c>
      <c r="F26" s="15" t="s">
        <v>25</v>
      </c>
      <c r="G26" s="43">
        <f>17213</f>
        <v>17213</v>
      </c>
      <c r="H26" s="10">
        <v>0</v>
      </c>
      <c r="I26" s="10">
        <f t="shared" si="0"/>
        <v>17213</v>
      </c>
      <c r="J26" s="11">
        <v>1679.52</v>
      </c>
      <c r="K26" s="12">
        <f t="shared" si="1"/>
        <v>2416.7052000000003</v>
      </c>
      <c r="L26" s="12">
        <f t="shared" si="2"/>
        <v>537.04560000000004</v>
      </c>
      <c r="M26" s="12">
        <f>(849.61/31*61)/2*1.04</f>
        <v>869.34287741935486</v>
      </c>
      <c r="N26" s="12">
        <f t="shared" si="6"/>
        <v>358.03040000000004</v>
      </c>
      <c r="O26" s="12">
        <v>1247</v>
      </c>
      <c r="P26" s="12">
        <v>779</v>
      </c>
      <c r="Q26" s="44">
        <f t="shared" si="10"/>
        <v>688.52</v>
      </c>
      <c r="R26" s="12">
        <f t="shared" si="7"/>
        <v>23420.124077419357</v>
      </c>
      <c r="S26" s="12">
        <f t="shared" si="11"/>
        <v>8262.24</v>
      </c>
      <c r="T26" s="44">
        <f t="shared" si="3"/>
        <v>29835.866666666669</v>
      </c>
      <c r="U26" s="44">
        <f t="shared" si="4"/>
        <v>2983.586666666667</v>
      </c>
      <c r="V26" s="44">
        <f t="shared" si="8"/>
        <v>8950.76</v>
      </c>
      <c r="W26" s="97">
        <f t="shared" si="5"/>
        <v>332753.46226236562</v>
      </c>
      <c r="X26" s="93">
        <f t="shared" si="9"/>
        <v>12826</v>
      </c>
    </row>
    <row r="27" spans="1:24" ht="24" customHeight="1">
      <c r="A27" s="96">
        <v>15</v>
      </c>
      <c r="B27" s="8">
        <v>40</v>
      </c>
      <c r="C27" s="8" t="s">
        <v>12</v>
      </c>
      <c r="D27" s="9" t="s">
        <v>26</v>
      </c>
      <c r="E27" s="8">
        <v>1</v>
      </c>
      <c r="F27" s="15" t="s">
        <v>27</v>
      </c>
      <c r="G27" s="43">
        <f>15425</f>
        <v>15425</v>
      </c>
      <c r="H27" s="10">
        <v>0</v>
      </c>
      <c r="I27" s="10">
        <f t="shared" si="0"/>
        <v>15425</v>
      </c>
      <c r="J27" s="11">
        <v>1679.52</v>
      </c>
      <c r="K27" s="12">
        <f t="shared" si="1"/>
        <v>2165.67</v>
      </c>
      <c r="L27" s="12">
        <f t="shared" si="2"/>
        <v>481.26</v>
      </c>
      <c r="M27" s="12">
        <f>(797.04/31*61)/2*1.04</f>
        <v>815.55189677419355</v>
      </c>
      <c r="N27" s="12">
        <f t="shared" si="6"/>
        <v>320.84000000000003</v>
      </c>
      <c r="O27" s="12">
        <v>1206</v>
      </c>
      <c r="P27" s="12">
        <v>755</v>
      </c>
      <c r="Q27" s="44">
        <f t="shared" si="10"/>
        <v>617</v>
      </c>
      <c r="R27" s="12">
        <f t="shared" si="7"/>
        <v>21169.321896774189</v>
      </c>
      <c r="S27" s="12">
        <f t="shared" si="11"/>
        <v>7404</v>
      </c>
      <c r="T27" s="44">
        <f t="shared" si="3"/>
        <v>26736.666666666668</v>
      </c>
      <c r="U27" s="44">
        <f t="shared" si="4"/>
        <v>2673.666666666667</v>
      </c>
      <c r="V27" s="44">
        <f t="shared" si="8"/>
        <v>8021</v>
      </c>
      <c r="W27" s="97">
        <f t="shared" si="5"/>
        <v>300546.71609462367</v>
      </c>
      <c r="X27" s="93">
        <f t="shared" si="9"/>
        <v>11590.666666666666</v>
      </c>
    </row>
    <row r="28" spans="1:24" ht="24" customHeight="1">
      <c r="A28" s="96">
        <v>15</v>
      </c>
      <c r="B28" s="8">
        <v>40</v>
      </c>
      <c r="C28" s="8" t="s">
        <v>12</v>
      </c>
      <c r="D28" s="9" t="s">
        <v>26</v>
      </c>
      <c r="E28" s="8">
        <v>1</v>
      </c>
      <c r="F28" s="15" t="s">
        <v>27</v>
      </c>
      <c r="G28" s="43">
        <f>15425</f>
        <v>15425</v>
      </c>
      <c r="H28" s="10">
        <v>0</v>
      </c>
      <c r="I28" s="10">
        <f t="shared" si="0"/>
        <v>15425</v>
      </c>
      <c r="J28" s="11">
        <v>2669.52</v>
      </c>
      <c r="K28" s="12">
        <f t="shared" si="1"/>
        <v>2165.67</v>
      </c>
      <c r="L28" s="12">
        <f t="shared" si="2"/>
        <v>481.26</v>
      </c>
      <c r="M28" s="12">
        <f>(797.04/31*61)/2*1.04</f>
        <v>815.55189677419355</v>
      </c>
      <c r="N28" s="12">
        <f t="shared" si="6"/>
        <v>320.84000000000003</v>
      </c>
      <c r="O28" s="12">
        <v>1206</v>
      </c>
      <c r="P28" s="12">
        <v>755</v>
      </c>
      <c r="Q28" s="44">
        <f t="shared" si="10"/>
        <v>617</v>
      </c>
      <c r="R28" s="12">
        <f t="shared" si="7"/>
        <v>21169.321896774189</v>
      </c>
      <c r="S28" s="12">
        <f t="shared" si="11"/>
        <v>7404</v>
      </c>
      <c r="T28" s="44">
        <f t="shared" si="3"/>
        <v>26736.666666666668</v>
      </c>
      <c r="U28" s="44">
        <f t="shared" si="4"/>
        <v>2673.666666666667</v>
      </c>
      <c r="V28" s="44">
        <f t="shared" si="8"/>
        <v>8021</v>
      </c>
      <c r="W28" s="97">
        <f t="shared" si="5"/>
        <v>301536.71609462367</v>
      </c>
      <c r="X28" s="93">
        <f t="shared" si="9"/>
        <v>11590.666666666666</v>
      </c>
    </row>
    <row r="29" spans="1:24" ht="24" customHeight="1">
      <c r="A29" s="96">
        <v>15</v>
      </c>
      <c r="B29" s="8">
        <v>40</v>
      </c>
      <c r="C29" s="8" t="s">
        <v>12</v>
      </c>
      <c r="D29" s="9" t="s">
        <v>26</v>
      </c>
      <c r="E29" s="8">
        <v>1</v>
      </c>
      <c r="F29" s="15" t="s">
        <v>27</v>
      </c>
      <c r="G29" s="43">
        <f>15425</f>
        <v>15425</v>
      </c>
      <c r="H29" s="10">
        <v>0</v>
      </c>
      <c r="I29" s="10">
        <f t="shared" si="0"/>
        <v>15425</v>
      </c>
      <c r="J29" s="11">
        <v>3289.14</v>
      </c>
      <c r="K29" s="12">
        <f t="shared" si="1"/>
        <v>2165.67</v>
      </c>
      <c r="L29" s="12">
        <f t="shared" si="2"/>
        <v>481.26</v>
      </c>
      <c r="M29" s="12">
        <f>(798.62/31*61)/2*1.04</f>
        <v>817.16859354838709</v>
      </c>
      <c r="N29" s="12">
        <f t="shared" si="6"/>
        <v>320.84000000000003</v>
      </c>
      <c r="O29" s="12">
        <v>1206</v>
      </c>
      <c r="P29" s="12">
        <v>755</v>
      </c>
      <c r="Q29" s="44">
        <f t="shared" si="10"/>
        <v>617</v>
      </c>
      <c r="R29" s="12">
        <f t="shared" si="7"/>
        <v>21170.938593548384</v>
      </c>
      <c r="S29" s="12">
        <f t="shared" si="11"/>
        <v>7404</v>
      </c>
      <c r="T29" s="44">
        <f t="shared" si="3"/>
        <v>26736.666666666668</v>
      </c>
      <c r="U29" s="44">
        <f t="shared" si="4"/>
        <v>2673.666666666667</v>
      </c>
      <c r="V29" s="44">
        <f t="shared" si="8"/>
        <v>8021</v>
      </c>
      <c r="W29" s="97">
        <f t="shared" si="5"/>
        <v>302175.73645591398</v>
      </c>
      <c r="X29" s="93">
        <f t="shared" si="9"/>
        <v>11590.666666666666</v>
      </c>
    </row>
    <row r="30" spans="1:24" ht="24" customHeight="1">
      <c r="A30" s="96">
        <v>15</v>
      </c>
      <c r="B30" s="8">
        <v>40</v>
      </c>
      <c r="C30" s="8" t="s">
        <v>12</v>
      </c>
      <c r="D30" s="17" t="s">
        <v>28</v>
      </c>
      <c r="E30" s="8">
        <v>1</v>
      </c>
      <c r="F30" s="15" t="s">
        <v>25</v>
      </c>
      <c r="G30" s="43">
        <f>15425</f>
        <v>15425</v>
      </c>
      <c r="H30" s="10">
        <v>0</v>
      </c>
      <c r="I30" s="10">
        <f t="shared" si="0"/>
        <v>15425</v>
      </c>
      <c r="J30" s="11">
        <v>1679.52</v>
      </c>
      <c r="K30" s="12">
        <f t="shared" si="1"/>
        <v>2165.67</v>
      </c>
      <c r="L30" s="12">
        <f t="shared" si="2"/>
        <v>481.26</v>
      </c>
      <c r="M30" s="12">
        <f>(795.61/31*61)/2*1.04</f>
        <v>814.08868387096777</v>
      </c>
      <c r="N30" s="12">
        <f t="shared" si="6"/>
        <v>320.84000000000003</v>
      </c>
      <c r="O30" s="12">
        <v>1206</v>
      </c>
      <c r="P30" s="12">
        <v>755</v>
      </c>
      <c r="Q30" s="44">
        <f t="shared" si="10"/>
        <v>617</v>
      </c>
      <c r="R30" s="12">
        <f t="shared" si="7"/>
        <v>21167.858683870963</v>
      </c>
      <c r="S30" s="12">
        <f t="shared" si="11"/>
        <v>7404</v>
      </c>
      <c r="T30" s="44">
        <f t="shared" si="3"/>
        <v>26736.666666666668</v>
      </c>
      <c r="U30" s="44">
        <f t="shared" si="4"/>
        <v>2673.666666666667</v>
      </c>
      <c r="V30" s="44">
        <f t="shared" si="8"/>
        <v>8021</v>
      </c>
      <c r="W30" s="97">
        <f t="shared" si="5"/>
        <v>300529.15753978497</v>
      </c>
      <c r="X30" s="93">
        <f t="shared" si="9"/>
        <v>11590.666666666666</v>
      </c>
    </row>
    <row r="31" spans="1:24" ht="24" customHeight="1">
      <c r="A31" s="96">
        <v>15</v>
      </c>
      <c r="B31" s="8">
        <v>40</v>
      </c>
      <c r="C31" s="8" t="s">
        <v>12</v>
      </c>
      <c r="D31" s="17" t="s">
        <v>28</v>
      </c>
      <c r="E31" s="8">
        <v>1</v>
      </c>
      <c r="F31" s="15" t="s">
        <v>25</v>
      </c>
      <c r="G31" s="43">
        <f>15425</f>
        <v>15425</v>
      </c>
      <c r="H31" s="10">
        <v>0</v>
      </c>
      <c r="I31" s="10">
        <f t="shared" si="0"/>
        <v>15425</v>
      </c>
      <c r="J31" s="11">
        <v>3359.12</v>
      </c>
      <c r="K31" s="12">
        <f t="shared" si="1"/>
        <v>2165.67</v>
      </c>
      <c r="L31" s="12">
        <f t="shared" si="2"/>
        <v>481.26</v>
      </c>
      <c r="M31" s="12">
        <f>(800.19/31*61)/2*1.04</f>
        <v>818.7750580645162</v>
      </c>
      <c r="N31" s="12">
        <f t="shared" si="6"/>
        <v>320.84000000000003</v>
      </c>
      <c r="O31" s="12">
        <v>1206</v>
      </c>
      <c r="P31" s="12">
        <v>755</v>
      </c>
      <c r="Q31" s="44">
        <f t="shared" si="10"/>
        <v>617</v>
      </c>
      <c r="R31" s="12">
        <f>I31+K31+L31+M31+N31+O31+P31</f>
        <v>21172.545058064512</v>
      </c>
      <c r="S31" s="12">
        <f t="shared" si="11"/>
        <v>7404</v>
      </c>
      <c r="T31" s="44">
        <f t="shared" si="3"/>
        <v>26736.666666666668</v>
      </c>
      <c r="U31" s="44">
        <f t="shared" si="4"/>
        <v>2673.666666666667</v>
      </c>
      <c r="V31" s="44">
        <f t="shared" si="8"/>
        <v>8021</v>
      </c>
      <c r="W31" s="97">
        <f t="shared" si="5"/>
        <v>302264.99403010751</v>
      </c>
      <c r="X31" s="93">
        <f t="shared" si="9"/>
        <v>11590.666666666666</v>
      </c>
    </row>
    <row r="32" spans="1:24" ht="24" customHeight="1">
      <c r="A32" s="96">
        <v>15</v>
      </c>
      <c r="B32" s="8">
        <v>40</v>
      </c>
      <c r="C32" s="8" t="s">
        <v>12</v>
      </c>
      <c r="D32" s="9" t="s">
        <v>29</v>
      </c>
      <c r="E32" s="8">
        <v>1</v>
      </c>
      <c r="F32" s="15" t="s">
        <v>30</v>
      </c>
      <c r="G32" s="43">
        <f>15425</f>
        <v>15425</v>
      </c>
      <c r="H32" s="10">
        <v>0</v>
      </c>
      <c r="I32" s="10">
        <f t="shared" si="0"/>
        <v>15425</v>
      </c>
      <c r="J32" s="11">
        <v>1679.52</v>
      </c>
      <c r="K32" s="12">
        <f t="shared" si="1"/>
        <v>2165.67</v>
      </c>
      <c r="L32" s="12">
        <f t="shared" si="2"/>
        <v>481.26</v>
      </c>
      <c r="M32" s="12">
        <f>(797.04/31*61)/2*1.04</f>
        <v>815.55189677419355</v>
      </c>
      <c r="N32" s="12">
        <f t="shared" si="6"/>
        <v>320.84000000000003</v>
      </c>
      <c r="O32" s="12">
        <v>1206</v>
      </c>
      <c r="P32" s="12">
        <v>755</v>
      </c>
      <c r="Q32" s="44">
        <f t="shared" si="10"/>
        <v>617</v>
      </c>
      <c r="R32" s="12">
        <f t="shared" si="7"/>
        <v>21169.321896774189</v>
      </c>
      <c r="S32" s="12">
        <f t="shared" si="11"/>
        <v>7404</v>
      </c>
      <c r="T32" s="44">
        <f t="shared" si="3"/>
        <v>26736.666666666668</v>
      </c>
      <c r="U32" s="44">
        <f t="shared" si="4"/>
        <v>2673.666666666667</v>
      </c>
      <c r="V32" s="44">
        <f t="shared" si="8"/>
        <v>8021</v>
      </c>
      <c r="W32" s="97">
        <f t="shared" si="5"/>
        <v>300546.71609462367</v>
      </c>
      <c r="X32" s="93">
        <f t="shared" si="9"/>
        <v>11590.666666666666</v>
      </c>
    </row>
    <row r="33" spans="1:26" ht="24" customHeight="1">
      <c r="A33" s="96">
        <v>15</v>
      </c>
      <c r="B33" s="8">
        <v>40</v>
      </c>
      <c r="C33" s="8" t="s">
        <v>12</v>
      </c>
      <c r="D33" s="9" t="s">
        <v>29</v>
      </c>
      <c r="E33" s="8">
        <v>1</v>
      </c>
      <c r="F33" s="15" t="s">
        <v>30</v>
      </c>
      <c r="G33" s="43">
        <f>15425</f>
        <v>15425</v>
      </c>
      <c r="H33" s="10">
        <v>0</v>
      </c>
      <c r="I33" s="10">
        <f t="shared" si="0"/>
        <v>15425</v>
      </c>
      <c r="J33" s="11">
        <v>1679.52</v>
      </c>
      <c r="K33" s="12">
        <f t="shared" si="1"/>
        <v>2165.67</v>
      </c>
      <c r="L33" s="12">
        <f t="shared" si="2"/>
        <v>481.26</v>
      </c>
      <c r="M33" s="12">
        <f>(795.61/31*61)/2*1.04</f>
        <v>814.08868387096777</v>
      </c>
      <c r="N33" s="12">
        <f t="shared" si="6"/>
        <v>320.84000000000003</v>
      </c>
      <c r="O33" s="12">
        <v>1206</v>
      </c>
      <c r="P33" s="12">
        <v>755</v>
      </c>
      <c r="Q33" s="44">
        <f t="shared" si="10"/>
        <v>617</v>
      </c>
      <c r="R33" s="12">
        <f t="shared" si="7"/>
        <v>21167.858683870963</v>
      </c>
      <c r="S33" s="12">
        <f t="shared" si="11"/>
        <v>7404</v>
      </c>
      <c r="T33" s="44">
        <f t="shared" si="3"/>
        <v>26736.666666666668</v>
      </c>
      <c r="U33" s="44">
        <f t="shared" si="4"/>
        <v>2673.666666666667</v>
      </c>
      <c r="V33" s="44">
        <f t="shared" si="8"/>
        <v>8021</v>
      </c>
      <c r="W33" s="97">
        <f t="shared" si="5"/>
        <v>300529.15753978497</v>
      </c>
      <c r="X33" s="93">
        <f t="shared" si="9"/>
        <v>11590.666666666666</v>
      </c>
    </row>
    <row r="34" spans="1:26" ht="24" customHeight="1">
      <c r="A34" s="96">
        <v>15</v>
      </c>
      <c r="B34" s="8">
        <v>40</v>
      </c>
      <c r="C34" s="8" t="s">
        <v>12</v>
      </c>
      <c r="D34" s="9" t="s">
        <v>31</v>
      </c>
      <c r="E34" s="8">
        <v>1</v>
      </c>
      <c r="F34" s="8" t="s">
        <v>32</v>
      </c>
      <c r="G34" s="43">
        <f>15425</f>
        <v>15425</v>
      </c>
      <c r="H34" s="10">
        <v>0</v>
      </c>
      <c r="I34" s="10">
        <f t="shared" si="0"/>
        <v>15425</v>
      </c>
      <c r="J34" s="11">
        <v>2519.2800000000002</v>
      </c>
      <c r="K34" s="12">
        <f t="shared" si="1"/>
        <v>2165.67</v>
      </c>
      <c r="L34" s="12">
        <f t="shared" si="2"/>
        <v>481.26</v>
      </c>
      <c r="M34" s="12">
        <f>(798.62/31*61)/2*1.04</f>
        <v>817.16859354838709</v>
      </c>
      <c r="N34" s="12">
        <f t="shared" si="6"/>
        <v>320.84000000000003</v>
      </c>
      <c r="O34" s="12">
        <v>1206</v>
      </c>
      <c r="P34" s="12">
        <v>755</v>
      </c>
      <c r="Q34" s="44">
        <f t="shared" si="10"/>
        <v>617</v>
      </c>
      <c r="R34" s="12">
        <f t="shared" si="7"/>
        <v>21170.938593548384</v>
      </c>
      <c r="S34" s="12">
        <f t="shared" si="11"/>
        <v>7404</v>
      </c>
      <c r="T34" s="44">
        <f t="shared" si="3"/>
        <v>26736.666666666668</v>
      </c>
      <c r="U34" s="44">
        <f t="shared" si="4"/>
        <v>2673.666666666667</v>
      </c>
      <c r="V34" s="44">
        <f t="shared" si="8"/>
        <v>8021</v>
      </c>
      <c r="W34" s="97">
        <f t="shared" si="5"/>
        <v>301405.876455914</v>
      </c>
      <c r="X34" s="93">
        <f t="shared" si="9"/>
        <v>11590.666666666666</v>
      </c>
      <c r="Y34" s="3"/>
    </row>
    <row r="35" spans="1:26" ht="24" customHeight="1">
      <c r="A35" s="99">
        <v>14</v>
      </c>
      <c r="B35" s="39">
        <v>40</v>
      </c>
      <c r="C35" s="39" t="s">
        <v>12</v>
      </c>
      <c r="D35" s="40" t="s">
        <v>33</v>
      </c>
      <c r="E35" s="39">
        <v>1</v>
      </c>
      <c r="F35" s="39" t="s">
        <v>32</v>
      </c>
      <c r="G35" s="48">
        <f>13967</f>
        <v>13967</v>
      </c>
      <c r="H35" s="41">
        <v>0</v>
      </c>
      <c r="I35" s="41">
        <f t="shared" si="0"/>
        <v>13967</v>
      </c>
      <c r="J35" s="11"/>
      <c r="K35" s="12">
        <f t="shared" si="1"/>
        <v>1960.9668000000001</v>
      </c>
      <c r="L35" s="12">
        <f t="shared" si="2"/>
        <v>435.7704</v>
      </c>
      <c r="M35" s="42">
        <f>(750.98/31*61)/2*1.04</f>
        <v>768.42211612903225</v>
      </c>
      <c r="N35" s="42">
        <f t="shared" si="6"/>
        <v>290.5136</v>
      </c>
      <c r="O35" s="42">
        <v>1163</v>
      </c>
      <c r="P35" s="42">
        <v>722</v>
      </c>
      <c r="Q35" s="44">
        <f t="shared" si="10"/>
        <v>558.68000000000006</v>
      </c>
      <c r="R35" s="12">
        <f t="shared" si="7"/>
        <v>19307.672916129031</v>
      </c>
      <c r="S35" s="12">
        <f t="shared" si="11"/>
        <v>6704.1600000000008</v>
      </c>
      <c r="T35" s="44">
        <f t="shared" si="3"/>
        <v>24209.466666666667</v>
      </c>
      <c r="U35" s="44">
        <f t="shared" si="4"/>
        <v>2420.9466666666667</v>
      </c>
      <c r="V35" s="44">
        <f t="shared" si="8"/>
        <v>7262.84</v>
      </c>
      <c r="W35" s="97">
        <f t="shared" si="5"/>
        <v>272289.48832688172</v>
      </c>
      <c r="X35" s="93">
        <f t="shared" si="9"/>
        <v>10568</v>
      </c>
    </row>
    <row r="36" spans="1:26" ht="24" customHeight="1">
      <c r="A36" s="96">
        <v>14</v>
      </c>
      <c r="B36" s="8">
        <v>40</v>
      </c>
      <c r="C36" s="8" t="s">
        <v>12</v>
      </c>
      <c r="D36" s="9" t="s">
        <v>34</v>
      </c>
      <c r="E36" s="8">
        <v>1</v>
      </c>
      <c r="F36" s="8" t="s">
        <v>15</v>
      </c>
      <c r="G36" s="48">
        <f>13967</f>
        <v>13967</v>
      </c>
      <c r="H36" s="10">
        <v>0</v>
      </c>
      <c r="I36" s="10">
        <f t="shared" si="0"/>
        <v>13967</v>
      </c>
      <c r="J36" s="11">
        <v>1329.62</v>
      </c>
      <c r="K36" s="12">
        <f t="shared" si="1"/>
        <v>1960.9668000000001</v>
      </c>
      <c r="L36" s="12">
        <f t="shared" si="2"/>
        <v>435.7704</v>
      </c>
      <c r="M36" s="42">
        <f>(750.98/31*61)/2*1.04</f>
        <v>768.42211612903225</v>
      </c>
      <c r="N36" s="12">
        <f t="shared" si="6"/>
        <v>290.5136</v>
      </c>
      <c r="O36" s="12">
        <v>1163</v>
      </c>
      <c r="P36" s="12">
        <v>722</v>
      </c>
      <c r="Q36" s="44">
        <f t="shared" si="10"/>
        <v>558.68000000000006</v>
      </c>
      <c r="R36" s="12">
        <f t="shared" si="7"/>
        <v>19307.672916129031</v>
      </c>
      <c r="S36" s="12">
        <f t="shared" si="11"/>
        <v>6704.1600000000008</v>
      </c>
      <c r="T36" s="44">
        <f t="shared" si="3"/>
        <v>24209.466666666667</v>
      </c>
      <c r="U36" s="44">
        <f t="shared" si="4"/>
        <v>2420.9466666666667</v>
      </c>
      <c r="V36" s="44">
        <f t="shared" si="8"/>
        <v>7262.84</v>
      </c>
      <c r="W36" s="97">
        <f t="shared" si="5"/>
        <v>273619.10832688172</v>
      </c>
      <c r="X36" s="93">
        <f t="shared" si="9"/>
        <v>10568</v>
      </c>
    </row>
    <row r="37" spans="1:26" ht="24" customHeight="1">
      <c r="A37" s="96">
        <v>12</v>
      </c>
      <c r="B37" s="8">
        <v>40</v>
      </c>
      <c r="C37" s="8" t="s">
        <v>12</v>
      </c>
      <c r="D37" s="17" t="s">
        <v>35</v>
      </c>
      <c r="E37" s="8">
        <v>1</v>
      </c>
      <c r="F37" s="8" t="s">
        <v>32</v>
      </c>
      <c r="G37" s="43">
        <f>12798</f>
        <v>12798</v>
      </c>
      <c r="H37" s="10">
        <v>0</v>
      </c>
      <c r="I37" s="10">
        <f t="shared" si="0"/>
        <v>12798</v>
      </c>
      <c r="J37" s="11"/>
      <c r="K37" s="12">
        <f t="shared" si="1"/>
        <v>1796.8392000000001</v>
      </c>
      <c r="L37" s="12">
        <f t="shared" si="2"/>
        <v>399.29759999999999</v>
      </c>
      <c r="M37" s="12">
        <f>(715.73/31*61)/2*1.04</f>
        <v>732.35340645161295</v>
      </c>
      <c r="N37" s="12">
        <f t="shared" si="6"/>
        <v>266.19839999999999</v>
      </c>
      <c r="O37" s="12">
        <v>1099</v>
      </c>
      <c r="P37" s="12">
        <v>689</v>
      </c>
      <c r="Q37" s="44">
        <f t="shared" si="10"/>
        <v>511.92</v>
      </c>
      <c r="R37" s="12">
        <f t="shared" si="7"/>
        <v>17780.688606451615</v>
      </c>
      <c r="S37" s="12">
        <f t="shared" si="11"/>
        <v>6143.04</v>
      </c>
      <c r="T37" s="44">
        <f t="shared" si="3"/>
        <v>22183.200000000001</v>
      </c>
      <c r="U37" s="44">
        <f t="shared" si="4"/>
        <v>2218.3199999999997</v>
      </c>
      <c r="V37" s="44">
        <f t="shared" si="8"/>
        <v>6654.96</v>
      </c>
      <c r="W37" s="97">
        <f t="shared" si="5"/>
        <v>250567.7832774194</v>
      </c>
      <c r="X37" s="93">
        <f t="shared" si="9"/>
        <v>9724</v>
      </c>
    </row>
    <row r="38" spans="1:26" ht="24" customHeight="1">
      <c r="A38" s="96">
        <v>12</v>
      </c>
      <c r="B38" s="8">
        <v>40</v>
      </c>
      <c r="C38" s="8" t="s">
        <v>12</v>
      </c>
      <c r="D38" s="17" t="s">
        <v>35</v>
      </c>
      <c r="E38" s="8">
        <v>1</v>
      </c>
      <c r="F38" s="8" t="s">
        <v>32</v>
      </c>
      <c r="G38" s="43">
        <f>12798</f>
        <v>12798</v>
      </c>
      <c r="H38" s="10">
        <v>0</v>
      </c>
      <c r="I38" s="10">
        <f t="shared" si="0"/>
        <v>12798</v>
      </c>
      <c r="J38" s="11">
        <v>1679.52</v>
      </c>
      <c r="K38" s="12">
        <f t="shared" si="1"/>
        <v>1796.8392000000001</v>
      </c>
      <c r="L38" s="12">
        <f t="shared" si="2"/>
        <v>399.29759999999999</v>
      </c>
      <c r="M38" s="12">
        <f>(718.87/31*61)/2*1.04</f>
        <v>735.56633548387106</v>
      </c>
      <c r="N38" s="12">
        <f t="shared" si="6"/>
        <v>266.19839999999999</v>
      </c>
      <c r="O38" s="12">
        <v>1099</v>
      </c>
      <c r="P38" s="12">
        <v>689</v>
      </c>
      <c r="Q38" s="44">
        <f t="shared" si="10"/>
        <v>511.92</v>
      </c>
      <c r="R38" s="12">
        <f t="shared" si="7"/>
        <v>17783.90153548387</v>
      </c>
      <c r="S38" s="12">
        <f t="shared" si="11"/>
        <v>6143.04</v>
      </c>
      <c r="T38" s="44">
        <f t="shared" si="3"/>
        <v>22183.200000000001</v>
      </c>
      <c r="U38" s="44">
        <f t="shared" si="4"/>
        <v>2218.3199999999997</v>
      </c>
      <c r="V38" s="44">
        <f t="shared" si="8"/>
        <v>6654.96</v>
      </c>
      <c r="W38" s="97">
        <f t="shared" si="5"/>
        <v>252285.85842580645</v>
      </c>
      <c r="X38" s="93">
        <f t="shared" si="9"/>
        <v>9724</v>
      </c>
    </row>
    <row r="39" spans="1:26" ht="24" customHeight="1">
      <c r="A39" s="96">
        <v>10</v>
      </c>
      <c r="B39" s="8">
        <v>40</v>
      </c>
      <c r="C39" s="15" t="s">
        <v>36</v>
      </c>
      <c r="D39" s="17" t="s">
        <v>37</v>
      </c>
      <c r="E39" s="8">
        <v>1</v>
      </c>
      <c r="F39" s="15" t="s">
        <v>27</v>
      </c>
      <c r="G39" s="43">
        <f>11955</f>
        <v>11955</v>
      </c>
      <c r="H39" s="10">
        <v>0</v>
      </c>
      <c r="I39" s="10">
        <f t="shared" si="0"/>
        <v>11955</v>
      </c>
      <c r="J39" s="11"/>
      <c r="K39" s="12">
        <f t="shared" si="1"/>
        <v>1678.4820000000002</v>
      </c>
      <c r="L39" s="12">
        <f t="shared" si="2"/>
        <v>372.99599999999998</v>
      </c>
      <c r="M39" s="12">
        <f>(689.57/31*61)/2*1.04</f>
        <v>705.5858193548388</v>
      </c>
      <c r="N39" s="12">
        <f t="shared" si="6"/>
        <v>248.66400000000002</v>
      </c>
      <c r="O39" s="12">
        <v>1021</v>
      </c>
      <c r="P39" s="12">
        <v>666</v>
      </c>
      <c r="Q39" s="44">
        <f t="shared" si="10"/>
        <v>478.2</v>
      </c>
      <c r="R39" s="12">
        <f t="shared" si="7"/>
        <v>16647.727819354841</v>
      </c>
      <c r="S39" s="12">
        <f t="shared" si="11"/>
        <v>5738.4</v>
      </c>
      <c r="T39" s="44">
        <f t="shared" si="3"/>
        <v>20722</v>
      </c>
      <c r="U39" s="44">
        <f t="shared" si="4"/>
        <v>2072.1999999999998</v>
      </c>
      <c r="V39" s="44">
        <f t="shared" si="8"/>
        <v>6216.6</v>
      </c>
      <c r="W39" s="97">
        <f t="shared" si="5"/>
        <v>234521.9338322581</v>
      </c>
      <c r="X39" s="93">
        <f t="shared" si="9"/>
        <v>9094.6666666666679</v>
      </c>
    </row>
    <row r="40" spans="1:26" ht="24" customHeight="1">
      <c r="A40" s="96">
        <v>10</v>
      </c>
      <c r="B40" s="8">
        <v>40</v>
      </c>
      <c r="C40" s="15" t="s">
        <v>36</v>
      </c>
      <c r="D40" s="17" t="s">
        <v>38</v>
      </c>
      <c r="E40" s="8">
        <v>1</v>
      </c>
      <c r="F40" s="8" t="s">
        <v>32</v>
      </c>
      <c r="G40" s="43">
        <f>11955</f>
        <v>11955</v>
      </c>
      <c r="H40" s="10">
        <v>0</v>
      </c>
      <c r="I40" s="10">
        <f t="shared" si="0"/>
        <v>11955</v>
      </c>
      <c r="J40" s="11">
        <v>1679.52</v>
      </c>
      <c r="K40" s="12">
        <f t="shared" si="1"/>
        <v>1678.4820000000002</v>
      </c>
      <c r="L40" s="12">
        <f t="shared" si="2"/>
        <v>372.99599999999998</v>
      </c>
      <c r="M40" s="12">
        <f>(692.72/31*61)/2*1.04</f>
        <v>708.80898064516134</v>
      </c>
      <c r="N40" s="12">
        <f t="shared" si="6"/>
        <v>248.66400000000002</v>
      </c>
      <c r="O40" s="12">
        <v>1021</v>
      </c>
      <c r="P40" s="12">
        <v>666</v>
      </c>
      <c r="Q40" s="44">
        <f t="shared" si="10"/>
        <v>478.2</v>
      </c>
      <c r="R40" s="12">
        <f t="shared" si="7"/>
        <v>16650.950980645161</v>
      </c>
      <c r="S40" s="12">
        <f t="shared" si="11"/>
        <v>5738.4</v>
      </c>
      <c r="T40" s="44">
        <f t="shared" si="3"/>
        <v>20722</v>
      </c>
      <c r="U40" s="44">
        <f t="shared" si="4"/>
        <v>2072.1999999999998</v>
      </c>
      <c r="V40" s="44">
        <f t="shared" si="8"/>
        <v>6216.6</v>
      </c>
      <c r="W40" s="97">
        <f t="shared" si="5"/>
        <v>236240.13176774193</v>
      </c>
      <c r="X40" s="93">
        <f t="shared" si="9"/>
        <v>9094.6666666666679</v>
      </c>
    </row>
    <row r="41" spans="1:26" ht="24" customHeight="1">
      <c r="A41" s="96">
        <v>3</v>
      </c>
      <c r="B41" s="8">
        <v>40</v>
      </c>
      <c r="C41" s="15" t="s">
        <v>36</v>
      </c>
      <c r="D41" s="17" t="s">
        <v>39</v>
      </c>
      <c r="E41" s="8">
        <v>1</v>
      </c>
      <c r="F41" s="8" t="s">
        <v>32</v>
      </c>
      <c r="G41" s="43">
        <f>8469</f>
        <v>8469</v>
      </c>
      <c r="H41" s="10">
        <v>0</v>
      </c>
      <c r="I41" s="10">
        <f t="shared" si="0"/>
        <v>8469</v>
      </c>
      <c r="J41" s="11">
        <v>1679.52</v>
      </c>
      <c r="K41" s="12">
        <f t="shared" si="1"/>
        <v>1189.0476000000001</v>
      </c>
      <c r="L41" s="12">
        <f t="shared" si="2"/>
        <v>264.2328</v>
      </c>
      <c r="M41" s="12">
        <f>(584.04/31*61)/2*1.04</f>
        <v>597.60480000000007</v>
      </c>
      <c r="N41" s="12">
        <f t="shared" si="6"/>
        <v>176.15520000000001</v>
      </c>
      <c r="O41" s="12">
        <v>718</v>
      </c>
      <c r="P41" s="12">
        <v>438</v>
      </c>
      <c r="Q41" s="44">
        <f t="shared" si="10"/>
        <v>338.76</v>
      </c>
      <c r="R41" s="12">
        <f t="shared" si="7"/>
        <v>11852.0404</v>
      </c>
      <c r="S41" s="12">
        <f t="shared" si="11"/>
        <v>4065.12</v>
      </c>
      <c r="T41" s="44">
        <f t="shared" si="3"/>
        <v>14679.599999999999</v>
      </c>
      <c r="U41" s="44">
        <f t="shared" si="4"/>
        <v>1467.96</v>
      </c>
      <c r="V41" s="44">
        <f t="shared" si="8"/>
        <v>4403.88</v>
      </c>
      <c r="W41" s="97">
        <f t="shared" si="5"/>
        <v>168520.56479999999</v>
      </c>
      <c r="X41" s="93">
        <f t="shared" si="9"/>
        <v>6416.6666666666661</v>
      </c>
    </row>
    <row r="42" spans="1:26" ht="24" customHeight="1" thickBot="1">
      <c r="A42" s="100">
        <v>1</v>
      </c>
      <c r="B42" s="18">
        <v>40</v>
      </c>
      <c r="C42" s="18" t="s">
        <v>36</v>
      </c>
      <c r="D42" s="19" t="s">
        <v>40</v>
      </c>
      <c r="E42" s="20">
        <v>1</v>
      </c>
      <c r="F42" s="20" t="s">
        <v>32</v>
      </c>
      <c r="G42" s="49">
        <f>7707</f>
        <v>7707</v>
      </c>
      <c r="H42" s="21">
        <v>0</v>
      </c>
      <c r="I42" s="21">
        <f t="shared" si="0"/>
        <v>7707</v>
      </c>
      <c r="J42" s="22">
        <v>2519.2800000000002</v>
      </c>
      <c r="K42" s="23">
        <f t="shared" si="1"/>
        <v>1082.0627999999999</v>
      </c>
      <c r="L42" s="23">
        <f t="shared" si="2"/>
        <v>240.45839999999998</v>
      </c>
      <c r="M42" s="23">
        <f>(563.61/31*61)/2*1.04</f>
        <v>576.70029677419359</v>
      </c>
      <c r="N42" s="23">
        <f t="shared" si="6"/>
        <v>160.3056</v>
      </c>
      <c r="O42" s="23">
        <v>647</v>
      </c>
      <c r="P42" s="23">
        <v>417</v>
      </c>
      <c r="Q42" s="50">
        <f t="shared" si="10"/>
        <v>308.28000000000003</v>
      </c>
      <c r="R42" s="23">
        <f t="shared" si="7"/>
        <v>10830.527096774193</v>
      </c>
      <c r="S42" s="23">
        <f t="shared" si="11"/>
        <v>3699.3600000000006</v>
      </c>
      <c r="T42" s="50">
        <f t="shared" si="3"/>
        <v>13358.8</v>
      </c>
      <c r="U42" s="50">
        <f t="shared" si="4"/>
        <v>1335.8799999999999</v>
      </c>
      <c r="V42" s="50">
        <f t="shared" si="8"/>
        <v>4007.64</v>
      </c>
      <c r="W42" s="101">
        <f t="shared" si="5"/>
        <v>154887.28516129032</v>
      </c>
      <c r="X42" s="93">
        <f t="shared" si="9"/>
        <v>5847.3333333333339</v>
      </c>
    </row>
    <row r="43" spans="1:26" ht="24" customHeight="1">
      <c r="A43" s="56"/>
      <c r="B43" s="56"/>
      <c r="C43" s="56"/>
      <c r="D43" s="55"/>
      <c r="E43" s="55"/>
      <c r="F43" s="56"/>
      <c r="G43" s="24">
        <f t="shared" ref="G43:V43" si="13">SUM(G13:G42)</f>
        <v>636179</v>
      </c>
      <c r="H43" s="24">
        <f t="shared" si="13"/>
        <v>0</v>
      </c>
      <c r="I43" s="24">
        <f t="shared" si="13"/>
        <v>636179</v>
      </c>
      <c r="J43" s="24"/>
      <c r="K43" s="24">
        <f>SUM(K13:K42)</f>
        <v>89319.531599999988</v>
      </c>
      <c r="L43" s="24">
        <f>SUM(L13:L42)</f>
        <v>19848.784800000005</v>
      </c>
      <c r="M43" s="24">
        <f>SUM(M13:M42)</f>
        <v>28837.603599999999</v>
      </c>
      <c r="N43" s="24">
        <f t="shared" si="13"/>
        <v>12968.631199999998</v>
      </c>
      <c r="O43" s="24">
        <f t="shared" si="13"/>
        <v>40402</v>
      </c>
      <c r="P43" s="24">
        <f t="shared" si="13"/>
        <v>26424</v>
      </c>
      <c r="Q43" s="24">
        <f>SUM(Q13:Q42)</f>
        <v>25447.159999999996</v>
      </c>
      <c r="R43" s="24">
        <f t="shared" si="13"/>
        <v>853979.55119999999</v>
      </c>
      <c r="S43" s="24">
        <f>SUM(S13:S42)</f>
        <v>305365.91999999987</v>
      </c>
      <c r="T43" s="24">
        <f t="shared" si="13"/>
        <v>1102710.2666666666</v>
      </c>
      <c r="U43" s="24">
        <f t="shared" si="13"/>
        <v>110271.02666666672</v>
      </c>
      <c r="V43" s="24">
        <f t="shared" si="13"/>
        <v>297928.28000000009</v>
      </c>
      <c r="W43" s="57">
        <f>SUM(W13:W42)</f>
        <v>12101549.827733336</v>
      </c>
      <c r="X43" s="25"/>
    </row>
    <row r="44" spans="1:26" ht="24" customHeight="1">
      <c r="A44" s="87" t="s">
        <v>42</v>
      </c>
      <c r="B44" s="68"/>
      <c r="C44" s="68"/>
      <c r="D44" s="69"/>
      <c r="E44" s="68">
        <v>30</v>
      </c>
      <c r="F44" s="88"/>
      <c r="G44" s="70">
        <f>G43*12</f>
        <v>7634148</v>
      </c>
      <c r="H44" s="71"/>
      <c r="I44" s="70">
        <f>I43*12</f>
        <v>7634148</v>
      </c>
      <c r="J44" s="72">
        <f>SUM(J13:J42)</f>
        <v>37519.719999999994</v>
      </c>
      <c r="K44" s="73">
        <f>K43*12</f>
        <v>1071834.3791999999</v>
      </c>
      <c r="L44" s="73">
        <f t="shared" ref="L44:P44" si="14">L43*12</f>
        <v>238185.41760000004</v>
      </c>
      <c r="M44" s="73">
        <f t="shared" si="14"/>
        <v>346051.24319999997</v>
      </c>
      <c r="N44" s="73">
        <f t="shared" si="14"/>
        <v>155623.57439999998</v>
      </c>
      <c r="O44" s="73">
        <f t="shared" si="14"/>
        <v>484824</v>
      </c>
      <c r="P44" s="73">
        <f t="shared" si="14"/>
        <v>317088</v>
      </c>
      <c r="Q44" s="73"/>
      <c r="R44" s="72"/>
      <c r="S44" s="73">
        <f>S43</f>
        <v>305365.91999999987</v>
      </c>
      <c r="T44" s="72">
        <f>T43</f>
        <v>1102710.2666666666</v>
      </c>
      <c r="U44" s="72">
        <f>U43</f>
        <v>110271.02666666672</v>
      </c>
      <c r="V44" s="74">
        <f>V43</f>
        <v>297928.28000000009</v>
      </c>
      <c r="W44" s="75">
        <f>SUM(I44:V44)</f>
        <v>12101549.827733332</v>
      </c>
      <c r="X44" s="51"/>
      <c r="Z44" s="28"/>
    </row>
    <row r="45" spans="1:26" ht="61.5" customHeight="1" thickBot="1">
      <c r="G45" s="29"/>
      <c r="H45" s="30"/>
      <c r="I45" s="27"/>
      <c r="J45" s="27"/>
      <c r="K45" s="31"/>
      <c r="L45" s="31"/>
      <c r="M45" s="54"/>
      <c r="N45" s="31"/>
      <c r="O45" s="31" t="s">
        <v>0</v>
      </c>
      <c r="P45" s="31"/>
      <c r="Q45" s="31"/>
      <c r="R45" s="31"/>
      <c r="S45" s="31"/>
      <c r="T45" s="26"/>
      <c r="U45" s="90"/>
      <c r="V45" s="91"/>
      <c r="W45" s="92"/>
      <c r="X45" s="92"/>
    </row>
    <row r="46" spans="1:26" ht="16.5" thickBot="1">
      <c r="A46" s="83" t="s">
        <v>59</v>
      </c>
      <c r="E46" s="84">
        <v>26</v>
      </c>
      <c r="I46" s="32"/>
      <c r="J46" s="32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</row>
    <row r="47" spans="1:26" ht="16.5" thickBot="1">
      <c r="D47" s="85"/>
      <c r="E47" s="86"/>
      <c r="I47" s="32"/>
      <c r="J47" s="32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</row>
    <row r="48" spans="1:26" ht="16.5" thickBot="1">
      <c r="A48" s="83" t="s">
        <v>60</v>
      </c>
      <c r="E48" s="84">
        <v>4</v>
      </c>
      <c r="I48" s="32"/>
      <c r="J48" s="32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</row>
    <row r="49" spans="1:21" ht="13.5" thickBot="1">
      <c r="I49" s="32"/>
      <c r="J49" s="32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</row>
    <row r="50" spans="1:21" ht="16.5" thickBot="1">
      <c r="A50" s="83" t="s">
        <v>61</v>
      </c>
      <c r="E50" s="84">
        <v>0</v>
      </c>
      <c r="I50" s="32"/>
      <c r="J50" s="32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</row>
    <row r="51" spans="1:21">
      <c r="I51" s="32"/>
      <c r="J51" s="32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</row>
    <row r="52" spans="1:21">
      <c r="I52" s="32"/>
      <c r="J52" s="32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</row>
    <row r="53" spans="1:21">
      <c r="I53" s="32"/>
      <c r="J53" s="32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</row>
    <row r="54" spans="1:21">
      <c r="I54" s="32"/>
      <c r="J54" s="32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</row>
    <row r="55" spans="1:21">
      <c r="I55" s="32"/>
      <c r="J55" s="32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</row>
    <row r="56" spans="1:21">
      <c r="I56" s="32"/>
      <c r="J56" s="32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>
      <c r="I57" s="32"/>
      <c r="J57" s="32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>
      <c r="I58" s="32"/>
      <c r="J58" s="32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>
      <c r="I59" s="32"/>
      <c r="J59" s="32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21">
      <c r="I60" s="32"/>
      <c r="J60" s="32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</row>
    <row r="61" spans="1:21">
      <c r="I61" s="32"/>
      <c r="J61" s="32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</row>
    <row r="62" spans="1:21">
      <c r="I62" s="32"/>
      <c r="J62" s="32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</row>
    <row r="63" spans="1:21">
      <c r="I63" s="32"/>
      <c r="J63" s="32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</row>
    <row r="64" spans="1:21">
      <c r="I64" s="32"/>
      <c r="J64" s="32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</row>
    <row r="65" spans="9:21">
      <c r="I65" s="32"/>
      <c r="J65" s="32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</row>
    <row r="66" spans="9:21">
      <c r="I66" s="32"/>
      <c r="J66" s="32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</row>
    <row r="67" spans="9:21">
      <c r="I67" s="32"/>
      <c r="J67" s="32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</row>
    <row r="68" spans="9:21">
      <c r="I68" s="32"/>
      <c r="J68" s="32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</row>
    <row r="69" spans="9:21">
      <c r="I69" s="32"/>
      <c r="J69" s="32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</row>
    <row r="70" spans="9:21">
      <c r="I70" s="32"/>
      <c r="J70" s="32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</row>
    <row r="71" spans="9:21">
      <c r="I71" s="32"/>
      <c r="J71" s="32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</row>
    <row r="72" spans="9:21">
      <c r="I72" s="32"/>
      <c r="J72" s="32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</row>
    <row r="73" spans="9:21">
      <c r="I73" s="32"/>
      <c r="J73" s="32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</row>
    <row r="74" spans="9:21">
      <c r="I74" s="32"/>
      <c r="J74" s="32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</row>
    <row r="75" spans="9:21">
      <c r="I75" s="32"/>
      <c r="J75" s="32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</row>
    <row r="76" spans="9:21">
      <c r="I76" s="32"/>
      <c r="J76" s="32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</row>
    <row r="77" spans="9:21">
      <c r="I77" s="32"/>
      <c r="J77" s="32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</row>
    <row r="78" spans="9:21">
      <c r="I78" s="32"/>
      <c r="J78" s="32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</row>
    <row r="79" spans="9:21">
      <c r="I79" s="32"/>
      <c r="J79" s="32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</row>
    <row r="80" spans="9:21">
      <c r="I80" s="32"/>
      <c r="J80" s="32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</row>
    <row r="81" spans="9:21">
      <c r="I81" s="32"/>
      <c r="J81" s="32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</row>
    <row r="82" spans="9:21">
      <c r="I82" s="32"/>
      <c r="J82" s="32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</row>
    <row r="83" spans="9:21">
      <c r="I83" s="32"/>
      <c r="J83" s="32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</row>
    <row r="84" spans="9:21">
      <c r="I84" s="32"/>
      <c r="J84" s="32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</row>
    <row r="85" spans="9:21">
      <c r="I85" s="32"/>
      <c r="J85" s="32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</row>
    <row r="86" spans="9:21">
      <c r="I86" s="32"/>
      <c r="J86" s="32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</row>
    <row r="87" spans="9:21">
      <c r="I87" s="32"/>
      <c r="J87" s="32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</row>
    <row r="88" spans="9:21">
      <c r="I88" s="32"/>
      <c r="J88" s="32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</row>
    <row r="89" spans="9:21">
      <c r="I89" s="32"/>
      <c r="J89" s="32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</row>
    <row r="90" spans="9:21">
      <c r="I90" s="32"/>
      <c r="J90" s="32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</row>
    <row r="91" spans="9:21">
      <c r="I91" s="32"/>
      <c r="J91" s="32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</row>
    <row r="92" spans="9:21">
      <c r="I92" s="32"/>
      <c r="J92" s="32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</row>
    <row r="93" spans="9:21">
      <c r="I93" s="32"/>
      <c r="J93" s="32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</row>
    <row r="94" spans="9:21">
      <c r="I94" s="32"/>
      <c r="J94" s="32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</row>
    <row r="95" spans="9:21">
      <c r="I95" s="32"/>
      <c r="J95" s="32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</row>
    <row r="96" spans="9:21">
      <c r="I96" s="32"/>
      <c r="J96" s="32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</row>
    <row r="97" spans="9:21">
      <c r="I97" s="32"/>
      <c r="J97" s="32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</row>
    <row r="98" spans="9:21">
      <c r="I98" s="32"/>
      <c r="J98" s="32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</row>
    <row r="99" spans="9:21">
      <c r="I99" s="32"/>
      <c r="J99" s="32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</row>
    <row r="100" spans="9:21">
      <c r="I100" s="32"/>
      <c r="J100" s="32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</row>
    <row r="101" spans="9:21">
      <c r="I101" s="32"/>
      <c r="J101" s="32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</row>
    <row r="102" spans="9:21">
      <c r="I102" s="32"/>
      <c r="J102" s="32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</row>
    <row r="103" spans="9:21">
      <c r="I103" s="32"/>
      <c r="J103" s="32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</row>
    <row r="104" spans="9:21">
      <c r="I104" s="32"/>
      <c r="J104" s="32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</row>
    <row r="105" spans="9:21">
      <c r="I105" s="32"/>
      <c r="J105" s="32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</row>
    <row r="106" spans="9:21">
      <c r="I106" s="32"/>
      <c r="J106" s="32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</row>
    <row r="107" spans="9:21">
      <c r="I107" s="32"/>
      <c r="J107" s="32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</row>
    <row r="108" spans="9:21">
      <c r="I108" s="32"/>
      <c r="J108" s="32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</row>
    <row r="109" spans="9:21">
      <c r="I109" s="32"/>
      <c r="J109" s="32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</row>
    <row r="110" spans="9:21">
      <c r="I110" s="32"/>
      <c r="J110" s="32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</row>
    <row r="111" spans="9:21">
      <c r="I111" s="32"/>
      <c r="J111" s="32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</row>
    <row r="112" spans="9:21">
      <c r="I112" s="32"/>
      <c r="J112" s="32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</row>
    <row r="113" spans="9:21">
      <c r="I113" s="32"/>
      <c r="J113" s="32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</row>
    <row r="114" spans="9:21">
      <c r="I114" s="32"/>
      <c r="J114" s="32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</row>
    <row r="115" spans="9:21">
      <c r="I115" s="32"/>
      <c r="J115" s="32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</row>
    <row r="116" spans="9:21">
      <c r="I116" s="32"/>
      <c r="J116" s="32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</row>
    <row r="117" spans="9:21">
      <c r="I117" s="32"/>
      <c r="J117" s="32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</row>
    <row r="118" spans="9:21">
      <c r="I118" s="32"/>
      <c r="J118" s="32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</row>
    <row r="119" spans="9:21">
      <c r="I119" s="32"/>
      <c r="J119" s="32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</row>
    <row r="120" spans="9:21">
      <c r="I120" s="32"/>
      <c r="J120" s="32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</row>
    <row r="121" spans="9:21">
      <c r="I121" s="32"/>
      <c r="J121" s="32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</row>
    <row r="122" spans="9:21">
      <c r="I122" s="32"/>
      <c r="J122" s="32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</row>
    <row r="123" spans="9:21">
      <c r="I123" s="32"/>
      <c r="J123" s="32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</row>
    <row r="124" spans="9:21">
      <c r="I124" s="32"/>
      <c r="J124" s="32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</row>
    <row r="125" spans="9:21">
      <c r="I125" s="32"/>
      <c r="J125" s="32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</row>
    <row r="126" spans="9:21">
      <c r="I126" s="32"/>
      <c r="J126" s="32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</row>
    <row r="127" spans="9:21">
      <c r="I127" s="32"/>
      <c r="J127" s="32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</row>
    <row r="128" spans="9:21">
      <c r="I128" s="32"/>
      <c r="J128" s="32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</row>
    <row r="129" spans="9:21">
      <c r="I129" s="32"/>
      <c r="J129" s="32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</row>
    <row r="130" spans="9:21">
      <c r="I130" s="32"/>
      <c r="J130" s="32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</row>
    <row r="131" spans="9:21">
      <c r="I131" s="32"/>
      <c r="J131" s="32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</row>
    <row r="132" spans="9:21">
      <c r="I132" s="32"/>
      <c r="J132" s="32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</row>
    <row r="133" spans="9:21">
      <c r="I133" s="32"/>
      <c r="J133" s="32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</row>
    <row r="134" spans="9:21">
      <c r="I134" s="32"/>
      <c r="J134" s="32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</row>
    <row r="135" spans="9:21">
      <c r="I135" s="32"/>
      <c r="J135" s="32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</row>
    <row r="136" spans="9:21">
      <c r="I136" s="32"/>
      <c r="J136" s="32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</row>
    <row r="137" spans="9:21">
      <c r="I137" s="32"/>
      <c r="J137" s="32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</row>
    <row r="138" spans="9:21">
      <c r="I138" s="32"/>
      <c r="J138" s="32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</row>
    <row r="139" spans="9:21">
      <c r="I139" s="32"/>
      <c r="J139" s="32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</row>
    <row r="140" spans="9:21">
      <c r="I140" s="32"/>
      <c r="J140" s="32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</row>
    <row r="141" spans="9:21">
      <c r="I141" s="32"/>
      <c r="J141" s="32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</row>
    <row r="142" spans="9:21">
      <c r="I142" s="32"/>
      <c r="J142" s="32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</row>
    <row r="143" spans="9:21">
      <c r="I143" s="32"/>
      <c r="J143" s="32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</row>
    <row r="144" spans="9:21">
      <c r="I144" s="32"/>
      <c r="J144" s="32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</row>
    <row r="145" spans="9:21">
      <c r="I145" s="32"/>
      <c r="J145" s="32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</row>
    <row r="146" spans="9:21">
      <c r="I146" s="32"/>
      <c r="J146" s="32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</row>
    <row r="147" spans="9:21">
      <c r="I147" s="32"/>
      <c r="J147" s="32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</row>
    <row r="148" spans="9:21">
      <c r="I148" s="32"/>
      <c r="J148" s="32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</row>
    <row r="149" spans="9:21">
      <c r="I149" s="32"/>
      <c r="J149" s="32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</row>
    <row r="150" spans="9:21">
      <c r="I150" s="32"/>
      <c r="J150" s="32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</row>
    <row r="151" spans="9:21">
      <c r="I151" s="32"/>
      <c r="J151" s="32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</row>
    <row r="152" spans="9:21">
      <c r="I152" s="32"/>
      <c r="J152" s="32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</row>
    <row r="153" spans="9:21">
      <c r="I153" s="32"/>
      <c r="J153" s="32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</row>
    <row r="154" spans="9:21">
      <c r="I154" s="32"/>
      <c r="J154" s="32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</row>
    <row r="155" spans="9:21">
      <c r="I155" s="32"/>
      <c r="J155" s="32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</row>
    <row r="156" spans="9:21">
      <c r="I156" s="32"/>
      <c r="J156" s="32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</row>
    <row r="157" spans="9:21">
      <c r="I157" s="32"/>
      <c r="J157" s="32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</row>
    <row r="158" spans="9:21">
      <c r="I158" s="32"/>
      <c r="J158" s="32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</row>
    <row r="159" spans="9:21">
      <c r="I159" s="32"/>
      <c r="J159" s="32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</row>
    <row r="160" spans="9:21">
      <c r="I160" s="32"/>
      <c r="J160" s="32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</row>
    <row r="161" spans="9:21">
      <c r="I161" s="32"/>
      <c r="J161" s="32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</row>
    <row r="162" spans="9:21">
      <c r="I162" s="32"/>
      <c r="J162" s="32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</row>
    <row r="163" spans="9:21">
      <c r="I163" s="32"/>
      <c r="J163" s="32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</row>
    <row r="164" spans="9:21">
      <c r="I164" s="32"/>
      <c r="J164" s="32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</row>
    <row r="165" spans="9:21">
      <c r="I165" s="32"/>
      <c r="J165" s="32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</row>
    <row r="166" spans="9:21">
      <c r="I166" s="32"/>
      <c r="J166" s="32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</row>
    <row r="167" spans="9:21">
      <c r="I167" s="32"/>
      <c r="J167" s="32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</row>
    <row r="168" spans="9:21">
      <c r="I168" s="32"/>
      <c r="J168" s="32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</row>
    <row r="169" spans="9:21">
      <c r="I169" s="32"/>
      <c r="J169" s="32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</row>
    <row r="170" spans="9:21">
      <c r="I170" s="32"/>
      <c r="J170" s="32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</row>
    <row r="171" spans="9:21">
      <c r="I171" s="32"/>
      <c r="J171" s="32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</row>
    <row r="172" spans="9:21">
      <c r="I172" s="32"/>
      <c r="J172" s="32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</row>
    <row r="173" spans="9:21">
      <c r="I173" s="32"/>
      <c r="J173" s="32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</row>
    <row r="174" spans="9:21">
      <c r="I174" s="32"/>
      <c r="J174" s="32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</row>
    <row r="175" spans="9:21">
      <c r="I175" s="32"/>
      <c r="J175" s="32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</row>
    <row r="176" spans="9:21">
      <c r="I176" s="32"/>
      <c r="J176" s="32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</row>
    <row r="177" spans="9:21">
      <c r="I177" s="32"/>
      <c r="J177" s="32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</row>
    <row r="178" spans="9:21">
      <c r="I178" s="32"/>
      <c r="J178" s="32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</row>
    <row r="179" spans="9:21">
      <c r="I179" s="32"/>
      <c r="J179" s="32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</row>
    <row r="180" spans="9:21">
      <c r="I180" s="32"/>
      <c r="J180" s="32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</row>
    <row r="181" spans="9:21">
      <c r="I181" s="32"/>
      <c r="J181" s="32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</row>
    <row r="182" spans="9:21">
      <c r="I182" s="32"/>
      <c r="J182" s="32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</row>
    <row r="183" spans="9:21">
      <c r="I183" s="32"/>
      <c r="J183" s="32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</row>
    <row r="184" spans="9:21">
      <c r="I184" s="32"/>
      <c r="J184" s="32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</row>
    <row r="185" spans="9:21">
      <c r="I185" s="32"/>
      <c r="J185" s="32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</row>
    <row r="186" spans="9:21">
      <c r="I186" s="32"/>
      <c r="J186" s="32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</row>
    <row r="187" spans="9:21">
      <c r="I187" s="32"/>
      <c r="J187" s="32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</row>
    <row r="188" spans="9:21">
      <c r="I188" s="32"/>
      <c r="J188" s="32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</row>
    <row r="189" spans="9:21">
      <c r="I189" s="32"/>
      <c r="J189" s="32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</row>
    <row r="190" spans="9:21">
      <c r="I190" s="32"/>
      <c r="J190" s="32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</row>
    <row r="191" spans="9:21">
      <c r="I191" s="32"/>
      <c r="J191" s="32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</row>
    <row r="192" spans="9:21">
      <c r="I192" s="32"/>
      <c r="J192" s="32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</row>
    <row r="193" spans="9:21">
      <c r="I193" s="32"/>
      <c r="J193" s="32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</row>
    <row r="194" spans="9:21">
      <c r="I194" s="32"/>
      <c r="J194" s="32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</row>
    <row r="195" spans="9:21">
      <c r="I195" s="32"/>
      <c r="J195" s="32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</row>
    <row r="196" spans="9:21">
      <c r="I196" s="32"/>
      <c r="J196" s="32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</row>
    <row r="197" spans="9:21">
      <c r="I197" s="32"/>
      <c r="J197" s="32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</row>
    <row r="198" spans="9:21">
      <c r="I198" s="32"/>
      <c r="J198" s="32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</row>
    <row r="199" spans="9:21">
      <c r="I199" s="32"/>
      <c r="J199" s="32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</row>
    <row r="200" spans="9:21">
      <c r="I200" s="32"/>
      <c r="J200" s="32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</row>
    <row r="201" spans="9:21">
      <c r="I201" s="32"/>
      <c r="J201" s="32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</row>
    <row r="202" spans="9:21">
      <c r="I202" s="32"/>
      <c r="J202" s="32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</row>
    <row r="203" spans="9:21">
      <c r="I203" s="32"/>
      <c r="J203" s="32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</row>
    <row r="204" spans="9:21">
      <c r="I204" s="32"/>
      <c r="J204" s="32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</row>
    <row r="205" spans="9:21">
      <c r="I205" s="32"/>
      <c r="J205" s="32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</row>
    <row r="206" spans="9:21">
      <c r="I206" s="32"/>
      <c r="J206" s="32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</row>
    <row r="207" spans="9:21">
      <c r="I207" s="32"/>
      <c r="J207" s="32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</row>
    <row r="208" spans="9:21">
      <c r="I208" s="32"/>
      <c r="J208" s="32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</row>
    <row r="209" spans="9:21">
      <c r="I209" s="32"/>
      <c r="J209" s="32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</row>
    <row r="210" spans="9:21">
      <c r="I210" s="32"/>
      <c r="J210" s="32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</row>
    <row r="211" spans="9:21">
      <c r="I211" s="32"/>
      <c r="J211" s="32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</row>
    <row r="212" spans="9:21">
      <c r="I212" s="32"/>
      <c r="J212" s="32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</row>
    <row r="213" spans="9:21">
      <c r="I213" s="32"/>
      <c r="J213" s="32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</row>
    <row r="214" spans="9:21">
      <c r="I214" s="32"/>
      <c r="J214" s="32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</row>
    <row r="215" spans="9:21">
      <c r="I215" s="32"/>
      <c r="J215" s="32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</row>
    <row r="216" spans="9:21">
      <c r="I216" s="32"/>
      <c r="J216" s="32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</row>
    <row r="217" spans="9:21">
      <c r="I217" s="32"/>
      <c r="J217" s="32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</row>
    <row r="218" spans="9:21">
      <c r="I218" s="32"/>
      <c r="J218" s="32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</row>
    <row r="219" spans="9:21">
      <c r="I219" s="32"/>
      <c r="J219" s="32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</row>
    <row r="220" spans="9:21">
      <c r="I220" s="32"/>
      <c r="J220" s="32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</row>
    <row r="221" spans="9:21">
      <c r="I221" s="32"/>
      <c r="J221" s="32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</row>
    <row r="222" spans="9:21">
      <c r="I222" s="32"/>
      <c r="J222" s="32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</row>
    <row r="223" spans="9:21">
      <c r="I223" s="32"/>
      <c r="J223" s="32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</row>
    <row r="224" spans="9:21">
      <c r="I224" s="32"/>
      <c r="J224" s="32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</row>
    <row r="225" spans="9:21">
      <c r="I225" s="32"/>
      <c r="J225" s="32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</row>
    <row r="226" spans="9:21">
      <c r="I226" s="32"/>
      <c r="J226" s="32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</row>
    <row r="227" spans="9:21">
      <c r="I227" s="32"/>
      <c r="J227" s="32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</row>
    <row r="228" spans="9:21">
      <c r="I228" s="32"/>
      <c r="J228" s="32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</row>
    <row r="229" spans="9:21">
      <c r="I229" s="32"/>
      <c r="J229" s="32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</row>
    <row r="230" spans="9:21">
      <c r="I230" s="32"/>
      <c r="J230" s="32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</row>
    <row r="231" spans="9:21">
      <c r="I231" s="32"/>
      <c r="J231" s="32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</row>
    <row r="232" spans="9:21">
      <c r="I232" s="32"/>
      <c r="J232" s="32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</row>
    <row r="233" spans="9:21">
      <c r="I233" s="32"/>
      <c r="J233" s="32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</row>
    <row r="234" spans="9:21">
      <c r="I234" s="32"/>
      <c r="J234" s="32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</row>
    <row r="235" spans="9:21">
      <c r="I235" s="32"/>
      <c r="J235" s="32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</row>
    <row r="236" spans="9:21">
      <c r="I236" s="32"/>
      <c r="J236" s="32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</row>
    <row r="237" spans="9:21">
      <c r="I237" s="32"/>
      <c r="J237" s="32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</row>
    <row r="238" spans="9:21">
      <c r="I238" s="32"/>
      <c r="J238" s="32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</row>
    <row r="239" spans="9:21">
      <c r="I239" s="32"/>
      <c r="J239" s="32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</row>
    <row r="240" spans="9:21">
      <c r="I240" s="32"/>
      <c r="J240" s="32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</row>
    <row r="241" spans="9:21">
      <c r="I241" s="32"/>
      <c r="J241" s="32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</row>
    <row r="242" spans="9:21">
      <c r="I242" s="32"/>
      <c r="J242" s="32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</row>
    <row r="243" spans="9:21">
      <c r="I243" s="32"/>
      <c r="J243" s="32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</row>
    <row r="244" spans="9:21">
      <c r="I244" s="32"/>
      <c r="J244" s="32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</row>
    <row r="245" spans="9:21">
      <c r="I245" s="32"/>
      <c r="J245" s="32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</row>
    <row r="246" spans="9:21">
      <c r="I246" s="32"/>
      <c r="J246" s="32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</row>
    <row r="247" spans="9:21">
      <c r="I247" s="32"/>
      <c r="J247" s="32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</row>
    <row r="248" spans="9:21">
      <c r="I248" s="32"/>
      <c r="J248" s="32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</row>
    <row r="249" spans="9:21">
      <c r="I249" s="32"/>
      <c r="J249" s="32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</row>
    <row r="250" spans="9:21">
      <c r="I250" s="32"/>
      <c r="J250" s="32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</row>
    <row r="251" spans="9:21">
      <c r="I251" s="32"/>
      <c r="J251" s="32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</row>
    <row r="252" spans="9:21">
      <c r="I252" s="32"/>
      <c r="J252" s="32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</row>
    <row r="253" spans="9:21">
      <c r="I253" s="32"/>
      <c r="J253" s="32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</row>
    <row r="254" spans="9:21">
      <c r="I254" s="32"/>
      <c r="J254" s="32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</row>
    <row r="255" spans="9:21">
      <c r="I255" s="32"/>
      <c r="J255" s="32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</row>
    <row r="256" spans="9:21">
      <c r="I256" s="32"/>
      <c r="J256" s="32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</row>
    <row r="257" spans="9:21">
      <c r="I257" s="32"/>
      <c r="J257" s="32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</row>
    <row r="258" spans="9:21">
      <c r="I258" s="32"/>
      <c r="J258" s="32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</row>
    <row r="259" spans="9:21">
      <c r="I259" s="32"/>
      <c r="J259" s="32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</row>
    <row r="260" spans="9:21">
      <c r="I260" s="32"/>
      <c r="J260" s="32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</row>
    <row r="261" spans="9:21">
      <c r="I261" s="32"/>
      <c r="J261" s="32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</row>
    <row r="262" spans="9:21">
      <c r="I262" s="32"/>
      <c r="J262" s="32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</row>
    <row r="263" spans="9:21">
      <c r="I263" s="32"/>
      <c r="J263" s="32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</row>
    <row r="264" spans="9:21">
      <c r="I264" s="32"/>
      <c r="J264" s="32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</row>
    <row r="265" spans="9:21">
      <c r="I265" s="32"/>
      <c r="J265" s="32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</row>
    <row r="266" spans="9:21">
      <c r="I266" s="32"/>
      <c r="J266" s="32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</row>
    <row r="267" spans="9:21">
      <c r="I267" s="32"/>
      <c r="J267" s="32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</row>
    <row r="268" spans="9:21">
      <c r="I268" s="32"/>
      <c r="J268" s="32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</row>
    <row r="269" spans="9:21">
      <c r="I269" s="32"/>
      <c r="J269" s="32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</row>
    <row r="270" spans="9:21">
      <c r="I270" s="32"/>
      <c r="J270" s="32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</row>
    <row r="271" spans="9:21">
      <c r="I271" s="32"/>
      <c r="J271" s="32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</row>
    <row r="272" spans="9:21">
      <c r="I272" s="32"/>
      <c r="J272" s="32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</row>
    <row r="273" spans="9:21">
      <c r="I273" s="32"/>
      <c r="J273" s="32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</row>
    <row r="274" spans="9:21">
      <c r="I274" s="32"/>
      <c r="J274" s="32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</row>
    <row r="275" spans="9:21">
      <c r="I275" s="32"/>
      <c r="J275" s="32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</row>
    <row r="276" spans="9:21">
      <c r="I276" s="32"/>
      <c r="J276" s="32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</row>
    <row r="277" spans="9:21">
      <c r="I277" s="32"/>
      <c r="J277" s="32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</row>
    <row r="278" spans="9:21">
      <c r="I278" s="32"/>
      <c r="J278" s="32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</row>
    <row r="279" spans="9:21">
      <c r="I279" s="32"/>
      <c r="J279" s="32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</row>
    <row r="280" spans="9:21">
      <c r="I280" s="32"/>
      <c r="J280" s="32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</row>
    <row r="281" spans="9:21">
      <c r="I281" s="32"/>
      <c r="J281" s="32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</row>
    <row r="282" spans="9:21">
      <c r="I282" s="32"/>
      <c r="J282" s="32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</row>
    <row r="283" spans="9:21">
      <c r="I283" s="32"/>
      <c r="J283" s="32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</row>
    <row r="284" spans="9:21">
      <c r="I284" s="32"/>
      <c r="J284" s="32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</row>
    <row r="285" spans="9:21">
      <c r="I285" s="32"/>
      <c r="J285" s="32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</row>
    <row r="286" spans="9:21">
      <c r="I286" s="32"/>
      <c r="J286" s="32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</row>
    <row r="287" spans="9:21">
      <c r="I287" s="32"/>
      <c r="J287" s="32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</row>
    <row r="288" spans="9:21">
      <c r="I288" s="32"/>
      <c r="J288" s="32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</row>
    <row r="289" spans="9:21">
      <c r="I289" s="32"/>
      <c r="J289" s="32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</row>
  </sheetData>
  <mergeCells count="4">
    <mergeCell ref="A9:D9"/>
    <mergeCell ref="G11:Q11"/>
    <mergeCell ref="S11:V11"/>
    <mergeCell ref="A8:W8"/>
  </mergeCells>
  <printOptions horizontalCentered="1"/>
  <pageMargins left="0" right="0" top="0.19685039370078741" bottom="0" header="0" footer="0.11811023622047245"/>
  <pageSetup scale="53" orientation="landscape" r:id="rId1"/>
  <headerFooter alignWithMargins="0">
    <oddFooter>&amp;CPágina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PLANTILLA 2015</vt:lpstr>
      <vt:lpstr>'PLANTILLA 2015'!Área_de_impresión</vt:lpstr>
      <vt:lpstr>'PLANTILLA 2015'!PLANTILLA_PARA_REVISION_2001</vt:lpstr>
      <vt:lpstr>'PLANTILLA 2015'!Títulos_a_imprimir</vt:lpstr>
    </vt:vector>
  </TitlesOfParts>
  <Manager>Jefatura de Presupuesto por Programas</Manager>
  <Company>Gobierno de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FORMATOS PPPCE-2006</dc:title>
  <dc:creator>Mtra. J. Gabriela Hernández Glez. Ext.- 33366</dc:creator>
  <cp:lastModifiedBy>Claudia Angelica Velasco Espinoza</cp:lastModifiedBy>
  <cp:lastPrinted>2015-06-23T18:08:25Z</cp:lastPrinted>
  <dcterms:created xsi:type="dcterms:W3CDTF">2002-06-28T20:48:45Z</dcterms:created>
  <dcterms:modified xsi:type="dcterms:W3CDTF">2018-08-07T17:26:41Z</dcterms:modified>
</cp:coreProperties>
</file>