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8275" windowHeight="12315"/>
  </bookViews>
  <sheets>
    <sheet name="PLANTILLA 2015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DGráfico2" hidden="1">'[1]011'!#REF!</definedName>
    <definedName name="_xlnm._FilterDatabase" localSheetId="0" hidden="1">'PLANTILLA 2015'!$I$5:$I$18</definedName>
    <definedName name="a">[2]Hoja1!#REF!</definedName>
    <definedName name="Apoyo" hidden="1">'[3]011'!#REF!</definedName>
    <definedName name="_xlnm.Print_Area" localSheetId="0">'PLANTILLA 2015'!$A$4:$AG$44</definedName>
    <definedName name="BASEDATOS">[4]Hoja1!#REF!</definedName>
    <definedName name="BD">[4]Hoja1!#REF!</definedName>
    <definedName name="calenda" hidden="1">'[3]011'!#REF!</definedName>
    <definedName name="d" hidden="1">'[3]011'!#REF!</definedName>
    <definedName name="EXPEDIENTESDJR">[4]Hoja1!#REF!</definedName>
    <definedName name="i" hidden="1">'[3]011'!#REF!</definedName>
    <definedName name="PLANTILLA_PARA_REVISION_2001" localSheetId="0">'PLANTILLA 2015'!$C$12:$O$12</definedName>
    <definedName name="PROGRAMA">[4]Hoja1!#REF!</definedName>
    <definedName name="SegmentaciónDeDatos_NI_PA_DONDE_HACERNOS">#N/A</definedName>
    <definedName name="SegmentaciónDeDatos_PROPUESTA_PRIORIDAD__1">#N/A</definedName>
    <definedName name="SegmentaciónDeDatos_PROPUESTA_PRIORIDAD__2">#N/A</definedName>
    <definedName name="SegmentaciónDeDatos_PROPUESTA_PRIORIDAD__3">#N/A</definedName>
    <definedName name="SegmentaciónDeDatos_STATUS1">#N/A</definedName>
    <definedName name="SegmentaciónDeDatos_UP1">#N/A</definedName>
    <definedName name="_xlnm.Print_Titles" localSheetId="0">'PLANTILLA 2015'!$12:$12</definedName>
    <definedName name="Transferencia" hidden="1">'[3]011'!#REF!</definedName>
  </definedNames>
  <calcPr calcId="125725"/>
</workbook>
</file>

<file path=xl/calcChain.xml><?xml version="1.0" encoding="utf-8"?>
<calcChain xmlns="http://schemas.openxmlformats.org/spreadsheetml/2006/main">
  <c r="S44" i="1"/>
  <c r="A44"/>
  <c r="Y43"/>
  <c r="Y44" s="1"/>
  <c r="X43"/>
  <c r="X44" s="1"/>
  <c r="Q43"/>
  <c r="V42"/>
  <c r="P42"/>
  <c r="Z42" s="1"/>
  <c r="AB42" s="1"/>
  <c r="AG41"/>
  <c r="Z41"/>
  <c r="AB41" s="1"/>
  <c r="V41"/>
  <c r="R41"/>
  <c r="P41"/>
  <c r="V40"/>
  <c r="P40"/>
  <c r="AG40" s="1"/>
  <c r="V39"/>
  <c r="P39"/>
  <c r="R39" s="1"/>
  <c r="V38"/>
  <c r="P38"/>
  <c r="Z38" s="1"/>
  <c r="AB38" s="1"/>
  <c r="V37"/>
  <c r="R37"/>
  <c r="P37"/>
  <c r="AG37" s="1"/>
  <c r="V36"/>
  <c r="P36"/>
  <c r="AG36" s="1"/>
  <c r="V35"/>
  <c r="P35"/>
  <c r="R35" s="1"/>
  <c r="V34"/>
  <c r="P34"/>
  <c r="Z34" s="1"/>
  <c r="AB34" s="1"/>
  <c r="V33"/>
  <c r="P33"/>
  <c r="AG33" s="1"/>
  <c r="V32"/>
  <c r="P32"/>
  <c r="Z32" s="1"/>
  <c r="AB32" s="1"/>
  <c r="V31"/>
  <c r="P31"/>
  <c r="AG31" s="1"/>
  <c r="V30"/>
  <c r="P30"/>
  <c r="Z30" s="1"/>
  <c r="AB30" s="1"/>
  <c r="V29"/>
  <c r="P29"/>
  <c r="Z29" s="1"/>
  <c r="AB29" s="1"/>
  <c r="V28"/>
  <c r="P28"/>
  <c r="Z28" s="1"/>
  <c r="AB28" s="1"/>
  <c r="V27"/>
  <c r="P27"/>
  <c r="R27" s="1"/>
  <c r="V26"/>
  <c r="P26"/>
  <c r="Z26" s="1"/>
  <c r="AB26" s="1"/>
  <c r="V25"/>
  <c r="P25"/>
  <c r="Z25" s="1"/>
  <c r="AB25" s="1"/>
  <c r="V24"/>
  <c r="P24"/>
  <c r="Z24" s="1"/>
  <c r="AB24" s="1"/>
  <c r="V23"/>
  <c r="P23"/>
  <c r="R23" s="1"/>
  <c r="V22"/>
  <c r="P22"/>
  <c r="Z22" s="1"/>
  <c r="AB22" s="1"/>
  <c r="V21"/>
  <c r="P21"/>
  <c r="AG21" s="1"/>
  <c r="V20"/>
  <c r="P20"/>
  <c r="Z20" s="1"/>
  <c r="AB20" s="1"/>
  <c r="V19"/>
  <c r="R19"/>
  <c r="P19"/>
  <c r="Z19" s="1"/>
  <c r="V18"/>
  <c r="P18"/>
  <c r="Z18" s="1"/>
  <c r="AB18" s="1"/>
  <c r="V17"/>
  <c r="P17"/>
  <c r="Z17" s="1"/>
  <c r="AB17" s="1"/>
  <c r="V16"/>
  <c r="P16"/>
  <c r="AG16" s="1"/>
  <c r="V15"/>
  <c r="P15"/>
  <c r="AG15" s="1"/>
  <c r="Z14"/>
  <c r="AB14" s="1"/>
  <c r="V14"/>
  <c r="P14"/>
  <c r="R14" s="1"/>
  <c r="W13"/>
  <c r="V13"/>
  <c r="P13"/>
  <c r="AE19" l="1"/>
  <c r="AG14"/>
  <c r="R18"/>
  <c r="AG24"/>
  <c r="AG23"/>
  <c r="Z37"/>
  <c r="AB37" s="1"/>
  <c r="R26"/>
  <c r="AD26" s="1"/>
  <c r="Z23"/>
  <c r="U23" s="1"/>
  <c r="AG34"/>
  <c r="P43"/>
  <c r="P44" s="1"/>
  <c r="V43"/>
  <c r="V44" s="1"/>
  <c r="AG27"/>
  <c r="W37"/>
  <c r="Z27"/>
  <c r="AE27" s="1"/>
  <c r="R30"/>
  <c r="R34"/>
  <c r="AD34" s="1"/>
  <c r="AG19"/>
  <c r="AG22"/>
  <c r="Z31"/>
  <c r="AB31" s="1"/>
  <c r="AG35"/>
  <c r="W41"/>
  <c r="R22"/>
  <c r="AD22" s="1"/>
  <c r="AG26"/>
  <c r="AG28"/>
  <c r="R31"/>
  <c r="AG32"/>
  <c r="AC19"/>
  <c r="AG30"/>
  <c r="AG18"/>
  <c r="AG39"/>
  <c r="W35"/>
  <c r="AC14"/>
  <c r="T14"/>
  <c r="AE14"/>
  <c r="U14"/>
  <c r="W14"/>
  <c r="AD14"/>
  <c r="AC30"/>
  <c r="AG20"/>
  <c r="AE23"/>
  <c r="AG17"/>
  <c r="AG25"/>
  <c r="AC27"/>
  <c r="AG29"/>
  <c r="AG13"/>
  <c r="R15"/>
  <c r="AB19"/>
  <c r="AB23"/>
  <c r="R36"/>
  <c r="U37"/>
  <c r="AE37"/>
  <c r="AG38"/>
  <c r="R40"/>
  <c r="U41"/>
  <c r="AE41"/>
  <c r="AG42"/>
  <c r="AC18"/>
  <c r="AC22"/>
  <c r="U27"/>
  <c r="R16"/>
  <c r="W18"/>
  <c r="R20"/>
  <c r="R24"/>
  <c r="W26"/>
  <c r="R28"/>
  <c r="W30"/>
  <c r="R32"/>
  <c r="Z35"/>
  <c r="AB35" s="1"/>
  <c r="Z39"/>
  <c r="AB39" s="1"/>
  <c r="T41"/>
  <c r="AA41" s="1"/>
  <c r="AF41" s="1"/>
  <c r="AD41"/>
  <c r="AC41"/>
  <c r="R13"/>
  <c r="Z15"/>
  <c r="AB15" s="1"/>
  <c r="R17"/>
  <c r="U18"/>
  <c r="AE18"/>
  <c r="W19"/>
  <c r="R21"/>
  <c r="R25"/>
  <c r="AE26"/>
  <c r="W27"/>
  <c r="R29"/>
  <c r="U30"/>
  <c r="AE30"/>
  <c r="R33"/>
  <c r="U34"/>
  <c r="Z36"/>
  <c r="AB36" s="1"/>
  <c r="Z40"/>
  <c r="AB40" s="1"/>
  <c r="Z16"/>
  <c r="AB16" s="1"/>
  <c r="T18"/>
  <c r="AD18"/>
  <c r="T30"/>
  <c r="AA30" s="1"/>
  <c r="AD30"/>
  <c r="R38"/>
  <c r="R42"/>
  <c r="U19"/>
  <c r="Z13"/>
  <c r="T19"/>
  <c r="AD19"/>
  <c r="Z21"/>
  <c r="AB21" s="1"/>
  <c r="T23"/>
  <c r="T31"/>
  <c r="Z33"/>
  <c r="AB33" s="1"/>
  <c r="AA37" l="1"/>
  <c r="AF37" s="1"/>
  <c r="AC37"/>
  <c r="AE22"/>
  <c r="AC34"/>
  <c r="T22"/>
  <c r="AA22" s="1"/>
  <c r="AF22" s="1"/>
  <c r="W23"/>
  <c r="T37"/>
  <c r="AC26"/>
  <c r="AA14"/>
  <c r="AF14" s="1"/>
  <c r="W31"/>
  <c r="W22"/>
  <c r="AA23"/>
  <c r="T27"/>
  <c r="AA27" s="1"/>
  <c r="U22"/>
  <c r="AD37"/>
  <c r="T26"/>
  <c r="AA26" s="1"/>
  <c r="AF26" s="1"/>
  <c r="AE34"/>
  <c r="U26"/>
  <c r="AB27"/>
  <c r="AC23"/>
  <c r="W39"/>
  <c r="T34"/>
  <c r="W34"/>
  <c r="AA18"/>
  <c r="AF18" s="1"/>
  <c r="AD27"/>
  <c r="AF27" s="1"/>
  <c r="AF30"/>
  <c r="AC31"/>
  <c r="U35"/>
  <c r="AD23"/>
  <c r="AC39"/>
  <c r="AD31"/>
  <c r="U31"/>
  <c r="AA31" s="1"/>
  <c r="AE31"/>
  <c r="U39"/>
  <c r="U32"/>
  <c r="W32"/>
  <c r="AC32"/>
  <c r="AD32"/>
  <c r="T32"/>
  <c r="AE32"/>
  <c r="Z43"/>
  <c r="AB13"/>
  <c r="AB43" s="1"/>
  <c r="AB44" s="1"/>
  <c r="T13"/>
  <c r="R43"/>
  <c r="R44" s="1"/>
  <c r="AC13"/>
  <c r="AD13"/>
  <c r="U13"/>
  <c r="AE24"/>
  <c r="W24"/>
  <c r="AC24"/>
  <c r="AD24"/>
  <c r="T24"/>
  <c r="U24"/>
  <c r="AD35"/>
  <c r="AD39"/>
  <c r="AC35"/>
  <c r="AC38"/>
  <c r="AD38"/>
  <c r="T38"/>
  <c r="AE38"/>
  <c r="U38"/>
  <c r="W38"/>
  <c r="W33"/>
  <c r="AC33"/>
  <c r="T33"/>
  <c r="AD33"/>
  <c r="AE33"/>
  <c r="U33"/>
  <c r="AC25"/>
  <c r="T25"/>
  <c r="AD25"/>
  <c r="AE25"/>
  <c r="U25"/>
  <c r="W25"/>
  <c r="AC17"/>
  <c r="AD17"/>
  <c r="T17"/>
  <c r="AE17"/>
  <c r="U17"/>
  <c r="W17"/>
  <c r="AD36"/>
  <c r="T36"/>
  <c r="AE36"/>
  <c r="U36"/>
  <c r="W36"/>
  <c r="AC36"/>
  <c r="AA19"/>
  <c r="AF19" s="1"/>
  <c r="T39"/>
  <c r="T35"/>
  <c r="AC29"/>
  <c r="T29"/>
  <c r="AD29"/>
  <c r="AE29"/>
  <c r="U29"/>
  <c r="W29"/>
  <c r="AE20"/>
  <c r="W20"/>
  <c r="AC20"/>
  <c r="AD20"/>
  <c r="T20"/>
  <c r="U20"/>
  <c r="AE28"/>
  <c r="W28"/>
  <c r="AC28"/>
  <c r="AD28"/>
  <c r="T28"/>
  <c r="U28"/>
  <c r="AF23"/>
  <c r="AE39"/>
  <c r="AE35"/>
  <c r="AC42"/>
  <c r="AD42"/>
  <c r="T42"/>
  <c r="AE42"/>
  <c r="U42"/>
  <c r="W42"/>
  <c r="AE16"/>
  <c r="AC16"/>
  <c r="W16"/>
  <c r="AD16"/>
  <c r="T16"/>
  <c r="U16"/>
  <c r="AC21"/>
  <c r="AD21"/>
  <c r="T21"/>
  <c r="AE21"/>
  <c r="U21"/>
  <c r="W21"/>
  <c r="AD40"/>
  <c r="T40"/>
  <c r="AE40"/>
  <c r="U40"/>
  <c r="W40"/>
  <c r="AC40"/>
  <c r="T15"/>
  <c r="AE15"/>
  <c r="U15"/>
  <c r="W15"/>
  <c r="AC15"/>
  <c r="AD15"/>
  <c r="AA39" l="1"/>
  <c r="AF39" s="1"/>
  <c r="AF31"/>
  <c r="AA35"/>
  <c r="AF35" s="1"/>
  <c r="AA40"/>
  <c r="AF40" s="1"/>
  <c r="AA28"/>
  <c r="AF28" s="1"/>
  <c r="AA25"/>
  <c r="AF25" s="1"/>
  <c r="AA32"/>
  <c r="AF32" s="1"/>
  <c r="AA36"/>
  <c r="AF36" s="1"/>
  <c r="AA24"/>
  <c r="AF24" s="1"/>
  <c r="AA20"/>
  <c r="AF20" s="1"/>
  <c r="AA15"/>
  <c r="AF15" s="1"/>
  <c r="AA29"/>
  <c r="AF29" s="1"/>
  <c r="AA38"/>
  <c r="AF38" s="1"/>
  <c r="AA17"/>
  <c r="AF17" s="1"/>
  <c r="AE43"/>
  <c r="AE44" s="1"/>
  <c r="AA21"/>
  <c r="AF21" s="1"/>
  <c r="AA33"/>
  <c r="AF33" s="1"/>
  <c r="AA16"/>
  <c r="AF16" s="1"/>
  <c r="AA42"/>
  <c r="AF42" s="1"/>
  <c r="AA34"/>
  <c r="AF34" s="1"/>
  <c r="W43"/>
  <c r="W44" s="1"/>
  <c r="T43"/>
  <c r="T44" s="1"/>
  <c r="U43"/>
  <c r="U44" s="1"/>
  <c r="AA13"/>
  <c r="AC43"/>
  <c r="AC44" s="1"/>
  <c r="AD43"/>
  <c r="AD44" s="1"/>
  <c r="AF44" l="1"/>
  <c r="AA43"/>
  <c r="AF13"/>
  <c r="AF43" s="1"/>
</calcChain>
</file>

<file path=xl/comments1.xml><?xml version="1.0" encoding="utf-8"?>
<comments xmlns="http://schemas.openxmlformats.org/spreadsheetml/2006/main">
  <authors>
    <author>Consejo Estatal de Promoción Económica</author>
  </authors>
  <commentList>
    <comment ref="W13" authorId="0">
      <text>
        <r>
          <rPr>
            <b/>
            <sz val="10"/>
            <color indexed="81"/>
            <rFont val="Tahoma"/>
            <family val="2"/>
          </rPr>
          <t>ESTA CANTIDAD ES
EL TOPE MENSUAL BIMESTRAL ES
$1,898.70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<sst xmlns="http://schemas.openxmlformats.org/spreadsheetml/2006/main" count="309" uniqueCount="132">
  <si>
    <t>PLANTILLA DE PERSONAL 2015</t>
  </si>
  <si>
    <r>
      <t xml:space="preserve">ORGANISMO:  </t>
    </r>
    <r>
      <rPr>
        <b/>
        <sz val="18"/>
        <rFont val="Arial"/>
        <family val="2"/>
      </rPr>
      <t>CONSEJO ESTATAL DE PROMOCIÓN ECONÓMICA</t>
    </r>
  </si>
  <si>
    <t>COSTO MENSUAL</t>
  </si>
  <si>
    <t>COSTO ANUAL</t>
  </si>
  <si>
    <t>No. Cons</t>
  </si>
  <si>
    <t>UP</t>
  </si>
  <si>
    <t>ORG</t>
  </si>
  <si>
    <t>PG</t>
  </si>
  <si>
    <t>PC</t>
  </si>
  <si>
    <t>UEG</t>
  </si>
  <si>
    <t>NOMBRE DEL BENEFICIARIO</t>
  </si>
  <si>
    <t>R.F.C.</t>
  </si>
  <si>
    <t>F-ING</t>
  </si>
  <si>
    <t>NIVEL</t>
  </si>
  <si>
    <t>JOR</t>
  </si>
  <si>
    <t>CATEG</t>
  </si>
  <si>
    <t>CATEGORÍA</t>
  </si>
  <si>
    <t>ZONA
ECONÓMICA</t>
  </si>
  <si>
    <t>ADSCRIPCIÓN</t>
  </si>
  <si>
    <t>SUELDO
1131</t>
  </si>
  <si>
    <t>SOBRE
SUELDO
1131</t>
  </si>
  <si>
    <t>SUMA 
1131</t>
  </si>
  <si>
    <t>QUINQUENIO ANUAL
1311</t>
  </si>
  <si>
    <t>CUOTAS A
PENSIONES
1431</t>
  </si>
  <si>
    <t>CUOTAS PARA
LA VIVIENDA
1421</t>
  </si>
  <si>
    <t>CUOTAS 
AL IMSS
1412</t>
  </si>
  <si>
    <t>CUOTAS
AL S.A.R.
1432</t>
  </si>
  <si>
    <t>DESPENSA
1712</t>
  </si>
  <si>
    <t>PASAJES
1713</t>
  </si>
  <si>
    <t>IMPACTO AL
SALARIO
1801</t>
  </si>
  <si>
    <t>TOTAL MENSUAL</t>
  </si>
  <si>
    <t>IMPACTO AL
SALARIO
1611</t>
  </si>
  <si>
    <t>AGUINALDO     1322</t>
  </si>
  <si>
    <t>PRIMA VACACIONAL   1321</t>
  </si>
  <si>
    <t>ESTIMULO AL SERV.PÚBLICO   1715</t>
  </si>
  <si>
    <t>TOTAL ANUAL</t>
  </si>
  <si>
    <t>20 DIAS POR AÑO</t>
  </si>
  <si>
    <t>07</t>
  </si>
  <si>
    <t>01</t>
  </si>
  <si>
    <t>00190</t>
  </si>
  <si>
    <t>REYNOSO VILCHES LUIS ENRIQUE</t>
  </si>
  <si>
    <t>REVL610225RZA</t>
  </si>
  <si>
    <t>DIR. GRAL.</t>
  </si>
  <si>
    <t>JUÁREZ MARTÍNEZ DAVID</t>
  </si>
  <si>
    <t>JUMD661219RI3</t>
  </si>
  <si>
    <t>COORD. GRAL.</t>
  </si>
  <si>
    <t>DIRECCIÓN GENERAL</t>
  </si>
  <si>
    <t>ALEJANDRO PALMA SUGEI MIZOKI</t>
  </si>
  <si>
    <t>AEPS790923AM7</t>
  </si>
  <si>
    <t>COORD.GRAL.DE ANÁLISIS ECONÓMICO Y COMPETITIVIDAD</t>
  </si>
  <si>
    <t>VARGAS MADRID MARISELA</t>
  </si>
  <si>
    <t>VAMM6907018F8</t>
  </si>
  <si>
    <t>DIR.EVALUAC.Y SEG.</t>
  </si>
  <si>
    <t>COORDINACIÓN GENERAL</t>
  </si>
  <si>
    <t>GUADALAJARA GUTIÉRREZ NORMA</t>
  </si>
  <si>
    <t>GUGN750107SF3</t>
  </si>
  <si>
    <t>DIR.REGIONAL</t>
  </si>
  <si>
    <t>HERRERA ALCALÁ ÁNGEL</t>
  </si>
  <si>
    <t>HEAA780414MY6</t>
  </si>
  <si>
    <t>DIR. PARQUES INDUSTR.</t>
  </si>
  <si>
    <t>QUIRARTE CHOLICO HÉCTOR HUGO</t>
  </si>
  <si>
    <t>QUCH770903IT7</t>
  </si>
  <si>
    <t>DIR. ADMVO.</t>
  </si>
  <si>
    <t>ELIZALDE LOZANO LUIS ARMANDO</t>
  </si>
  <si>
    <t>EILL471118PVA</t>
  </si>
  <si>
    <t>DIR. ANALISIS</t>
  </si>
  <si>
    <t>CULEBRO PÉREZ JOSE JUAN</t>
  </si>
  <si>
    <t>CUPJ750512226</t>
  </si>
  <si>
    <t>DIR. JURIDICO</t>
  </si>
  <si>
    <t>CASTELLANOS REUL CLAUDIA</t>
  </si>
  <si>
    <t>CARC7811085EA</t>
  </si>
  <si>
    <t>COORDIN. REGIONAL</t>
  </si>
  <si>
    <t>DIRECCIÓN DE EVALUACIÓN Y SEGUIMIENTO</t>
  </si>
  <si>
    <t>HIRATA VÁZQUEZ GABRIELA TAEKO</t>
  </si>
  <si>
    <t>HIVG880518TW1</t>
  </si>
  <si>
    <t>PÉREZ FRANCO EDUARDO</t>
  </si>
  <si>
    <t>PEFE820512II2</t>
  </si>
  <si>
    <t>SERNA ORTIZ MARIO ALBERTO</t>
  </si>
  <si>
    <t>SEOM540103T15</t>
  </si>
  <si>
    <t>BARRAZA ZATARAIN IRIS JOSYANE</t>
  </si>
  <si>
    <t>BAZI780704AG3</t>
  </si>
  <si>
    <t>RODRIGUEZ CARDENAS ADRIAN</t>
  </si>
  <si>
    <t>ROCA800801F61</t>
  </si>
  <si>
    <t>ASISTENTE JURIDICO</t>
  </si>
  <si>
    <t>DIRECCIÓN JURÍDICA</t>
  </si>
  <si>
    <t>FERNANDEZ GUERRERO MARIA AURORA</t>
  </si>
  <si>
    <t>FEGA7701059C1</t>
  </si>
  <si>
    <t>VALENCIA CASTRO LIDIA CATALINA</t>
  </si>
  <si>
    <t>VACL650106N31</t>
  </si>
  <si>
    <t>MORALES CIRO JULIO</t>
  </si>
  <si>
    <t>MOCJ720107622</t>
  </si>
  <si>
    <t>ASISTENTE EVAL.Y SEG.</t>
  </si>
  <si>
    <t>PADILLA BAUTISTA MA. Del CARMEN</t>
  </si>
  <si>
    <t>PABC680120AW6</t>
  </si>
  <si>
    <t>GAMBOA RODRIGUEZ MARIA DEL CARMEN</t>
  </si>
  <si>
    <t>GARC710610AD0</t>
  </si>
  <si>
    <t>ASISTENTE ANALISIS</t>
  </si>
  <si>
    <t>DIRECCIÓN DE ANALISIS</t>
  </si>
  <si>
    <t>RODRIGUEZ GOMEZ GILBERTO JESUS</t>
  </si>
  <si>
    <t>ROGG7106118A6</t>
  </si>
  <si>
    <t>VELASCO ESPINOZA CLAUDIA ANGELICA</t>
  </si>
  <si>
    <t>VEEC720502M55</t>
  </si>
  <si>
    <t>CONTADOR A</t>
  </si>
  <si>
    <t>DIRECCIÓN ADMINISTRATIVA</t>
  </si>
  <si>
    <t>NUÑEZ PRECIADO CARLOS ISRAEL</t>
  </si>
  <si>
    <t>NUPC790203P9A</t>
  </si>
  <si>
    <t>ENCARGADO SISTEMAS</t>
  </si>
  <si>
    <t>GONZALEZ ACEVES JOSEFINA</t>
  </si>
  <si>
    <t>GOAJ6808045A9</t>
  </si>
  <si>
    <t>ASISTENTE DIR. GRAL.</t>
  </si>
  <si>
    <t>TECALCO SANCHEZ VIANEY</t>
  </si>
  <si>
    <t>TESV750406MVZ</t>
  </si>
  <si>
    <t>AUXILIAR ADMVO.</t>
  </si>
  <si>
    <t>RAMÍREZ SALAZAR SERGIO ALBERTO</t>
  </si>
  <si>
    <t>RASS771008C94</t>
  </si>
  <si>
    <t>CASILLAS FLORES JOSE LUIS</t>
  </si>
  <si>
    <t>CAFL5101111X6</t>
  </si>
  <si>
    <t>AUXILIAR JURIDICO</t>
  </si>
  <si>
    <t>DE ALBA GARCIA DE ALBA ADRIANA ABIGAIL</t>
  </si>
  <si>
    <t>AAGA710310J56</t>
  </si>
  <si>
    <t>RECEPCION</t>
  </si>
  <si>
    <t>CORNEJO ARANA GAD ISRAEL</t>
  </si>
  <si>
    <t>COAG801117E48</t>
  </si>
  <si>
    <t>CHOFER MENSAJERO</t>
  </si>
  <si>
    <t>HERNANDEZ DIAZ ROSA PATRICIA</t>
  </si>
  <si>
    <t>HEDR811114157</t>
  </si>
  <si>
    <t>INTENDENCIA</t>
  </si>
  <si>
    <t>TOTAL DE PLAZAS</t>
  </si>
  <si>
    <t>Total de plazas personal de confianza</t>
  </si>
  <si>
    <t>Total de plazas personal de base</t>
  </si>
  <si>
    <t>CONFIANZA</t>
  </si>
  <si>
    <t>BASE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</si>
</sst>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000_ ;[Red]\-#,##0.000000\ "/>
    <numFmt numFmtId="166" formatCode="_-[$€-2]* #,##0.00_-;\-[$€-2]* #,##0.00_-;_-[$€-2]* &quot;-&quot;??_-"/>
    <numFmt numFmtId="167" formatCode="[$-80A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1"/>
    </font>
    <font>
      <sz val="1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54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10" fillId="0" borderId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4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left"/>
    </xf>
    <xf numFmtId="44" fontId="3" fillId="0" borderId="0" xfId="1" applyFont="1" applyAlignment="1">
      <alignment horizontal="center" vertical="center"/>
    </xf>
    <xf numFmtId="44" fontId="3" fillId="0" borderId="0" xfId="1" applyFont="1" applyAlignment="1">
      <alignment vertical="center"/>
    </xf>
    <xf numFmtId="0" fontId="5" fillId="2" borderId="4" xfId="2" applyNumberFormat="1" applyFont="1" applyFill="1" applyBorder="1" applyAlignment="1">
      <alignment horizontal="center" vertical="center" wrapText="1"/>
    </xf>
    <xf numFmtId="4" fontId="5" fillId="2" borderId="5" xfId="2" applyNumberFormat="1" applyFont="1" applyFill="1" applyBorder="1" applyAlignment="1">
      <alignment horizontal="center" vertical="center" wrapText="1"/>
    </xf>
    <xf numFmtId="4" fontId="5" fillId="2" borderId="4" xfId="2" applyNumberFormat="1" applyFont="1" applyFill="1" applyBorder="1" applyAlignment="1">
      <alignment horizontal="center" vertical="center" wrapText="1"/>
    </xf>
    <xf numFmtId="4" fontId="8" fillId="3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3" fillId="0" borderId="6" xfId="2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9" xfId="3" applyBorder="1"/>
    <xf numFmtId="0" fontId="9" fillId="0" borderId="7" xfId="3" applyFont="1" applyFill="1" applyBorder="1" applyAlignment="1">
      <alignment horizontal="left"/>
    </xf>
    <xf numFmtId="15" fontId="9" fillId="0" borderId="10" xfId="4" applyNumberFormat="1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left"/>
    </xf>
    <xf numFmtId="0" fontId="3" fillId="0" borderId="10" xfId="3" applyBorder="1" applyAlignment="1">
      <alignment horizontal="center" vertical="center" wrapText="1"/>
    </xf>
    <xf numFmtId="44" fontId="3" fillId="0" borderId="10" xfId="5" applyFont="1" applyFill="1" applyBorder="1" applyAlignment="1">
      <alignment vertical="center"/>
    </xf>
    <xf numFmtId="4" fontId="3" fillId="0" borderId="10" xfId="2" applyNumberFormat="1" applyFont="1" applyFill="1" applyBorder="1" applyAlignment="1">
      <alignment vertical="center"/>
    </xf>
    <xf numFmtId="4" fontId="3" fillId="0" borderId="10" xfId="2" applyNumberFormat="1" applyFont="1" applyFill="1" applyBorder="1" applyAlignment="1">
      <alignment horizontal="center" vertical="center"/>
    </xf>
    <xf numFmtId="164" fontId="3" fillId="0" borderId="10" xfId="2" applyNumberFormat="1" applyFont="1" applyFill="1" applyBorder="1" applyAlignment="1">
      <alignment vertical="center"/>
    </xf>
    <xf numFmtId="44" fontId="3" fillId="0" borderId="10" xfId="2" applyNumberFormat="1" applyFont="1" applyFill="1" applyBorder="1" applyAlignment="1">
      <alignment vertical="center"/>
    </xf>
    <xf numFmtId="44" fontId="3" fillId="0" borderId="7" xfId="2" applyNumberFormat="1" applyFont="1" applyFill="1" applyBorder="1" applyAlignment="1">
      <alignment vertical="center"/>
    </xf>
    <xf numFmtId="164" fontId="3" fillId="0" borderId="11" xfId="2" applyNumberFormat="1" applyFont="1" applyFill="1" applyBorder="1" applyAlignment="1">
      <alignment vertical="center"/>
    </xf>
    <xf numFmtId="164" fontId="3" fillId="0" borderId="0" xfId="2" applyNumberFormat="1" applyFont="1" applyFill="1" applyAlignment="1">
      <alignment vertical="center" wrapText="1"/>
    </xf>
    <xf numFmtId="164" fontId="3" fillId="0" borderId="0" xfId="2" applyNumberFormat="1" applyFont="1" applyFill="1" applyAlignment="1">
      <alignment vertical="center"/>
    </xf>
    <xf numFmtId="0" fontId="3" fillId="0" borderId="12" xfId="2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0" fontId="3" fillId="0" borderId="12" xfId="3" applyFont="1" applyFill="1" applyBorder="1"/>
    <xf numFmtId="0" fontId="9" fillId="0" borderId="11" xfId="3" applyFont="1" applyFill="1" applyBorder="1" applyAlignment="1">
      <alignment horizontal="left"/>
    </xf>
    <xf numFmtId="15" fontId="9" fillId="0" borderId="11" xfId="3" applyNumberFormat="1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left"/>
    </xf>
    <xf numFmtId="44" fontId="3" fillId="0" borderId="11" xfId="5" applyFont="1" applyFill="1" applyBorder="1" applyAlignment="1">
      <alignment vertical="center"/>
    </xf>
    <xf numFmtId="4" fontId="3" fillId="0" borderId="11" xfId="2" applyNumberFormat="1" applyFont="1" applyFill="1" applyBorder="1" applyAlignment="1">
      <alignment vertical="center"/>
    </xf>
    <xf numFmtId="4" fontId="3" fillId="0" borderId="11" xfId="2" applyNumberFormat="1" applyFont="1" applyFill="1" applyBorder="1" applyAlignment="1">
      <alignment horizontal="center" vertical="center"/>
    </xf>
    <xf numFmtId="44" fontId="3" fillId="0" borderId="11" xfId="2" applyNumberFormat="1" applyFont="1" applyFill="1" applyBorder="1" applyAlignment="1">
      <alignment vertical="center"/>
    </xf>
    <xf numFmtId="0" fontId="11" fillId="0" borderId="11" xfId="3" applyFont="1" applyFill="1" applyBorder="1" applyAlignment="1">
      <alignment horizontal="left" wrapText="1"/>
    </xf>
    <xf numFmtId="165" fontId="3" fillId="0" borderId="0" xfId="2" applyNumberFormat="1" applyFont="1" applyFill="1" applyAlignment="1">
      <alignment vertical="center"/>
    </xf>
    <xf numFmtId="0" fontId="9" fillId="0" borderId="11" xfId="3" applyFont="1" applyFill="1" applyBorder="1"/>
    <xf numFmtId="0" fontId="11" fillId="0" borderId="11" xfId="3" applyFont="1" applyBorder="1"/>
    <xf numFmtId="0" fontId="3" fillId="0" borderId="11" xfId="2" applyFont="1" applyBorder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0" fontId="3" fillId="0" borderId="12" xfId="3" applyFont="1" applyFill="1" applyBorder="1" applyAlignment="1"/>
    <xf numFmtId="0" fontId="11" fillId="0" borderId="11" xfId="3" applyFont="1" applyFill="1" applyBorder="1"/>
    <xf numFmtId="0" fontId="3" fillId="0" borderId="11" xfId="3" applyFont="1" applyBorder="1" applyAlignment="1">
      <alignment horizontal="center" vertical="center"/>
    </xf>
    <xf numFmtId="15" fontId="9" fillId="0" borderId="11" xfId="4" applyNumberFormat="1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left"/>
    </xf>
    <xf numFmtId="44" fontId="3" fillId="0" borderId="13" xfId="5" applyFont="1" applyFill="1" applyBorder="1" applyAlignment="1">
      <alignment vertical="center"/>
    </xf>
    <xf numFmtId="4" fontId="3" fillId="0" borderId="13" xfId="2" applyNumberFormat="1" applyFont="1" applyFill="1" applyBorder="1" applyAlignment="1">
      <alignment vertical="center"/>
    </xf>
    <xf numFmtId="164" fontId="3" fillId="0" borderId="13" xfId="2" applyNumberFormat="1" applyFont="1" applyFill="1" applyBorder="1" applyAlignment="1">
      <alignment vertical="center"/>
    </xf>
    <xf numFmtId="0" fontId="3" fillId="0" borderId="14" xfId="2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/>
    </xf>
    <xf numFmtId="49" fontId="3" fillId="0" borderId="16" xfId="2" applyNumberFormat="1" applyFont="1" applyFill="1" applyBorder="1" applyAlignment="1">
      <alignment horizontal="center" vertical="center"/>
    </xf>
    <xf numFmtId="0" fontId="3" fillId="0" borderId="14" xfId="3" applyFont="1" applyFill="1" applyBorder="1"/>
    <xf numFmtId="0" fontId="9" fillId="0" borderId="15" xfId="3" applyFont="1" applyFill="1" applyBorder="1" applyAlignment="1">
      <alignment horizontal="left"/>
    </xf>
    <xf numFmtId="15" fontId="9" fillId="0" borderId="15" xfId="3" applyNumberFormat="1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11" fillId="0" borderId="15" xfId="3" applyFont="1" applyFill="1" applyBorder="1" applyAlignment="1">
      <alignment horizontal="left"/>
    </xf>
    <xf numFmtId="0" fontId="3" fillId="0" borderId="15" xfId="2" applyFont="1" applyFill="1" applyBorder="1" applyAlignment="1">
      <alignment horizontal="center" vertical="center"/>
    </xf>
    <xf numFmtId="44" fontId="3" fillId="0" borderId="15" xfId="5" applyFont="1" applyFill="1" applyBorder="1" applyAlignment="1">
      <alignment vertical="center"/>
    </xf>
    <xf numFmtId="4" fontId="3" fillId="0" borderId="15" xfId="2" applyNumberFormat="1" applyFont="1" applyFill="1" applyBorder="1" applyAlignment="1">
      <alignment vertical="center"/>
    </xf>
    <xf numFmtId="4" fontId="3" fillId="0" borderId="15" xfId="2" applyNumberFormat="1" applyFont="1" applyFill="1" applyBorder="1" applyAlignment="1">
      <alignment horizontal="center" vertical="center"/>
    </xf>
    <xf numFmtId="164" fontId="3" fillId="0" borderId="15" xfId="2" applyNumberFormat="1" applyFont="1" applyFill="1" applyBorder="1" applyAlignment="1">
      <alignment vertical="center"/>
    </xf>
    <xf numFmtId="44" fontId="3" fillId="0" borderId="15" xfId="2" applyNumberFormat="1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44" fontId="12" fillId="0" borderId="0" xfId="2" applyNumberFormat="1" applyFont="1" applyFill="1" applyAlignment="1">
      <alignment horizontal="center" vertical="center"/>
    </xf>
    <xf numFmtId="44" fontId="8" fillId="0" borderId="0" xfId="5" applyFont="1" applyFill="1" applyAlignment="1">
      <alignment vertical="center"/>
    </xf>
    <xf numFmtId="44" fontId="5" fillId="0" borderId="0" xfId="5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4" fontId="7" fillId="2" borderId="0" xfId="2" applyNumberFormat="1" applyFont="1" applyFill="1" applyAlignment="1">
      <alignment vertical="center"/>
    </xf>
    <xf numFmtId="44" fontId="3" fillId="2" borderId="0" xfId="2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horizontal="center" vertical="center"/>
    </xf>
    <xf numFmtId="44" fontId="3" fillId="2" borderId="0" xfId="2" applyNumberFormat="1" applyFont="1" applyFill="1" applyBorder="1" applyAlignment="1">
      <alignment vertical="center"/>
    </xf>
    <xf numFmtId="44" fontId="3" fillId="2" borderId="0" xfId="5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vertical="center"/>
    </xf>
    <xf numFmtId="44" fontId="5" fillId="2" borderId="0" xfId="5" applyFont="1" applyFill="1" applyBorder="1" applyAlignment="1">
      <alignment vertical="center"/>
    </xf>
    <xf numFmtId="44" fontId="8" fillId="4" borderId="0" xfId="5" applyFont="1" applyFill="1" applyBorder="1" applyAlignment="1">
      <alignment vertical="center"/>
    </xf>
    <xf numFmtId="44" fontId="3" fillId="0" borderId="0" xfId="2" applyNumberFormat="1" applyFont="1" applyAlignment="1">
      <alignment vertical="center"/>
    </xf>
    <xf numFmtId="0" fontId="3" fillId="0" borderId="0" xfId="2" applyFont="1" applyFill="1" applyAlignment="1">
      <alignment vertical="center"/>
    </xf>
    <xf numFmtId="4" fontId="3" fillId="0" borderId="0" xfId="2" applyNumberFormat="1" applyFont="1" applyFill="1" applyAlignment="1">
      <alignment horizontal="center" vertical="center"/>
    </xf>
    <xf numFmtId="164" fontId="3" fillId="0" borderId="3" xfId="2" applyNumberFormat="1" applyFont="1" applyFill="1" applyBorder="1" applyAlignment="1">
      <alignment vertical="center"/>
    </xf>
    <xf numFmtId="164" fontId="3" fillId="0" borderId="18" xfId="2" applyNumberFormat="1" applyFont="1" applyFill="1" applyBorder="1" applyAlignment="1">
      <alignment vertical="center"/>
    </xf>
    <xf numFmtId="164" fontId="3" fillId="0" borderId="19" xfId="2" applyNumberFormat="1" applyFont="1" applyFill="1" applyBorder="1" applyAlignment="1">
      <alignment vertical="center"/>
    </xf>
    <xf numFmtId="164" fontId="3" fillId="0" borderId="20" xfId="2" applyNumberFormat="1" applyFont="1" applyFill="1" applyBorder="1" applyAlignment="1">
      <alignment vertical="center"/>
    </xf>
    <xf numFmtId="4" fontId="12" fillId="0" borderId="0" xfId="2" applyNumberFormat="1" applyFont="1" applyAlignment="1">
      <alignment vertical="center"/>
    </xf>
    <xf numFmtId="0" fontId="7" fillId="0" borderId="17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21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</cellXfs>
  <cellStyles count="49">
    <cellStyle name="Euro" xfId="6"/>
    <cellStyle name="Excel Built-in Normal" xfId="7"/>
    <cellStyle name="Millares 2" xfId="8"/>
    <cellStyle name="Millares 2 2" xfId="9"/>
    <cellStyle name="Millares 2 3" xfId="10"/>
    <cellStyle name="Millares 3" xfId="11"/>
    <cellStyle name="Millares 4" xfId="12"/>
    <cellStyle name="Millares 5" xfId="13"/>
    <cellStyle name="Moneda" xfId="1" builtinId="4"/>
    <cellStyle name="Moneda 2" xfId="5"/>
    <cellStyle name="Moneda 2 2" xfId="14"/>
    <cellStyle name="Moneda 3" xfId="15"/>
    <cellStyle name="Moneda 3 2" xfId="16"/>
    <cellStyle name="Moneda 3 2 2" xfId="17"/>
    <cellStyle name="Moneda 3 3" xfId="18"/>
    <cellStyle name="Moneda 3 3 2" xfId="19"/>
    <cellStyle name="Moneda 3 3 2 2" xfId="20"/>
    <cellStyle name="Moneda 3 3 3" xfId="21"/>
    <cellStyle name="Moneda 3 4" xfId="22"/>
    <cellStyle name="Moneda 4" xfId="23"/>
    <cellStyle name="Moneda 4 2" xfId="24"/>
    <cellStyle name="Moneda 4 2 2" xfId="25"/>
    <cellStyle name="Moneda 4 3" xfId="26"/>
    <cellStyle name="Moneda 5" xfId="27"/>
    <cellStyle name="Moneda 6" xfId="28"/>
    <cellStyle name="Normal" xfId="0" builtinId="0"/>
    <cellStyle name="Normal 10" xfId="29"/>
    <cellStyle name="Normal 10 2" xfId="30"/>
    <cellStyle name="Normal 11" xfId="31"/>
    <cellStyle name="Normal 13 2" xfId="32"/>
    <cellStyle name="Normal 2" xfId="3"/>
    <cellStyle name="Normal 2 2" xfId="33"/>
    <cellStyle name="Normal 2 3" xfId="34"/>
    <cellStyle name="Normal 2 4" xfId="35"/>
    <cellStyle name="Normal 3" xfId="36"/>
    <cellStyle name="Normal 3 2" xfId="37"/>
    <cellStyle name="Normal 4" xfId="38"/>
    <cellStyle name="Normal 4 2" xfId="39"/>
    <cellStyle name="Normal 4 3" xfId="40"/>
    <cellStyle name="Normal 5" xfId="41"/>
    <cellStyle name="Normal 6" xfId="42"/>
    <cellStyle name="Normal 7" xfId="43"/>
    <cellStyle name="Normal 8" xfId="44"/>
    <cellStyle name="Normal 9" xfId="45"/>
    <cellStyle name="Normal_~9885111" xfId="2"/>
    <cellStyle name="Normal_Muestra Plantilla" xfId="4"/>
    <cellStyle name="Porcentual 2" xfId="46"/>
    <cellStyle name="Porcentual 3" xfId="47"/>
    <cellStyle name="Porcentual 4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4</xdr:row>
      <xdr:rowOff>27213</xdr:rowOff>
    </xdr:from>
    <xdr:to>
      <xdr:col>6</xdr:col>
      <xdr:colOff>1347107</xdr:colOff>
      <xdr:row>8</xdr:row>
      <xdr:rowOff>70521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07" y="941613"/>
          <a:ext cx="3638550" cy="122440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g_vidrio\Desktop\CENTRINF\Ci2002\Ingresos\Presupuesto%20de%20Ingresos\ESTADOS%20FINANCIEROS%202000\Septiembre\CUENTA%20PUBLICA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argas.CEPEGOB\Downloads\Documents\MARISELA%20VARGAS\1%20-%20JUNTAS%20DE%20GOBIERNO\0%20-%20JUNTA%20-%20AGOSTO%202013\PROCESO\046.2007%20LUISANA%20FLORES%20GONZALE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\CENTRINF\Ci2002\Ingresos\Presupuesto%20de%20Ingresos\ESTADOS%20FINANCIEROS%202000\Septiembre\CUENTA%20PUBLICA%20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elasco\AppData\Local\Temp\notesF4CC6D\RENTA%20Nave%20Ind.%201%20y%202%20Luisana%20Frores%20Gonz&#225;le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RENTA"/>
      <sheetName val="INCENTIVO"/>
      <sheetName val="SUELDOS"/>
      <sheetName val="EMPLEOS"/>
      <sheetName val="Empleos y sueldos"/>
      <sheetName val="INVERSION"/>
      <sheetName val="CONTROL DOC"/>
      <sheetName val="Nota Informativa"/>
      <sheetName val="Control Docum Cumpli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Micro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AI177"/>
  <sheetViews>
    <sheetView showGridLines="0" tabSelected="1" zoomScaleNormal="100" workbookViewId="0"/>
  </sheetViews>
  <sheetFormatPr baseColWidth="10" defaultColWidth="9.140625" defaultRowHeight="12.75"/>
  <cols>
    <col min="1" max="1" width="6.85546875" style="1" customWidth="1"/>
    <col min="2" max="2" width="4.85546875" style="1" customWidth="1"/>
    <col min="3" max="3" width="6.7109375" style="1" customWidth="1"/>
    <col min="4" max="4" width="5" style="1" customWidth="1"/>
    <col min="5" max="5" width="4" style="1" customWidth="1"/>
    <col min="6" max="6" width="7.140625" style="2" customWidth="1"/>
    <col min="7" max="7" width="52.140625" style="3" customWidth="1"/>
    <col min="8" max="8" width="25.140625" style="3" customWidth="1"/>
    <col min="9" max="9" width="29.42578125" style="1" customWidth="1"/>
    <col min="10" max="10" width="8.140625" style="1" customWidth="1"/>
    <col min="11" max="11" width="6.28515625" style="1" customWidth="1"/>
    <col min="12" max="12" width="11.42578125" style="1" bestFit="1" customWidth="1"/>
    <col min="13" max="13" width="23.28515625" style="3" customWidth="1"/>
    <col min="14" max="14" width="16.140625" style="3" customWidth="1"/>
    <col min="15" max="15" width="42.7109375" style="1" customWidth="1"/>
    <col min="16" max="16" width="15.85546875" style="1" customWidth="1"/>
    <col min="17" max="17" width="10.5703125" style="4" hidden="1" customWidth="1"/>
    <col min="18" max="18" width="15.85546875" style="4" hidden="1" customWidth="1"/>
    <col min="19" max="19" width="17" style="4" customWidth="1"/>
    <col min="20" max="20" width="19.42578125" style="3" customWidth="1"/>
    <col min="21" max="22" width="17.140625" style="3" customWidth="1"/>
    <col min="23" max="23" width="13.7109375" style="3" customWidth="1"/>
    <col min="24" max="24" width="14.42578125" style="3" customWidth="1"/>
    <col min="25" max="25" width="14" style="3" customWidth="1"/>
    <col min="26" max="26" width="15.85546875" style="3" customWidth="1"/>
    <col min="27" max="27" width="15" style="3" customWidth="1"/>
    <col min="28" max="28" width="16.42578125" style="3" customWidth="1"/>
    <col min="29" max="29" width="16.140625" style="3" customWidth="1"/>
    <col min="30" max="30" width="18.5703125" style="3" customWidth="1"/>
    <col min="31" max="31" width="20.42578125" style="3" customWidth="1"/>
    <col min="32" max="32" width="21.28515625" style="3" customWidth="1"/>
    <col min="33" max="33" width="21.28515625" style="3" hidden="1" customWidth="1"/>
    <col min="34" max="34" width="48.28515625" style="3" customWidth="1"/>
    <col min="35" max="35" width="11.28515625" style="3" bestFit="1" customWidth="1"/>
    <col min="36" max="16384" width="9.140625" style="3"/>
  </cols>
  <sheetData>
    <row r="1" spans="1:34" ht="23.25">
      <c r="W1" s="5"/>
    </row>
    <row r="4" spans="1:34" ht="23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X4" s="5"/>
      <c r="Y4" s="5"/>
      <c r="Z4" s="5"/>
      <c r="AA4" s="5"/>
      <c r="AB4" s="5"/>
    </row>
    <row r="5" spans="1:34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X5" s="5"/>
      <c r="Y5" s="5"/>
      <c r="Z5" s="5"/>
      <c r="AA5" s="5"/>
      <c r="AB5" s="5"/>
    </row>
    <row r="6" spans="1:34" ht="23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5"/>
      <c r="Y6" s="5"/>
      <c r="Z6" s="5"/>
      <c r="AA6" s="5"/>
      <c r="AB6" s="5"/>
    </row>
    <row r="7" spans="1:34" ht="23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5"/>
      <c r="Y7" s="5"/>
      <c r="Z7" s="5"/>
      <c r="AA7" s="5"/>
      <c r="AB7" s="5"/>
    </row>
    <row r="8" spans="1:34" ht="23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 t="s">
        <v>0</v>
      </c>
      <c r="N8" s="5"/>
      <c r="O8" s="5"/>
      <c r="P8" s="5"/>
      <c r="Q8" s="5"/>
      <c r="R8" s="5"/>
      <c r="S8" s="5"/>
      <c r="T8" s="5"/>
      <c r="U8" s="5"/>
      <c r="V8" s="5"/>
      <c r="X8" s="5"/>
      <c r="Y8" s="5"/>
      <c r="Z8" s="5"/>
      <c r="AA8" s="5"/>
      <c r="AB8" s="5"/>
    </row>
    <row r="9" spans="1:34" ht="24" customHeight="1">
      <c r="A9" s="3"/>
      <c r="B9" s="6"/>
      <c r="D9" s="110"/>
      <c r="E9" s="110"/>
      <c r="F9" s="110"/>
      <c r="G9" s="110"/>
      <c r="H9" s="110"/>
      <c r="I9" s="110"/>
      <c r="J9" s="110"/>
      <c r="K9" s="110"/>
      <c r="L9" s="110"/>
      <c r="M9" s="110"/>
      <c r="O9" s="7"/>
    </row>
    <row r="10" spans="1:34" ht="24" customHeight="1">
      <c r="A10" s="6" t="s">
        <v>1</v>
      </c>
      <c r="B10" s="6"/>
      <c r="D10" s="8"/>
      <c r="E10" s="8"/>
      <c r="F10" s="8"/>
      <c r="G10" s="8"/>
      <c r="H10" s="8"/>
      <c r="I10" s="8"/>
      <c r="J10" s="8"/>
      <c r="K10" s="8"/>
      <c r="L10" s="8"/>
      <c r="M10" s="8"/>
      <c r="O10" s="7"/>
      <c r="P10" s="9"/>
      <c r="Q10" s="9"/>
      <c r="R10" s="9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4" ht="69.75" customHeight="1">
      <c r="P11" s="111" t="s">
        <v>2</v>
      </c>
      <c r="Q11" s="112"/>
      <c r="R11" s="112"/>
      <c r="S11" s="112"/>
      <c r="T11" s="112"/>
      <c r="U11" s="112"/>
      <c r="V11" s="112"/>
      <c r="W11" s="112"/>
      <c r="X11" s="112"/>
      <c r="Y11" s="112"/>
      <c r="Z11" s="113"/>
      <c r="AB11" s="114" t="s">
        <v>3</v>
      </c>
      <c r="AC11" s="115"/>
      <c r="AD11" s="115"/>
      <c r="AE11" s="116"/>
    </row>
    <row r="12" spans="1:34" s="15" customFormat="1" ht="80.25" customHeight="1" thickBot="1">
      <c r="A12" s="11" t="s">
        <v>4</v>
      </c>
      <c r="B12" s="11" t="s">
        <v>5</v>
      </c>
      <c r="C12" s="11" t="s">
        <v>6</v>
      </c>
      <c r="D12" s="11" t="s">
        <v>7</v>
      </c>
      <c r="E12" s="11" t="s">
        <v>8</v>
      </c>
      <c r="F12" s="11" t="s">
        <v>9</v>
      </c>
      <c r="G12" s="11" t="s">
        <v>10</v>
      </c>
      <c r="H12" s="11" t="s">
        <v>11</v>
      </c>
      <c r="I12" s="11" t="s">
        <v>12</v>
      </c>
      <c r="J12" s="11" t="s">
        <v>13</v>
      </c>
      <c r="K12" s="11" t="s">
        <v>14</v>
      </c>
      <c r="L12" s="11" t="s">
        <v>15</v>
      </c>
      <c r="M12" s="11" t="s">
        <v>16</v>
      </c>
      <c r="N12" s="11" t="s">
        <v>17</v>
      </c>
      <c r="O12" s="11" t="s">
        <v>18</v>
      </c>
      <c r="P12" s="11" t="s">
        <v>19</v>
      </c>
      <c r="Q12" s="12" t="s">
        <v>20</v>
      </c>
      <c r="R12" s="12" t="s">
        <v>21</v>
      </c>
      <c r="S12" s="12" t="s">
        <v>22</v>
      </c>
      <c r="T12" s="12" t="s">
        <v>23</v>
      </c>
      <c r="U12" s="12" t="s">
        <v>24</v>
      </c>
      <c r="V12" s="12" t="s">
        <v>25</v>
      </c>
      <c r="W12" s="12" t="s">
        <v>26</v>
      </c>
      <c r="X12" s="12" t="s">
        <v>27</v>
      </c>
      <c r="Y12" s="12" t="s">
        <v>28</v>
      </c>
      <c r="Z12" s="12" t="s">
        <v>29</v>
      </c>
      <c r="AA12" s="13" t="s">
        <v>30</v>
      </c>
      <c r="AB12" s="13" t="s">
        <v>31</v>
      </c>
      <c r="AC12" s="13" t="s">
        <v>32</v>
      </c>
      <c r="AD12" s="13" t="s">
        <v>33</v>
      </c>
      <c r="AE12" s="13" t="s">
        <v>34</v>
      </c>
      <c r="AF12" s="13" t="s">
        <v>35</v>
      </c>
      <c r="AG12" s="14" t="s">
        <v>36</v>
      </c>
    </row>
    <row r="13" spans="1:34" s="35" customFormat="1" ht="29.25" customHeight="1">
      <c r="A13" s="16">
        <v>1</v>
      </c>
      <c r="B13" s="17" t="s">
        <v>37</v>
      </c>
      <c r="C13" s="17" t="s">
        <v>38</v>
      </c>
      <c r="D13" s="18">
        <v>3</v>
      </c>
      <c r="E13" s="17" t="s">
        <v>38</v>
      </c>
      <c r="F13" s="19" t="s">
        <v>39</v>
      </c>
      <c r="G13" s="20" t="s">
        <v>40</v>
      </c>
      <c r="H13" s="21" t="s">
        <v>41</v>
      </c>
      <c r="I13" s="22">
        <v>41340</v>
      </c>
      <c r="J13" s="23">
        <v>28</v>
      </c>
      <c r="K13" s="24">
        <v>40</v>
      </c>
      <c r="L13" s="24" t="s">
        <v>130</v>
      </c>
      <c r="M13" s="25" t="s">
        <v>42</v>
      </c>
      <c r="N13" s="24">
        <v>1</v>
      </c>
      <c r="O13" s="26"/>
      <c r="P13" s="27">
        <f>63240</f>
        <v>63240</v>
      </c>
      <c r="Q13" s="28">
        <v>0</v>
      </c>
      <c r="R13" s="28">
        <f t="shared" ref="R13:R42" si="0">+P13+Q13</f>
        <v>63240</v>
      </c>
      <c r="S13" s="29"/>
      <c r="T13" s="30">
        <f t="shared" ref="T13:T42" si="1">(R13+Z13)*13.5%</f>
        <v>8878.8960000000006</v>
      </c>
      <c r="U13" s="30">
        <f t="shared" ref="U13:U42" si="2">(R13+Z13)*3%</f>
        <v>1973.0880000000002</v>
      </c>
      <c r="V13" s="30">
        <f>(1526.69/31*61)/2*1.04</f>
        <v>1562.148606451613</v>
      </c>
      <c r="W13" s="30">
        <f>(70.1*30)/2</f>
        <v>1051.5</v>
      </c>
      <c r="X13" s="30">
        <v>2832</v>
      </c>
      <c r="Y13" s="30">
        <v>1992</v>
      </c>
      <c r="Z13" s="31">
        <f>P13*4%</f>
        <v>2529.6</v>
      </c>
      <c r="AA13" s="30">
        <f>R13+T13+U13+V13+W13+X13+Y13</f>
        <v>81529.632606451618</v>
      </c>
      <c r="AB13" s="30">
        <f>Z13*12</f>
        <v>30355.199999999997</v>
      </c>
      <c r="AC13" s="32">
        <f t="shared" ref="AC13:AC42" si="3">(R13+Z13)/30*50</f>
        <v>109616.00000000001</v>
      </c>
      <c r="AD13" s="32">
        <f t="shared" ref="AD13:AD42" si="4">(R13+Z13)/30*5</f>
        <v>10961.6</v>
      </c>
      <c r="AE13" s="32"/>
      <c r="AF13" s="102">
        <f t="shared" ref="AF13:AF42" si="5">(AA13*12)+AB13+AC13+AD13+AE13+S13</f>
        <v>1129288.3912774194</v>
      </c>
      <c r="AG13" s="101">
        <f>(P13+X13+Y13)/30*20</f>
        <v>45376</v>
      </c>
      <c r="AH13" s="34"/>
    </row>
    <row r="14" spans="1:34" s="35" customFormat="1" ht="24" customHeight="1">
      <c r="A14" s="36">
        <v>2</v>
      </c>
      <c r="B14" s="37" t="s">
        <v>37</v>
      </c>
      <c r="C14" s="37" t="s">
        <v>38</v>
      </c>
      <c r="D14" s="38">
        <v>3</v>
      </c>
      <c r="E14" s="37" t="s">
        <v>38</v>
      </c>
      <c r="F14" s="39" t="s">
        <v>39</v>
      </c>
      <c r="G14" s="40" t="s">
        <v>43</v>
      </c>
      <c r="H14" s="41" t="s">
        <v>44</v>
      </c>
      <c r="I14" s="42">
        <v>41351</v>
      </c>
      <c r="J14" s="43">
        <v>24</v>
      </c>
      <c r="K14" s="44">
        <v>40</v>
      </c>
      <c r="L14" s="44" t="s">
        <v>130</v>
      </c>
      <c r="M14" s="45" t="s">
        <v>45</v>
      </c>
      <c r="N14" s="44">
        <v>1</v>
      </c>
      <c r="O14" s="44" t="s">
        <v>46</v>
      </c>
      <c r="P14" s="46">
        <f>42280</f>
        <v>42280</v>
      </c>
      <c r="Q14" s="47">
        <v>0</v>
      </c>
      <c r="R14" s="47">
        <f t="shared" si="0"/>
        <v>42280</v>
      </c>
      <c r="S14" s="48"/>
      <c r="T14" s="33">
        <f t="shared" si="1"/>
        <v>5936.1120000000001</v>
      </c>
      <c r="U14" s="33">
        <f t="shared" si="2"/>
        <v>1319.136</v>
      </c>
      <c r="V14" s="33">
        <f>(1526.69/31*61)/2*1.04</f>
        <v>1562.148606451613</v>
      </c>
      <c r="W14" s="33">
        <f t="shared" ref="W14:W42" si="6">(R14+Z14)*2%</f>
        <v>879.42399999999998</v>
      </c>
      <c r="X14" s="33">
        <v>1865</v>
      </c>
      <c r="Y14" s="33">
        <v>1345</v>
      </c>
      <c r="Z14" s="49">
        <f>P14*4%</f>
        <v>1691.2</v>
      </c>
      <c r="AA14" s="33">
        <f t="shared" ref="AA14:AA42" si="7">R14+T14+U14+V14+W14+X14+Y14</f>
        <v>55186.820606451613</v>
      </c>
      <c r="AB14" s="33">
        <f>Z14*12</f>
        <v>20294.400000000001</v>
      </c>
      <c r="AC14" s="49">
        <f t="shared" si="3"/>
        <v>73285.333333333328</v>
      </c>
      <c r="AD14" s="49">
        <f t="shared" si="4"/>
        <v>7328.5333333333328</v>
      </c>
      <c r="AE14" s="49">
        <f t="shared" ref="AE14:AE42" si="8">(R14+Z14)/30*15</f>
        <v>21985.599999999999</v>
      </c>
      <c r="AF14" s="103">
        <f t="shared" si="5"/>
        <v>785135.71394408611</v>
      </c>
      <c r="AG14" s="101">
        <f t="shared" ref="AG14:AG42" si="9">(P14+X14+Y14)/30*20</f>
        <v>30326.666666666664</v>
      </c>
    </row>
    <row r="15" spans="1:34" s="35" customFormat="1" ht="24.75" customHeight="1">
      <c r="A15" s="36">
        <v>3</v>
      </c>
      <c r="B15" s="37" t="s">
        <v>37</v>
      </c>
      <c r="C15" s="37" t="s">
        <v>38</v>
      </c>
      <c r="D15" s="38">
        <v>3</v>
      </c>
      <c r="E15" s="37" t="s">
        <v>38</v>
      </c>
      <c r="F15" s="39" t="s">
        <v>39</v>
      </c>
      <c r="G15" s="40" t="s">
        <v>47</v>
      </c>
      <c r="H15" s="41" t="s">
        <v>48</v>
      </c>
      <c r="I15" s="42">
        <v>41883</v>
      </c>
      <c r="J15" s="43">
        <v>24</v>
      </c>
      <c r="K15" s="44">
        <v>40</v>
      </c>
      <c r="L15" s="44" t="s">
        <v>130</v>
      </c>
      <c r="M15" s="50" t="s">
        <v>49</v>
      </c>
      <c r="N15" s="44">
        <v>1</v>
      </c>
      <c r="O15" s="44" t="s">
        <v>46</v>
      </c>
      <c r="P15" s="46">
        <f>42280</f>
        <v>42280</v>
      </c>
      <c r="Q15" s="47">
        <v>0</v>
      </c>
      <c r="R15" s="47">
        <f t="shared" si="0"/>
        <v>42280</v>
      </c>
      <c r="S15" s="48"/>
      <c r="T15" s="33">
        <f t="shared" si="1"/>
        <v>5936.1120000000001</v>
      </c>
      <c r="U15" s="33">
        <f t="shared" si="2"/>
        <v>1319.136</v>
      </c>
      <c r="V15" s="33">
        <f>(1526.69/31*61)/2*1.04</f>
        <v>1562.148606451613</v>
      </c>
      <c r="W15" s="33">
        <f t="shared" si="6"/>
        <v>879.42399999999998</v>
      </c>
      <c r="X15" s="33">
        <v>1865</v>
      </c>
      <c r="Y15" s="33">
        <v>1345</v>
      </c>
      <c r="Z15" s="49">
        <f t="shared" ref="Z15:Z42" si="10">P15*4%</f>
        <v>1691.2</v>
      </c>
      <c r="AA15" s="33">
        <f t="shared" si="7"/>
        <v>55186.820606451613</v>
      </c>
      <c r="AB15" s="33">
        <f t="shared" ref="AB15:AB42" si="11">Z15*12</f>
        <v>20294.400000000001</v>
      </c>
      <c r="AC15" s="49">
        <f t="shared" si="3"/>
        <v>73285.333333333328</v>
      </c>
      <c r="AD15" s="49">
        <f t="shared" si="4"/>
        <v>7328.5333333333328</v>
      </c>
      <c r="AE15" s="49">
        <f t="shared" si="8"/>
        <v>21985.599999999999</v>
      </c>
      <c r="AF15" s="103">
        <f t="shared" si="5"/>
        <v>785135.71394408611</v>
      </c>
      <c r="AG15" s="101">
        <f t="shared" si="9"/>
        <v>30326.666666666664</v>
      </c>
      <c r="AH15" s="51"/>
    </row>
    <row r="16" spans="1:34" s="55" customFormat="1" ht="24" customHeight="1">
      <c r="A16" s="36">
        <v>4</v>
      </c>
      <c r="B16" s="37" t="s">
        <v>37</v>
      </c>
      <c r="C16" s="37" t="s">
        <v>38</v>
      </c>
      <c r="D16" s="38">
        <v>3</v>
      </c>
      <c r="E16" s="37" t="s">
        <v>38</v>
      </c>
      <c r="F16" s="39" t="s">
        <v>39</v>
      </c>
      <c r="G16" s="40" t="s">
        <v>50</v>
      </c>
      <c r="H16" s="52" t="s">
        <v>51</v>
      </c>
      <c r="I16" s="42">
        <v>38915</v>
      </c>
      <c r="J16" s="43">
        <v>21</v>
      </c>
      <c r="K16" s="44">
        <v>40</v>
      </c>
      <c r="L16" s="44" t="s">
        <v>130</v>
      </c>
      <c r="M16" s="53" t="s">
        <v>52</v>
      </c>
      <c r="N16" s="44">
        <v>1</v>
      </c>
      <c r="O16" s="54" t="s">
        <v>53</v>
      </c>
      <c r="P16" s="46">
        <f>30883</f>
        <v>30883</v>
      </c>
      <c r="Q16" s="47">
        <v>0</v>
      </c>
      <c r="R16" s="47">
        <f t="shared" si="0"/>
        <v>30883</v>
      </c>
      <c r="S16" s="48">
        <v>1679.52</v>
      </c>
      <c r="T16" s="33">
        <f t="shared" si="1"/>
        <v>4335.9732000000004</v>
      </c>
      <c r="U16" s="33">
        <f t="shared" si="2"/>
        <v>963.54959999999994</v>
      </c>
      <c r="V16" s="33">
        <f>(1253.99/31*61)/2*1.04</f>
        <v>1283.1149290322583</v>
      </c>
      <c r="W16" s="33">
        <f t="shared" si="6"/>
        <v>642.3664</v>
      </c>
      <c r="X16" s="33">
        <v>1671</v>
      </c>
      <c r="Y16" s="33">
        <v>1133</v>
      </c>
      <c r="Z16" s="49">
        <f t="shared" si="10"/>
        <v>1235.32</v>
      </c>
      <c r="AA16" s="33">
        <f t="shared" si="7"/>
        <v>40912.004129032255</v>
      </c>
      <c r="AB16" s="33">
        <f t="shared" si="11"/>
        <v>14823.84</v>
      </c>
      <c r="AC16" s="49">
        <f t="shared" si="3"/>
        <v>53530.533333333333</v>
      </c>
      <c r="AD16" s="49">
        <f t="shared" si="4"/>
        <v>5353.0533333333333</v>
      </c>
      <c r="AE16" s="49">
        <f t="shared" si="8"/>
        <v>16059.16</v>
      </c>
      <c r="AF16" s="103">
        <f t="shared" si="5"/>
        <v>582390.15621505387</v>
      </c>
      <c r="AG16" s="101">
        <f t="shared" si="9"/>
        <v>22458</v>
      </c>
    </row>
    <row r="17" spans="1:33" s="55" customFormat="1" ht="24" customHeight="1">
      <c r="A17" s="36">
        <v>5</v>
      </c>
      <c r="B17" s="37" t="s">
        <v>37</v>
      </c>
      <c r="C17" s="37" t="s">
        <v>38</v>
      </c>
      <c r="D17" s="38">
        <v>3</v>
      </c>
      <c r="E17" s="37" t="s">
        <v>38</v>
      </c>
      <c r="F17" s="39" t="s">
        <v>39</v>
      </c>
      <c r="G17" s="40" t="s">
        <v>54</v>
      </c>
      <c r="H17" s="52" t="s">
        <v>55</v>
      </c>
      <c r="I17" s="42">
        <v>41372</v>
      </c>
      <c r="J17" s="43">
        <v>21</v>
      </c>
      <c r="K17" s="44">
        <v>40</v>
      </c>
      <c r="L17" s="44" t="s">
        <v>130</v>
      </c>
      <c r="M17" s="53" t="s">
        <v>56</v>
      </c>
      <c r="N17" s="44">
        <v>1</v>
      </c>
      <c r="O17" s="54" t="s">
        <v>53</v>
      </c>
      <c r="P17" s="46">
        <f>30883</f>
        <v>30883</v>
      </c>
      <c r="Q17" s="47">
        <v>0</v>
      </c>
      <c r="R17" s="47">
        <f t="shared" si="0"/>
        <v>30883</v>
      </c>
      <c r="S17" s="48"/>
      <c r="T17" s="33">
        <f t="shared" si="1"/>
        <v>4335.9732000000004</v>
      </c>
      <c r="U17" s="33">
        <f t="shared" si="2"/>
        <v>963.54959999999994</v>
      </c>
      <c r="V17" s="33">
        <f>(1250.96/31*61)/2*1.04</f>
        <v>1280.0145548387097</v>
      </c>
      <c r="W17" s="33">
        <f t="shared" si="6"/>
        <v>642.3664</v>
      </c>
      <c r="X17" s="33">
        <v>1671</v>
      </c>
      <c r="Y17" s="33">
        <v>1133</v>
      </c>
      <c r="Z17" s="49">
        <f t="shared" si="10"/>
        <v>1235.32</v>
      </c>
      <c r="AA17" s="33">
        <f t="shared" si="7"/>
        <v>40908.903754838706</v>
      </c>
      <c r="AB17" s="33">
        <f t="shared" si="11"/>
        <v>14823.84</v>
      </c>
      <c r="AC17" s="49">
        <f t="shared" si="3"/>
        <v>53530.533333333333</v>
      </c>
      <c r="AD17" s="49">
        <f t="shared" si="4"/>
        <v>5353.0533333333333</v>
      </c>
      <c r="AE17" s="49">
        <f t="shared" si="8"/>
        <v>16059.16</v>
      </c>
      <c r="AF17" s="103">
        <f t="shared" si="5"/>
        <v>580673.43172473123</v>
      </c>
      <c r="AG17" s="101">
        <f t="shared" si="9"/>
        <v>22458</v>
      </c>
    </row>
    <row r="18" spans="1:33" ht="24" customHeight="1">
      <c r="A18" s="36">
        <v>6</v>
      </c>
      <c r="B18" s="37" t="s">
        <v>37</v>
      </c>
      <c r="C18" s="37" t="s">
        <v>38</v>
      </c>
      <c r="D18" s="38">
        <v>3</v>
      </c>
      <c r="E18" s="37" t="s">
        <v>38</v>
      </c>
      <c r="F18" s="39" t="s">
        <v>39</v>
      </c>
      <c r="G18" s="40" t="s">
        <v>57</v>
      </c>
      <c r="H18" s="41" t="s">
        <v>58</v>
      </c>
      <c r="I18" s="42">
        <v>41380</v>
      </c>
      <c r="J18" s="43">
        <v>21</v>
      </c>
      <c r="K18" s="44">
        <v>40</v>
      </c>
      <c r="L18" s="44" t="s">
        <v>130</v>
      </c>
      <c r="M18" s="45" t="s">
        <v>59</v>
      </c>
      <c r="N18" s="44">
        <v>1</v>
      </c>
      <c r="O18" s="54" t="s">
        <v>53</v>
      </c>
      <c r="P18" s="46">
        <f>30883</f>
        <v>30883</v>
      </c>
      <c r="Q18" s="47">
        <v>0</v>
      </c>
      <c r="R18" s="47">
        <f t="shared" si="0"/>
        <v>30883</v>
      </c>
      <c r="S18" s="48"/>
      <c r="T18" s="33">
        <f t="shared" si="1"/>
        <v>4335.9732000000004</v>
      </c>
      <c r="U18" s="33">
        <f t="shared" si="2"/>
        <v>963.54959999999994</v>
      </c>
      <c r="V18" s="33">
        <f t="shared" ref="V18:V21" si="12">(1250.96/31*61)/2*1.04</f>
        <v>1280.0145548387097</v>
      </c>
      <c r="W18" s="33">
        <f t="shared" si="6"/>
        <v>642.3664</v>
      </c>
      <c r="X18" s="33">
        <v>1671</v>
      </c>
      <c r="Y18" s="33">
        <v>1133</v>
      </c>
      <c r="Z18" s="49">
        <f t="shared" si="10"/>
        <v>1235.32</v>
      </c>
      <c r="AA18" s="33">
        <f t="shared" si="7"/>
        <v>40908.903754838706</v>
      </c>
      <c r="AB18" s="33">
        <f t="shared" si="11"/>
        <v>14823.84</v>
      </c>
      <c r="AC18" s="49">
        <f t="shared" si="3"/>
        <v>53530.533333333333</v>
      </c>
      <c r="AD18" s="49">
        <f t="shared" si="4"/>
        <v>5353.0533333333333</v>
      </c>
      <c r="AE18" s="49">
        <f t="shared" si="8"/>
        <v>16059.16</v>
      </c>
      <c r="AF18" s="103">
        <f t="shared" si="5"/>
        <v>580673.43172473123</v>
      </c>
      <c r="AG18" s="101">
        <f t="shared" si="9"/>
        <v>22458</v>
      </c>
    </row>
    <row r="19" spans="1:33" ht="24" customHeight="1">
      <c r="A19" s="36">
        <v>7</v>
      </c>
      <c r="B19" s="37" t="s">
        <v>37</v>
      </c>
      <c r="C19" s="37" t="s">
        <v>38</v>
      </c>
      <c r="D19" s="38">
        <v>3</v>
      </c>
      <c r="E19" s="37" t="s">
        <v>38</v>
      </c>
      <c r="F19" s="39" t="s">
        <v>39</v>
      </c>
      <c r="G19" s="56" t="s">
        <v>60</v>
      </c>
      <c r="H19" s="52" t="s">
        <v>61</v>
      </c>
      <c r="I19" s="42">
        <v>41351</v>
      </c>
      <c r="J19" s="43">
        <v>21</v>
      </c>
      <c r="K19" s="44">
        <v>40</v>
      </c>
      <c r="L19" s="44" t="s">
        <v>130</v>
      </c>
      <c r="M19" s="57" t="s">
        <v>62</v>
      </c>
      <c r="N19" s="44">
        <v>1</v>
      </c>
      <c r="O19" s="44" t="s">
        <v>53</v>
      </c>
      <c r="P19" s="46">
        <f>30883</f>
        <v>30883</v>
      </c>
      <c r="Q19" s="47">
        <v>0</v>
      </c>
      <c r="R19" s="47">
        <f t="shared" si="0"/>
        <v>30883</v>
      </c>
      <c r="S19" s="48"/>
      <c r="T19" s="33">
        <f t="shared" si="1"/>
        <v>4335.9732000000004</v>
      </c>
      <c r="U19" s="33">
        <f t="shared" si="2"/>
        <v>963.54959999999994</v>
      </c>
      <c r="V19" s="33">
        <f t="shared" si="12"/>
        <v>1280.0145548387097</v>
      </c>
      <c r="W19" s="33">
        <f t="shared" si="6"/>
        <v>642.3664</v>
      </c>
      <c r="X19" s="33">
        <v>1671</v>
      </c>
      <c r="Y19" s="33">
        <v>1133</v>
      </c>
      <c r="Z19" s="49">
        <f t="shared" si="10"/>
        <v>1235.32</v>
      </c>
      <c r="AA19" s="33">
        <f t="shared" si="7"/>
        <v>40908.903754838706</v>
      </c>
      <c r="AB19" s="33">
        <f t="shared" si="11"/>
        <v>14823.84</v>
      </c>
      <c r="AC19" s="49">
        <f t="shared" si="3"/>
        <v>53530.533333333333</v>
      </c>
      <c r="AD19" s="49">
        <f t="shared" si="4"/>
        <v>5353.0533333333333</v>
      </c>
      <c r="AE19" s="49">
        <f t="shared" si="8"/>
        <v>16059.16</v>
      </c>
      <c r="AF19" s="103">
        <f t="shared" si="5"/>
        <v>580673.43172473123</v>
      </c>
      <c r="AG19" s="101">
        <f t="shared" si="9"/>
        <v>22458</v>
      </c>
    </row>
    <row r="20" spans="1:33" ht="24" customHeight="1">
      <c r="A20" s="36">
        <v>8</v>
      </c>
      <c r="B20" s="37" t="s">
        <v>37</v>
      </c>
      <c r="C20" s="37" t="s">
        <v>38</v>
      </c>
      <c r="D20" s="38">
        <v>3</v>
      </c>
      <c r="E20" s="37" t="s">
        <v>38</v>
      </c>
      <c r="F20" s="39" t="s">
        <v>39</v>
      </c>
      <c r="G20" s="40" t="s">
        <v>63</v>
      </c>
      <c r="H20" s="52" t="s">
        <v>64</v>
      </c>
      <c r="I20" s="42">
        <v>41381</v>
      </c>
      <c r="J20" s="43">
        <v>21</v>
      </c>
      <c r="K20" s="44">
        <v>40</v>
      </c>
      <c r="L20" s="44" t="s">
        <v>130</v>
      </c>
      <c r="M20" s="57" t="s">
        <v>65</v>
      </c>
      <c r="N20" s="44">
        <v>1</v>
      </c>
      <c r="O20" s="44" t="s">
        <v>53</v>
      </c>
      <c r="P20" s="46">
        <f>30883</f>
        <v>30883</v>
      </c>
      <c r="Q20" s="47">
        <v>0</v>
      </c>
      <c r="R20" s="47">
        <f t="shared" si="0"/>
        <v>30883</v>
      </c>
      <c r="S20" s="48"/>
      <c r="T20" s="33">
        <f t="shared" si="1"/>
        <v>4335.9732000000004</v>
      </c>
      <c r="U20" s="33">
        <f t="shared" si="2"/>
        <v>963.54959999999994</v>
      </c>
      <c r="V20" s="33">
        <f t="shared" si="12"/>
        <v>1280.0145548387097</v>
      </c>
      <c r="W20" s="33">
        <f t="shared" si="6"/>
        <v>642.3664</v>
      </c>
      <c r="X20" s="33">
        <v>1671</v>
      </c>
      <c r="Y20" s="33">
        <v>1133</v>
      </c>
      <c r="Z20" s="49">
        <f t="shared" si="10"/>
        <v>1235.32</v>
      </c>
      <c r="AA20" s="33">
        <f t="shared" si="7"/>
        <v>40908.903754838706</v>
      </c>
      <c r="AB20" s="33">
        <f t="shared" si="11"/>
        <v>14823.84</v>
      </c>
      <c r="AC20" s="49">
        <f t="shared" si="3"/>
        <v>53530.533333333333</v>
      </c>
      <c r="AD20" s="49">
        <f t="shared" si="4"/>
        <v>5353.0533333333333</v>
      </c>
      <c r="AE20" s="49">
        <f t="shared" si="8"/>
        <v>16059.16</v>
      </c>
      <c r="AF20" s="103">
        <f t="shared" si="5"/>
        <v>580673.43172473123</v>
      </c>
      <c r="AG20" s="101">
        <f t="shared" si="9"/>
        <v>22458</v>
      </c>
    </row>
    <row r="21" spans="1:33" ht="24" customHeight="1">
      <c r="A21" s="36">
        <v>9</v>
      </c>
      <c r="B21" s="37" t="s">
        <v>37</v>
      </c>
      <c r="C21" s="37" t="s">
        <v>38</v>
      </c>
      <c r="D21" s="38">
        <v>3</v>
      </c>
      <c r="E21" s="37" t="s">
        <v>38</v>
      </c>
      <c r="F21" s="39" t="s">
        <v>39</v>
      </c>
      <c r="G21" s="40" t="s">
        <v>66</v>
      </c>
      <c r="H21" s="41" t="s">
        <v>67</v>
      </c>
      <c r="I21" s="42">
        <v>41380</v>
      </c>
      <c r="J21" s="43">
        <v>21</v>
      </c>
      <c r="K21" s="44">
        <v>40</v>
      </c>
      <c r="L21" s="44" t="s">
        <v>130</v>
      </c>
      <c r="M21" s="57" t="s">
        <v>68</v>
      </c>
      <c r="N21" s="44">
        <v>1</v>
      </c>
      <c r="O21" s="54" t="s">
        <v>53</v>
      </c>
      <c r="P21" s="46">
        <f>30883</f>
        <v>30883</v>
      </c>
      <c r="Q21" s="47">
        <v>0</v>
      </c>
      <c r="R21" s="47">
        <f t="shared" si="0"/>
        <v>30883</v>
      </c>
      <c r="S21" s="48"/>
      <c r="T21" s="33">
        <f t="shared" si="1"/>
        <v>4335.9732000000004</v>
      </c>
      <c r="U21" s="33">
        <f t="shared" si="2"/>
        <v>963.54959999999994</v>
      </c>
      <c r="V21" s="33">
        <f t="shared" si="12"/>
        <v>1280.0145548387097</v>
      </c>
      <c r="W21" s="33">
        <f t="shared" si="6"/>
        <v>642.3664</v>
      </c>
      <c r="X21" s="33">
        <v>1671</v>
      </c>
      <c r="Y21" s="33">
        <v>1133</v>
      </c>
      <c r="Z21" s="49">
        <f t="shared" si="10"/>
        <v>1235.32</v>
      </c>
      <c r="AA21" s="33">
        <f t="shared" si="7"/>
        <v>40908.903754838706</v>
      </c>
      <c r="AB21" s="33">
        <f t="shared" si="11"/>
        <v>14823.84</v>
      </c>
      <c r="AC21" s="49">
        <f t="shared" si="3"/>
        <v>53530.533333333333</v>
      </c>
      <c r="AD21" s="49">
        <f t="shared" si="4"/>
        <v>5353.0533333333333</v>
      </c>
      <c r="AE21" s="49">
        <f t="shared" si="8"/>
        <v>16059.16</v>
      </c>
      <c r="AF21" s="103">
        <f t="shared" si="5"/>
        <v>580673.43172473123</v>
      </c>
      <c r="AG21" s="101">
        <f t="shared" si="9"/>
        <v>22458</v>
      </c>
    </row>
    <row r="22" spans="1:33" ht="24" customHeight="1">
      <c r="A22" s="36">
        <v>10</v>
      </c>
      <c r="B22" s="37" t="s">
        <v>37</v>
      </c>
      <c r="C22" s="37" t="s">
        <v>38</v>
      </c>
      <c r="D22" s="38">
        <v>3</v>
      </c>
      <c r="E22" s="37" t="s">
        <v>38</v>
      </c>
      <c r="F22" s="39" t="s">
        <v>39</v>
      </c>
      <c r="G22" s="40" t="s">
        <v>69</v>
      </c>
      <c r="H22" s="41" t="s">
        <v>70</v>
      </c>
      <c r="I22" s="42">
        <v>37328</v>
      </c>
      <c r="J22" s="58">
        <v>16</v>
      </c>
      <c r="K22" s="44">
        <v>40</v>
      </c>
      <c r="L22" s="44" t="s">
        <v>130</v>
      </c>
      <c r="M22" s="53" t="s">
        <v>71</v>
      </c>
      <c r="N22" s="44">
        <v>1</v>
      </c>
      <c r="O22" s="54" t="s">
        <v>72</v>
      </c>
      <c r="P22" s="46">
        <f>17213</f>
        <v>17213</v>
      </c>
      <c r="Q22" s="47">
        <v>0</v>
      </c>
      <c r="R22" s="47">
        <f t="shared" si="0"/>
        <v>17213</v>
      </c>
      <c r="S22" s="48">
        <v>2519.2800000000002</v>
      </c>
      <c r="T22" s="33">
        <f t="shared" si="1"/>
        <v>2416.7052000000003</v>
      </c>
      <c r="U22" s="33">
        <f t="shared" si="2"/>
        <v>537.04560000000004</v>
      </c>
      <c r="V22" s="33">
        <f>(850.98/31*61)/2*1.04</f>
        <v>870.7446967741937</v>
      </c>
      <c r="W22" s="33">
        <f t="shared" si="6"/>
        <v>358.03040000000004</v>
      </c>
      <c r="X22" s="33">
        <v>1247</v>
      </c>
      <c r="Y22" s="33">
        <v>779</v>
      </c>
      <c r="Z22" s="49">
        <f t="shared" si="10"/>
        <v>688.52</v>
      </c>
      <c r="AA22" s="33">
        <f t="shared" si="7"/>
        <v>23421.525896774194</v>
      </c>
      <c r="AB22" s="33">
        <f t="shared" si="11"/>
        <v>8262.24</v>
      </c>
      <c r="AC22" s="49">
        <f t="shared" si="3"/>
        <v>29835.866666666669</v>
      </c>
      <c r="AD22" s="49">
        <f t="shared" si="4"/>
        <v>2983.586666666667</v>
      </c>
      <c r="AE22" s="49">
        <f t="shared" si="8"/>
        <v>8950.76</v>
      </c>
      <c r="AF22" s="103">
        <f t="shared" si="5"/>
        <v>333610.04409462365</v>
      </c>
      <c r="AG22" s="101">
        <f t="shared" si="9"/>
        <v>12826</v>
      </c>
    </row>
    <row r="23" spans="1:33" ht="24" customHeight="1">
      <c r="A23" s="36">
        <v>11</v>
      </c>
      <c r="B23" s="37" t="s">
        <v>37</v>
      </c>
      <c r="C23" s="37" t="s">
        <v>38</v>
      </c>
      <c r="D23" s="38">
        <v>3</v>
      </c>
      <c r="E23" s="37" t="s">
        <v>38</v>
      </c>
      <c r="F23" s="39" t="s">
        <v>39</v>
      </c>
      <c r="G23" s="56" t="s">
        <v>73</v>
      </c>
      <c r="H23" s="52" t="s">
        <v>74</v>
      </c>
      <c r="I23" s="42">
        <v>41381</v>
      </c>
      <c r="J23" s="43">
        <v>16</v>
      </c>
      <c r="K23" s="44">
        <v>40</v>
      </c>
      <c r="L23" s="44" t="s">
        <v>130</v>
      </c>
      <c r="M23" s="53" t="s">
        <v>71</v>
      </c>
      <c r="N23" s="44">
        <v>1</v>
      </c>
      <c r="O23" s="54" t="s">
        <v>72</v>
      </c>
      <c r="P23" s="46">
        <f>17213</f>
        <v>17213</v>
      </c>
      <c r="Q23" s="47">
        <v>0</v>
      </c>
      <c r="R23" s="47">
        <f t="shared" si="0"/>
        <v>17213</v>
      </c>
      <c r="S23" s="48"/>
      <c r="T23" s="33">
        <f t="shared" si="1"/>
        <v>2416.7052000000003</v>
      </c>
      <c r="U23" s="33">
        <f t="shared" si="2"/>
        <v>537.04560000000004</v>
      </c>
      <c r="V23" s="33">
        <f>(847.03/31*61)/2*1.04</f>
        <v>866.70295483870973</v>
      </c>
      <c r="W23" s="33">
        <f t="shared" si="6"/>
        <v>358.03040000000004</v>
      </c>
      <c r="X23" s="33">
        <v>1247</v>
      </c>
      <c r="Y23" s="33">
        <v>779</v>
      </c>
      <c r="Z23" s="49">
        <f t="shared" si="10"/>
        <v>688.52</v>
      </c>
      <c r="AA23" s="33">
        <f t="shared" si="7"/>
        <v>23417.484154838712</v>
      </c>
      <c r="AB23" s="33">
        <f t="shared" si="11"/>
        <v>8262.24</v>
      </c>
      <c r="AC23" s="49">
        <f t="shared" si="3"/>
        <v>29835.866666666669</v>
      </c>
      <c r="AD23" s="49">
        <f t="shared" si="4"/>
        <v>2983.586666666667</v>
      </c>
      <c r="AE23" s="49">
        <f t="shared" si="8"/>
        <v>8950.76</v>
      </c>
      <c r="AF23" s="103">
        <f t="shared" si="5"/>
        <v>331042.26319139788</v>
      </c>
      <c r="AG23" s="101">
        <f t="shared" si="9"/>
        <v>12826</v>
      </c>
    </row>
    <row r="24" spans="1:33" ht="24" customHeight="1">
      <c r="A24" s="36">
        <v>12</v>
      </c>
      <c r="B24" s="37" t="s">
        <v>37</v>
      </c>
      <c r="C24" s="37" t="s">
        <v>38</v>
      </c>
      <c r="D24" s="38">
        <v>3</v>
      </c>
      <c r="E24" s="37" t="s">
        <v>38</v>
      </c>
      <c r="F24" s="39" t="s">
        <v>39</v>
      </c>
      <c r="G24" s="56" t="s">
        <v>75</v>
      </c>
      <c r="H24" s="41" t="s">
        <v>76</v>
      </c>
      <c r="I24" s="42">
        <v>39105</v>
      </c>
      <c r="J24" s="43">
        <v>16</v>
      </c>
      <c r="K24" s="44">
        <v>40</v>
      </c>
      <c r="L24" s="44" t="s">
        <v>130</v>
      </c>
      <c r="M24" s="57" t="s">
        <v>71</v>
      </c>
      <c r="N24" s="44">
        <v>1</v>
      </c>
      <c r="O24" s="54" t="s">
        <v>72</v>
      </c>
      <c r="P24" s="46">
        <f>17213</f>
        <v>17213</v>
      </c>
      <c r="Q24" s="47">
        <v>0</v>
      </c>
      <c r="R24" s="47">
        <f t="shared" si="0"/>
        <v>17213</v>
      </c>
      <c r="S24" s="48">
        <v>1679.52</v>
      </c>
      <c r="T24" s="33">
        <f t="shared" si="1"/>
        <v>2416.7052000000003</v>
      </c>
      <c r="U24" s="33">
        <f t="shared" si="2"/>
        <v>537.04560000000004</v>
      </c>
      <c r="V24" s="33">
        <f>(849.69/31*61)/2*1.04</f>
        <v>869.42473548387102</v>
      </c>
      <c r="W24" s="33">
        <f t="shared" si="6"/>
        <v>358.03040000000004</v>
      </c>
      <c r="X24" s="33">
        <v>1247</v>
      </c>
      <c r="Y24" s="33">
        <v>779</v>
      </c>
      <c r="Z24" s="49">
        <f t="shared" si="10"/>
        <v>688.52</v>
      </c>
      <c r="AA24" s="33">
        <f t="shared" si="7"/>
        <v>23420.205935483871</v>
      </c>
      <c r="AB24" s="33">
        <f t="shared" si="11"/>
        <v>8262.24</v>
      </c>
      <c r="AC24" s="49">
        <f t="shared" si="3"/>
        <v>29835.866666666669</v>
      </c>
      <c r="AD24" s="49">
        <f t="shared" si="4"/>
        <v>2983.586666666667</v>
      </c>
      <c r="AE24" s="49">
        <f t="shared" si="8"/>
        <v>8950.76</v>
      </c>
      <c r="AF24" s="103">
        <f t="shared" si="5"/>
        <v>332754.44455913978</v>
      </c>
      <c r="AG24" s="101">
        <f t="shared" si="9"/>
        <v>12826</v>
      </c>
    </row>
    <row r="25" spans="1:33" ht="24" customHeight="1">
      <c r="A25" s="36">
        <v>13</v>
      </c>
      <c r="B25" s="37" t="s">
        <v>37</v>
      </c>
      <c r="C25" s="37" t="s">
        <v>38</v>
      </c>
      <c r="D25" s="38">
        <v>3</v>
      </c>
      <c r="E25" s="37" t="s">
        <v>38</v>
      </c>
      <c r="F25" s="39" t="s">
        <v>39</v>
      </c>
      <c r="G25" s="40" t="s">
        <v>77</v>
      </c>
      <c r="H25" s="52" t="s">
        <v>78</v>
      </c>
      <c r="I25" s="42">
        <v>38019</v>
      </c>
      <c r="J25" s="43">
        <v>16</v>
      </c>
      <c r="K25" s="44">
        <v>40</v>
      </c>
      <c r="L25" s="44" t="s">
        <v>130</v>
      </c>
      <c r="M25" s="57" t="s">
        <v>71</v>
      </c>
      <c r="N25" s="44">
        <v>1</v>
      </c>
      <c r="O25" s="54" t="s">
        <v>72</v>
      </c>
      <c r="P25" s="46">
        <f>17213</f>
        <v>17213</v>
      </c>
      <c r="Q25" s="47">
        <v>0</v>
      </c>
      <c r="R25" s="47">
        <f t="shared" si="0"/>
        <v>17213</v>
      </c>
      <c r="S25" s="48">
        <v>2519.2800000000002</v>
      </c>
      <c r="T25" s="33">
        <f t="shared" si="1"/>
        <v>2416.7052000000003</v>
      </c>
      <c r="U25" s="33">
        <f t="shared" si="2"/>
        <v>537.04560000000004</v>
      </c>
      <c r="V25" s="33">
        <f>(850.59/31*61)/2*1.04</f>
        <v>870.34563870967759</v>
      </c>
      <c r="W25" s="33">
        <f t="shared" si="6"/>
        <v>358.03040000000004</v>
      </c>
      <c r="X25" s="33">
        <v>1247</v>
      </c>
      <c r="Y25" s="33">
        <v>779</v>
      </c>
      <c r="Z25" s="49">
        <f t="shared" si="10"/>
        <v>688.52</v>
      </c>
      <c r="AA25" s="33">
        <f t="shared" si="7"/>
        <v>23421.126838709679</v>
      </c>
      <c r="AB25" s="33">
        <f t="shared" si="11"/>
        <v>8262.24</v>
      </c>
      <c r="AC25" s="49">
        <f t="shared" si="3"/>
        <v>29835.866666666669</v>
      </c>
      <c r="AD25" s="49">
        <f t="shared" si="4"/>
        <v>2983.586666666667</v>
      </c>
      <c r="AE25" s="49">
        <f t="shared" si="8"/>
        <v>8950.76</v>
      </c>
      <c r="AF25" s="103">
        <f t="shared" si="5"/>
        <v>333605.25539784948</v>
      </c>
      <c r="AG25" s="101">
        <f t="shared" si="9"/>
        <v>12826</v>
      </c>
    </row>
    <row r="26" spans="1:33" ht="24" customHeight="1">
      <c r="A26" s="36">
        <v>14</v>
      </c>
      <c r="B26" s="37" t="s">
        <v>37</v>
      </c>
      <c r="C26" s="37" t="s">
        <v>38</v>
      </c>
      <c r="D26" s="38">
        <v>3</v>
      </c>
      <c r="E26" s="37" t="s">
        <v>38</v>
      </c>
      <c r="F26" s="39" t="s">
        <v>39</v>
      </c>
      <c r="G26" s="40" t="s">
        <v>79</v>
      </c>
      <c r="H26" s="52" t="s">
        <v>80</v>
      </c>
      <c r="I26" s="42">
        <v>39346</v>
      </c>
      <c r="J26" s="43">
        <v>16</v>
      </c>
      <c r="K26" s="44">
        <v>40</v>
      </c>
      <c r="L26" s="44" t="s">
        <v>130</v>
      </c>
      <c r="M26" s="53" t="s">
        <v>71</v>
      </c>
      <c r="N26" s="44">
        <v>1</v>
      </c>
      <c r="O26" s="54" t="s">
        <v>72</v>
      </c>
      <c r="P26" s="46">
        <f>17213</f>
        <v>17213</v>
      </c>
      <c r="Q26" s="47">
        <v>0</v>
      </c>
      <c r="R26" s="47">
        <f t="shared" si="0"/>
        <v>17213</v>
      </c>
      <c r="S26" s="48">
        <v>1679.52</v>
      </c>
      <c r="T26" s="33">
        <f t="shared" si="1"/>
        <v>2416.7052000000003</v>
      </c>
      <c r="U26" s="33">
        <f t="shared" si="2"/>
        <v>537.04560000000004</v>
      </c>
      <c r="V26" s="33">
        <f>(849.61/31*61)/2*1.04</f>
        <v>869.34287741935486</v>
      </c>
      <c r="W26" s="33">
        <f t="shared" si="6"/>
        <v>358.03040000000004</v>
      </c>
      <c r="X26" s="33">
        <v>1247</v>
      </c>
      <c r="Y26" s="33">
        <v>779</v>
      </c>
      <c r="Z26" s="49">
        <f t="shared" si="10"/>
        <v>688.52</v>
      </c>
      <c r="AA26" s="33">
        <f t="shared" si="7"/>
        <v>23420.124077419357</v>
      </c>
      <c r="AB26" s="33">
        <f t="shared" si="11"/>
        <v>8262.24</v>
      </c>
      <c r="AC26" s="49">
        <f t="shared" si="3"/>
        <v>29835.866666666669</v>
      </c>
      <c r="AD26" s="49">
        <f t="shared" si="4"/>
        <v>2983.586666666667</v>
      </c>
      <c r="AE26" s="49">
        <f t="shared" si="8"/>
        <v>8950.76</v>
      </c>
      <c r="AF26" s="103">
        <f t="shared" si="5"/>
        <v>332753.46226236562</v>
      </c>
      <c r="AG26" s="101">
        <f t="shared" si="9"/>
        <v>12826</v>
      </c>
    </row>
    <row r="27" spans="1:33" ht="24" customHeight="1">
      <c r="A27" s="36">
        <v>15</v>
      </c>
      <c r="B27" s="37" t="s">
        <v>37</v>
      </c>
      <c r="C27" s="37" t="s">
        <v>38</v>
      </c>
      <c r="D27" s="38">
        <v>3</v>
      </c>
      <c r="E27" s="37" t="s">
        <v>38</v>
      </c>
      <c r="F27" s="39" t="s">
        <v>39</v>
      </c>
      <c r="G27" s="40" t="s">
        <v>81</v>
      </c>
      <c r="H27" s="52" t="s">
        <v>82</v>
      </c>
      <c r="I27" s="59">
        <v>39272</v>
      </c>
      <c r="J27" s="43">
        <v>15</v>
      </c>
      <c r="K27" s="44">
        <v>40</v>
      </c>
      <c r="L27" s="44" t="s">
        <v>130</v>
      </c>
      <c r="M27" s="45" t="s">
        <v>83</v>
      </c>
      <c r="N27" s="44">
        <v>1</v>
      </c>
      <c r="O27" s="54" t="s">
        <v>84</v>
      </c>
      <c r="P27" s="46">
        <f>15425</f>
        <v>15425</v>
      </c>
      <c r="Q27" s="47">
        <v>0</v>
      </c>
      <c r="R27" s="47">
        <f t="shared" si="0"/>
        <v>15425</v>
      </c>
      <c r="S27" s="48">
        <v>1679.52</v>
      </c>
      <c r="T27" s="33">
        <f t="shared" si="1"/>
        <v>2165.67</v>
      </c>
      <c r="U27" s="33">
        <f t="shared" si="2"/>
        <v>481.26</v>
      </c>
      <c r="V27" s="33">
        <f>(797.04/31*61)/2*1.04</f>
        <v>815.55189677419355</v>
      </c>
      <c r="W27" s="33">
        <f t="shared" si="6"/>
        <v>320.84000000000003</v>
      </c>
      <c r="X27" s="33">
        <v>1206</v>
      </c>
      <c r="Y27" s="33">
        <v>755</v>
      </c>
      <c r="Z27" s="49">
        <f t="shared" si="10"/>
        <v>617</v>
      </c>
      <c r="AA27" s="33">
        <f t="shared" si="7"/>
        <v>21169.321896774189</v>
      </c>
      <c r="AB27" s="33">
        <f t="shared" si="11"/>
        <v>7404</v>
      </c>
      <c r="AC27" s="49">
        <f t="shared" si="3"/>
        <v>26736.666666666668</v>
      </c>
      <c r="AD27" s="49">
        <f t="shared" si="4"/>
        <v>2673.666666666667</v>
      </c>
      <c r="AE27" s="49">
        <f t="shared" si="8"/>
        <v>8021</v>
      </c>
      <c r="AF27" s="103">
        <f t="shared" si="5"/>
        <v>300546.71609462367</v>
      </c>
      <c r="AG27" s="101">
        <f t="shared" si="9"/>
        <v>11590.666666666666</v>
      </c>
    </row>
    <row r="28" spans="1:33" ht="24" customHeight="1">
      <c r="A28" s="36">
        <v>16</v>
      </c>
      <c r="B28" s="37" t="s">
        <v>37</v>
      </c>
      <c r="C28" s="37" t="s">
        <v>38</v>
      </c>
      <c r="D28" s="38">
        <v>3</v>
      </c>
      <c r="E28" s="37" t="s">
        <v>38</v>
      </c>
      <c r="F28" s="39" t="s">
        <v>39</v>
      </c>
      <c r="G28" s="40" t="s">
        <v>85</v>
      </c>
      <c r="H28" s="52" t="s">
        <v>86</v>
      </c>
      <c r="I28" s="59">
        <v>38488</v>
      </c>
      <c r="J28" s="43">
        <v>15</v>
      </c>
      <c r="K28" s="44">
        <v>40</v>
      </c>
      <c r="L28" s="44" t="s">
        <v>130</v>
      </c>
      <c r="M28" s="45" t="s">
        <v>83</v>
      </c>
      <c r="N28" s="44">
        <v>1</v>
      </c>
      <c r="O28" s="54" t="s">
        <v>84</v>
      </c>
      <c r="P28" s="46">
        <f>15425</f>
        <v>15425</v>
      </c>
      <c r="Q28" s="47">
        <v>0</v>
      </c>
      <c r="R28" s="47">
        <f t="shared" si="0"/>
        <v>15425</v>
      </c>
      <c r="S28" s="48">
        <v>2669.52</v>
      </c>
      <c r="T28" s="33">
        <f t="shared" si="1"/>
        <v>2165.67</v>
      </c>
      <c r="U28" s="33">
        <f t="shared" si="2"/>
        <v>481.26</v>
      </c>
      <c r="V28" s="33">
        <f>(797.04/31*61)/2*1.04</f>
        <v>815.55189677419355</v>
      </c>
      <c r="W28" s="33">
        <f t="shared" si="6"/>
        <v>320.84000000000003</v>
      </c>
      <c r="X28" s="33">
        <v>1206</v>
      </c>
      <c r="Y28" s="33">
        <v>755</v>
      </c>
      <c r="Z28" s="49">
        <f t="shared" si="10"/>
        <v>617</v>
      </c>
      <c r="AA28" s="33">
        <f t="shared" si="7"/>
        <v>21169.321896774189</v>
      </c>
      <c r="AB28" s="33">
        <f t="shared" si="11"/>
        <v>7404</v>
      </c>
      <c r="AC28" s="49">
        <f t="shared" si="3"/>
        <v>26736.666666666668</v>
      </c>
      <c r="AD28" s="49">
        <f t="shared" si="4"/>
        <v>2673.666666666667</v>
      </c>
      <c r="AE28" s="49">
        <f t="shared" si="8"/>
        <v>8021</v>
      </c>
      <c r="AF28" s="103">
        <f t="shared" si="5"/>
        <v>301536.71609462367</v>
      </c>
      <c r="AG28" s="101">
        <f t="shared" si="9"/>
        <v>11590.666666666666</v>
      </c>
    </row>
    <row r="29" spans="1:33" ht="24" customHeight="1">
      <c r="A29" s="36">
        <v>17</v>
      </c>
      <c r="B29" s="37" t="s">
        <v>37</v>
      </c>
      <c r="C29" s="37" t="s">
        <v>38</v>
      </c>
      <c r="D29" s="38">
        <v>3</v>
      </c>
      <c r="E29" s="37" t="s">
        <v>38</v>
      </c>
      <c r="F29" s="39" t="s">
        <v>39</v>
      </c>
      <c r="G29" s="40" t="s">
        <v>87</v>
      </c>
      <c r="H29" s="41" t="s">
        <v>88</v>
      </c>
      <c r="I29" s="42">
        <v>36557</v>
      </c>
      <c r="J29" s="43">
        <v>15</v>
      </c>
      <c r="K29" s="44">
        <v>40</v>
      </c>
      <c r="L29" s="44" t="s">
        <v>130</v>
      </c>
      <c r="M29" s="45" t="s">
        <v>83</v>
      </c>
      <c r="N29" s="44">
        <v>1</v>
      </c>
      <c r="O29" s="54" t="s">
        <v>84</v>
      </c>
      <c r="P29" s="46">
        <f>15425</f>
        <v>15425</v>
      </c>
      <c r="Q29" s="47">
        <v>0</v>
      </c>
      <c r="R29" s="47">
        <f t="shared" si="0"/>
        <v>15425</v>
      </c>
      <c r="S29" s="48">
        <v>3289.14</v>
      </c>
      <c r="T29" s="33">
        <f t="shared" si="1"/>
        <v>2165.67</v>
      </c>
      <c r="U29" s="33">
        <f t="shared" si="2"/>
        <v>481.26</v>
      </c>
      <c r="V29" s="33">
        <f>(798.62/31*61)/2*1.04</f>
        <v>817.16859354838709</v>
      </c>
      <c r="W29" s="33">
        <f t="shared" si="6"/>
        <v>320.84000000000003</v>
      </c>
      <c r="X29" s="33">
        <v>1206</v>
      </c>
      <c r="Y29" s="33">
        <v>755</v>
      </c>
      <c r="Z29" s="49">
        <f t="shared" si="10"/>
        <v>617</v>
      </c>
      <c r="AA29" s="33">
        <f t="shared" si="7"/>
        <v>21170.938593548384</v>
      </c>
      <c r="AB29" s="33">
        <f t="shared" si="11"/>
        <v>7404</v>
      </c>
      <c r="AC29" s="49">
        <f t="shared" si="3"/>
        <v>26736.666666666668</v>
      </c>
      <c r="AD29" s="49">
        <f t="shared" si="4"/>
        <v>2673.666666666667</v>
      </c>
      <c r="AE29" s="49">
        <f t="shared" si="8"/>
        <v>8021</v>
      </c>
      <c r="AF29" s="103">
        <f t="shared" si="5"/>
        <v>302175.73645591398</v>
      </c>
      <c r="AG29" s="101">
        <f t="shared" si="9"/>
        <v>11590.666666666666</v>
      </c>
    </row>
    <row r="30" spans="1:33" ht="24" customHeight="1">
      <c r="A30" s="36">
        <v>18</v>
      </c>
      <c r="B30" s="37" t="s">
        <v>37</v>
      </c>
      <c r="C30" s="37" t="s">
        <v>38</v>
      </c>
      <c r="D30" s="38">
        <v>3</v>
      </c>
      <c r="E30" s="37" t="s">
        <v>38</v>
      </c>
      <c r="F30" s="39" t="s">
        <v>39</v>
      </c>
      <c r="G30" s="40" t="s">
        <v>89</v>
      </c>
      <c r="H30" s="52" t="s">
        <v>90</v>
      </c>
      <c r="I30" s="59">
        <v>39979</v>
      </c>
      <c r="J30" s="43">
        <v>15</v>
      </c>
      <c r="K30" s="44">
        <v>40</v>
      </c>
      <c r="L30" s="44" t="s">
        <v>130</v>
      </c>
      <c r="M30" s="57" t="s">
        <v>91</v>
      </c>
      <c r="N30" s="44">
        <v>1</v>
      </c>
      <c r="O30" s="54" t="s">
        <v>72</v>
      </c>
      <c r="P30" s="46">
        <f>15425</f>
        <v>15425</v>
      </c>
      <c r="Q30" s="47">
        <v>0</v>
      </c>
      <c r="R30" s="47">
        <f t="shared" si="0"/>
        <v>15425</v>
      </c>
      <c r="S30" s="48">
        <v>1679.52</v>
      </c>
      <c r="T30" s="33">
        <f t="shared" si="1"/>
        <v>2165.67</v>
      </c>
      <c r="U30" s="33">
        <f t="shared" si="2"/>
        <v>481.26</v>
      </c>
      <c r="V30" s="33">
        <f>(795.61/31*61)/2*1.04</f>
        <v>814.08868387096777</v>
      </c>
      <c r="W30" s="33">
        <f t="shared" si="6"/>
        <v>320.84000000000003</v>
      </c>
      <c r="X30" s="33">
        <v>1206</v>
      </c>
      <c r="Y30" s="33">
        <v>755</v>
      </c>
      <c r="Z30" s="49">
        <f t="shared" si="10"/>
        <v>617</v>
      </c>
      <c r="AA30" s="33">
        <f t="shared" si="7"/>
        <v>21167.858683870963</v>
      </c>
      <c r="AB30" s="33">
        <f t="shared" si="11"/>
        <v>7404</v>
      </c>
      <c r="AC30" s="49">
        <f t="shared" si="3"/>
        <v>26736.666666666668</v>
      </c>
      <c r="AD30" s="49">
        <f t="shared" si="4"/>
        <v>2673.666666666667</v>
      </c>
      <c r="AE30" s="49">
        <f t="shared" si="8"/>
        <v>8021</v>
      </c>
      <c r="AF30" s="103">
        <f t="shared" si="5"/>
        <v>300529.15753978497</v>
      </c>
      <c r="AG30" s="101">
        <f t="shared" si="9"/>
        <v>11590.666666666666</v>
      </c>
    </row>
    <row r="31" spans="1:33" ht="24" customHeight="1">
      <c r="A31" s="36">
        <v>19</v>
      </c>
      <c r="B31" s="37" t="s">
        <v>37</v>
      </c>
      <c r="C31" s="37" t="s">
        <v>38</v>
      </c>
      <c r="D31" s="38">
        <v>3</v>
      </c>
      <c r="E31" s="37" t="s">
        <v>38</v>
      </c>
      <c r="F31" s="39" t="s">
        <v>39</v>
      </c>
      <c r="G31" s="40" t="s">
        <v>92</v>
      </c>
      <c r="H31" s="41" t="s">
        <v>93</v>
      </c>
      <c r="I31" s="42">
        <v>35719</v>
      </c>
      <c r="J31" s="43">
        <v>15</v>
      </c>
      <c r="K31" s="44">
        <v>40</v>
      </c>
      <c r="L31" s="44" t="s">
        <v>130</v>
      </c>
      <c r="M31" s="57" t="s">
        <v>91</v>
      </c>
      <c r="N31" s="44">
        <v>1</v>
      </c>
      <c r="O31" s="54" t="s">
        <v>72</v>
      </c>
      <c r="P31" s="46">
        <f>15425</f>
        <v>15425</v>
      </c>
      <c r="Q31" s="47">
        <v>0</v>
      </c>
      <c r="R31" s="47">
        <f t="shared" si="0"/>
        <v>15425</v>
      </c>
      <c r="S31" s="48">
        <v>3359.12</v>
      </c>
      <c r="T31" s="33">
        <f t="shared" si="1"/>
        <v>2165.67</v>
      </c>
      <c r="U31" s="33">
        <f t="shared" si="2"/>
        <v>481.26</v>
      </c>
      <c r="V31" s="33">
        <f>(800.19/31*61)/2*1.04</f>
        <v>818.7750580645162</v>
      </c>
      <c r="W31" s="33">
        <f t="shared" si="6"/>
        <v>320.84000000000003</v>
      </c>
      <c r="X31" s="33">
        <v>1206</v>
      </c>
      <c r="Y31" s="33">
        <v>755</v>
      </c>
      <c r="Z31" s="49">
        <f t="shared" si="10"/>
        <v>617</v>
      </c>
      <c r="AA31" s="33">
        <f>R31+T31+U31+V31+W31+X31+Y31</f>
        <v>21172.545058064512</v>
      </c>
      <c r="AB31" s="33">
        <f t="shared" si="11"/>
        <v>7404</v>
      </c>
      <c r="AC31" s="49">
        <f t="shared" si="3"/>
        <v>26736.666666666668</v>
      </c>
      <c r="AD31" s="49">
        <f t="shared" si="4"/>
        <v>2673.666666666667</v>
      </c>
      <c r="AE31" s="49">
        <f t="shared" si="8"/>
        <v>8021</v>
      </c>
      <c r="AF31" s="103">
        <f t="shared" si="5"/>
        <v>302264.99403010751</v>
      </c>
      <c r="AG31" s="101">
        <f t="shared" si="9"/>
        <v>11590.666666666666</v>
      </c>
    </row>
    <row r="32" spans="1:33" ht="24" customHeight="1">
      <c r="A32" s="36">
        <v>20</v>
      </c>
      <c r="B32" s="37" t="s">
        <v>37</v>
      </c>
      <c r="C32" s="37" t="s">
        <v>38</v>
      </c>
      <c r="D32" s="38">
        <v>3</v>
      </c>
      <c r="E32" s="37" t="s">
        <v>38</v>
      </c>
      <c r="F32" s="39" t="s">
        <v>39</v>
      </c>
      <c r="G32" s="40" t="s">
        <v>94</v>
      </c>
      <c r="H32" s="52" t="s">
        <v>95</v>
      </c>
      <c r="I32" s="42">
        <v>38869</v>
      </c>
      <c r="J32" s="43">
        <v>15</v>
      </c>
      <c r="K32" s="44">
        <v>40</v>
      </c>
      <c r="L32" s="44" t="s">
        <v>130</v>
      </c>
      <c r="M32" s="45" t="s">
        <v>96</v>
      </c>
      <c r="N32" s="44">
        <v>1</v>
      </c>
      <c r="O32" s="54" t="s">
        <v>97</v>
      </c>
      <c r="P32" s="46">
        <f>15425</f>
        <v>15425</v>
      </c>
      <c r="Q32" s="47">
        <v>0</v>
      </c>
      <c r="R32" s="47">
        <f t="shared" si="0"/>
        <v>15425</v>
      </c>
      <c r="S32" s="48">
        <v>1679.52</v>
      </c>
      <c r="T32" s="33">
        <f t="shared" si="1"/>
        <v>2165.67</v>
      </c>
      <c r="U32" s="33">
        <f t="shared" si="2"/>
        <v>481.26</v>
      </c>
      <c r="V32" s="33">
        <f>(797.04/31*61)/2*1.04</f>
        <v>815.55189677419355</v>
      </c>
      <c r="W32" s="33">
        <f t="shared" si="6"/>
        <v>320.84000000000003</v>
      </c>
      <c r="X32" s="33">
        <v>1206</v>
      </c>
      <c r="Y32" s="33">
        <v>755</v>
      </c>
      <c r="Z32" s="49">
        <f t="shared" si="10"/>
        <v>617</v>
      </c>
      <c r="AA32" s="33">
        <f t="shared" si="7"/>
        <v>21169.321896774189</v>
      </c>
      <c r="AB32" s="33">
        <f t="shared" si="11"/>
        <v>7404</v>
      </c>
      <c r="AC32" s="49">
        <f t="shared" si="3"/>
        <v>26736.666666666668</v>
      </c>
      <c r="AD32" s="49">
        <f t="shared" si="4"/>
        <v>2673.666666666667</v>
      </c>
      <c r="AE32" s="49">
        <f t="shared" si="8"/>
        <v>8021</v>
      </c>
      <c r="AF32" s="103">
        <f t="shared" si="5"/>
        <v>300546.71609462367</v>
      </c>
      <c r="AG32" s="101">
        <f t="shared" si="9"/>
        <v>11590.666666666666</v>
      </c>
    </row>
    <row r="33" spans="1:35" ht="24" customHeight="1">
      <c r="A33" s="36">
        <v>21</v>
      </c>
      <c r="B33" s="37" t="s">
        <v>37</v>
      </c>
      <c r="C33" s="37" t="s">
        <v>38</v>
      </c>
      <c r="D33" s="38">
        <v>3</v>
      </c>
      <c r="E33" s="37" t="s">
        <v>38</v>
      </c>
      <c r="F33" s="39" t="s">
        <v>39</v>
      </c>
      <c r="G33" s="56" t="s">
        <v>98</v>
      </c>
      <c r="H33" s="41" t="s">
        <v>99</v>
      </c>
      <c r="I33" s="42">
        <v>39979</v>
      </c>
      <c r="J33" s="43">
        <v>15</v>
      </c>
      <c r="K33" s="44">
        <v>40</v>
      </c>
      <c r="L33" s="44" t="s">
        <v>130</v>
      </c>
      <c r="M33" s="45" t="s">
        <v>96</v>
      </c>
      <c r="N33" s="44">
        <v>1</v>
      </c>
      <c r="O33" s="54" t="s">
        <v>97</v>
      </c>
      <c r="P33" s="46">
        <f>15425</f>
        <v>15425</v>
      </c>
      <c r="Q33" s="47">
        <v>0</v>
      </c>
      <c r="R33" s="47">
        <f t="shared" si="0"/>
        <v>15425</v>
      </c>
      <c r="S33" s="48">
        <v>1679.52</v>
      </c>
      <c r="T33" s="33">
        <f t="shared" si="1"/>
        <v>2165.67</v>
      </c>
      <c r="U33" s="33">
        <f t="shared" si="2"/>
        <v>481.26</v>
      </c>
      <c r="V33" s="33">
        <f>(795.61/31*61)/2*1.04</f>
        <v>814.08868387096777</v>
      </c>
      <c r="W33" s="33">
        <f t="shared" si="6"/>
        <v>320.84000000000003</v>
      </c>
      <c r="X33" s="33">
        <v>1206</v>
      </c>
      <c r="Y33" s="33">
        <v>755</v>
      </c>
      <c r="Z33" s="49">
        <f t="shared" si="10"/>
        <v>617</v>
      </c>
      <c r="AA33" s="33">
        <f t="shared" si="7"/>
        <v>21167.858683870963</v>
      </c>
      <c r="AB33" s="33">
        <f t="shared" si="11"/>
        <v>7404</v>
      </c>
      <c r="AC33" s="49">
        <f t="shared" si="3"/>
        <v>26736.666666666668</v>
      </c>
      <c r="AD33" s="49">
        <f t="shared" si="4"/>
        <v>2673.666666666667</v>
      </c>
      <c r="AE33" s="49">
        <f t="shared" si="8"/>
        <v>8021</v>
      </c>
      <c r="AF33" s="103">
        <f t="shared" si="5"/>
        <v>300529.15753978497</v>
      </c>
      <c r="AG33" s="101">
        <f t="shared" si="9"/>
        <v>11590.666666666666</v>
      </c>
    </row>
    <row r="34" spans="1:35" ht="24" customHeight="1">
      <c r="A34" s="36">
        <v>22</v>
      </c>
      <c r="B34" s="37" t="s">
        <v>37</v>
      </c>
      <c r="C34" s="37" t="s">
        <v>38</v>
      </c>
      <c r="D34" s="38">
        <v>3</v>
      </c>
      <c r="E34" s="37" t="s">
        <v>38</v>
      </c>
      <c r="F34" s="39" t="s">
        <v>39</v>
      </c>
      <c r="G34" s="56" t="s">
        <v>100</v>
      </c>
      <c r="H34" s="52" t="s">
        <v>101</v>
      </c>
      <c r="I34" s="42">
        <v>37104</v>
      </c>
      <c r="J34" s="43">
        <v>15</v>
      </c>
      <c r="K34" s="44">
        <v>40</v>
      </c>
      <c r="L34" s="44" t="s">
        <v>130</v>
      </c>
      <c r="M34" s="45" t="s">
        <v>102</v>
      </c>
      <c r="N34" s="44">
        <v>1</v>
      </c>
      <c r="O34" s="44" t="s">
        <v>103</v>
      </c>
      <c r="P34" s="46">
        <f>15425</f>
        <v>15425</v>
      </c>
      <c r="Q34" s="47">
        <v>0</v>
      </c>
      <c r="R34" s="47">
        <f t="shared" si="0"/>
        <v>15425</v>
      </c>
      <c r="S34" s="48">
        <v>2519.2800000000002</v>
      </c>
      <c r="T34" s="33">
        <f t="shared" si="1"/>
        <v>2165.67</v>
      </c>
      <c r="U34" s="33">
        <f t="shared" si="2"/>
        <v>481.26</v>
      </c>
      <c r="V34" s="33">
        <f>(798.62/31*61)/2*1.04</f>
        <v>817.16859354838709</v>
      </c>
      <c r="W34" s="33">
        <f t="shared" si="6"/>
        <v>320.84000000000003</v>
      </c>
      <c r="X34" s="33">
        <v>1206</v>
      </c>
      <c r="Y34" s="33">
        <v>755</v>
      </c>
      <c r="Z34" s="49">
        <f t="shared" si="10"/>
        <v>617</v>
      </c>
      <c r="AA34" s="33">
        <f t="shared" si="7"/>
        <v>21170.938593548384</v>
      </c>
      <c r="AB34" s="33">
        <f t="shared" si="11"/>
        <v>7404</v>
      </c>
      <c r="AC34" s="49">
        <f t="shared" si="3"/>
        <v>26736.666666666668</v>
      </c>
      <c r="AD34" s="49">
        <f t="shared" si="4"/>
        <v>2673.666666666667</v>
      </c>
      <c r="AE34" s="49">
        <f t="shared" si="8"/>
        <v>8021</v>
      </c>
      <c r="AF34" s="103">
        <f t="shared" si="5"/>
        <v>301405.876455914</v>
      </c>
      <c r="AG34" s="101">
        <f t="shared" si="9"/>
        <v>11590.666666666666</v>
      </c>
      <c r="AH34" s="2"/>
    </row>
    <row r="35" spans="1:35" ht="24" customHeight="1">
      <c r="A35" s="36">
        <v>23</v>
      </c>
      <c r="B35" s="37" t="s">
        <v>37</v>
      </c>
      <c r="C35" s="37" t="s">
        <v>38</v>
      </c>
      <c r="D35" s="38">
        <v>3</v>
      </c>
      <c r="E35" s="37" t="s">
        <v>38</v>
      </c>
      <c r="F35" s="39" t="s">
        <v>39</v>
      </c>
      <c r="G35" s="40" t="s">
        <v>104</v>
      </c>
      <c r="H35" s="41" t="s">
        <v>105</v>
      </c>
      <c r="I35" s="42">
        <v>41441</v>
      </c>
      <c r="J35" s="60">
        <v>14</v>
      </c>
      <c r="K35" s="61">
        <v>40</v>
      </c>
      <c r="L35" s="44" t="s">
        <v>130</v>
      </c>
      <c r="M35" s="62" t="s">
        <v>106</v>
      </c>
      <c r="N35" s="61">
        <v>1</v>
      </c>
      <c r="O35" s="61" t="s">
        <v>103</v>
      </c>
      <c r="P35" s="63">
        <f>13967</f>
        <v>13967</v>
      </c>
      <c r="Q35" s="64">
        <v>0</v>
      </c>
      <c r="R35" s="64">
        <f t="shared" si="0"/>
        <v>13967</v>
      </c>
      <c r="S35" s="48"/>
      <c r="T35" s="33">
        <f t="shared" si="1"/>
        <v>1960.9668000000001</v>
      </c>
      <c r="U35" s="33">
        <f t="shared" si="2"/>
        <v>435.7704</v>
      </c>
      <c r="V35" s="65">
        <f>(750.98/31*61)/2*1.04</f>
        <v>768.42211612903225</v>
      </c>
      <c r="W35" s="65">
        <f t="shared" si="6"/>
        <v>290.5136</v>
      </c>
      <c r="X35" s="65">
        <v>1163</v>
      </c>
      <c r="Y35" s="65">
        <v>722</v>
      </c>
      <c r="Z35" s="49">
        <f t="shared" si="10"/>
        <v>558.68000000000006</v>
      </c>
      <c r="AA35" s="33">
        <f t="shared" si="7"/>
        <v>19307.672916129031</v>
      </c>
      <c r="AB35" s="33">
        <f t="shared" si="11"/>
        <v>6704.1600000000008</v>
      </c>
      <c r="AC35" s="49">
        <f t="shared" si="3"/>
        <v>24209.466666666667</v>
      </c>
      <c r="AD35" s="49">
        <f t="shared" si="4"/>
        <v>2420.9466666666667</v>
      </c>
      <c r="AE35" s="49">
        <f t="shared" si="8"/>
        <v>7262.84</v>
      </c>
      <c r="AF35" s="103">
        <f t="shared" si="5"/>
        <v>272289.48832688172</v>
      </c>
      <c r="AG35" s="101">
        <f t="shared" si="9"/>
        <v>10568</v>
      </c>
    </row>
    <row r="36" spans="1:35" ht="24" customHeight="1">
      <c r="A36" s="36">
        <v>24</v>
      </c>
      <c r="B36" s="37" t="s">
        <v>37</v>
      </c>
      <c r="C36" s="37" t="s">
        <v>38</v>
      </c>
      <c r="D36" s="38">
        <v>3</v>
      </c>
      <c r="E36" s="37" t="s">
        <v>38</v>
      </c>
      <c r="F36" s="39" t="s">
        <v>39</v>
      </c>
      <c r="G36" s="40" t="s">
        <v>107</v>
      </c>
      <c r="H36" s="52" t="s">
        <v>108</v>
      </c>
      <c r="I36" s="59">
        <v>40253</v>
      </c>
      <c r="J36" s="43">
        <v>14</v>
      </c>
      <c r="K36" s="44">
        <v>40</v>
      </c>
      <c r="L36" s="44" t="s">
        <v>130</v>
      </c>
      <c r="M36" s="45" t="s">
        <v>109</v>
      </c>
      <c r="N36" s="44">
        <v>1</v>
      </c>
      <c r="O36" s="44" t="s">
        <v>46</v>
      </c>
      <c r="P36" s="63">
        <f>13967</f>
        <v>13967</v>
      </c>
      <c r="Q36" s="47">
        <v>0</v>
      </c>
      <c r="R36" s="47">
        <f t="shared" si="0"/>
        <v>13967</v>
      </c>
      <c r="S36" s="48">
        <v>1329.62</v>
      </c>
      <c r="T36" s="33">
        <f t="shared" si="1"/>
        <v>1960.9668000000001</v>
      </c>
      <c r="U36" s="33">
        <f t="shared" si="2"/>
        <v>435.7704</v>
      </c>
      <c r="V36" s="65">
        <f>(750.98/31*61)/2*1.04</f>
        <v>768.42211612903225</v>
      </c>
      <c r="W36" s="33">
        <f t="shared" si="6"/>
        <v>290.5136</v>
      </c>
      <c r="X36" s="33">
        <v>1163</v>
      </c>
      <c r="Y36" s="33">
        <v>722</v>
      </c>
      <c r="Z36" s="49">
        <f t="shared" si="10"/>
        <v>558.68000000000006</v>
      </c>
      <c r="AA36" s="33">
        <f t="shared" si="7"/>
        <v>19307.672916129031</v>
      </c>
      <c r="AB36" s="33">
        <f t="shared" si="11"/>
        <v>6704.1600000000008</v>
      </c>
      <c r="AC36" s="49">
        <f t="shared" si="3"/>
        <v>24209.466666666667</v>
      </c>
      <c r="AD36" s="49">
        <f t="shared" si="4"/>
        <v>2420.9466666666667</v>
      </c>
      <c r="AE36" s="49">
        <f t="shared" si="8"/>
        <v>7262.84</v>
      </c>
      <c r="AF36" s="103">
        <f t="shared" si="5"/>
        <v>273619.10832688172</v>
      </c>
      <c r="AG36" s="101">
        <f t="shared" si="9"/>
        <v>10568</v>
      </c>
    </row>
    <row r="37" spans="1:35" ht="24" customHeight="1">
      <c r="A37" s="36">
        <v>25</v>
      </c>
      <c r="B37" s="37" t="s">
        <v>37</v>
      </c>
      <c r="C37" s="37" t="s">
        <v>38</v>
      </c>
      <c r="D37" s="38">
        <v>3</v>
      </c>
      <c r="E37" s="37" t="s">
        <v>38</v>
      </c>
      <c r="F37" s="39" t="s">
        <v>39</v>
      </c>
      <c r="G37" s="40" t="s">
        <v>110</v>
      </c>
      <c r="H37" s="52" t="s">
        <v>111</v>
      </c>
      <c r="I37" s="42">
        <v>41761</v>
      </c>
      <c r="J37" s="43">
        <v>12</v>
      </c>
      <c r="K37" s="44">
        <v>40</v>
      </c>
      <c r="L37" s="44" t="s">
        <v>130</v>
      </c>
      <c r="M37" s="57" t="s">
        <v>112</v>
      </c>
      <c r="N37" s="44">
        <v>1</v>
      </c>
      <c r="O37" s="44" t="s">
        <v>103</v>
      </c>
      <c r="P37" s="46">
        <f>12798</f>
        <v>12798</v>
      </c>
      <c r="Q37" s="47">
        <v>0</v>
      </c>
      <c r="R37" s="47">
        <f t="shared" si="0"/>
        <v>12798</v>
      </c>
      <c r="S37" s="48"/>
      <c r="T37" s="33">
        <f t="shared" si="1"/>
        <v>1796.8392000000001</v>
      </c>
      <c r="U37" s="33">
        <f t="shared" si="2"/>
        <v>399.29759999999999</v>
      </c>
      <c r="V37" s="33">
        <f>(715.73/31*61)/2*1.04</f>
        <v>732.35340645161295</v>
      </c>
      <c r="W37" s="33">
        <f t="shared" si="6"/>
        <v>266.19839999999999</v>
      </c>
      <c r="X37" s="33">
        <v>1099</v>
      </c>
      <c r="Y37" s="33">
        <v>689</v>
      </c>
      <c r="Z37" s="49">
        <f t="shared" si="10"/>
        <v>511.92</v>
      </c>
      <c r="AA37" s="33">
        <f t="shared" si="7"/>
        <v>17780.688606451615</v>
      </c>
      <c r="AB37" s="33">
        <f t="shared" si="11"/>
        <v>6143.04</v>
      </c>
      <c r="AC37" s="49">
        <f t="shared" si="3"/>
        <v>22183.200000000001</v>
      </c>
      <c r="AD37" s="49">
        <f t="shared" si="4"/>
        <v>2218.3199999999997</v>
      </c>
      <c r="AE37" s="49">
        <f t="shared" si="8"/>
        <v>6654.96</v>
      </c>
      <c r="AF37" s="103">
        <f t="shared" si="5"/>
        <v>250567.7832774194</v>
      </c>
      <c r="AG37" s="101">
        <f t="shared" si="9"/>
        <v>9724</v>
      </c>
    </row>
    <row r="38" spans="1:35" ht="24" customHeight="1">
      <c r="A38" s="36">
        <v>26</v>
      </c>
      <c r="B38" s="37" t="s">
        <v>37</v>
      </c>
      <c r="C38" s="37" t="s">
        <v>38</v>
      </c>
      <c r="D38" s="38">
        <v>3</v>
      </c>
      <c r="E38" s="37" t="s">
        <v>38</v>
      </c>
      <c r="F38" s="39" t="s">
        <v>39</v>
      </c>
      <c r="G38" s="40" t="s">
        <v>113</v>
      </c>
      <c r="H38" s="41" t="s">
        <v>114</v>
      </c>
      <c r="I38" s="42">
        <v>39755</v>
      </c>
      <c r="J38" s="43">
        <v>12</v>
      </c>
      <c r="K38" s="44">
        <v>40</v>
      </c>
      <c r="L38" s="44" t="s">
        <v>130</v>
      </c>
      <c r="M38" s="57" t="s">
        <v>112</v>
      </c>
      <c r="N38" s="44">
        <v>1</v>
      </c>
      <c r="O38" s="44" t="s">
        <v>103</v>
      </c>
      <c r="P38" s="46">
        <f>12798</f>
        <v>12798</v>
      </c>
      <c r="Q38" s="47">
        <v>0</v>
      </c>
      <c r="R38" s="47">
        <f t="shared" si="0"/>
        <v>12798</v>
      </c>
      <c r="S38" s="48">
        <v>1679.52</v>
      </c>
      <c r="T38" s="33">
        <f t="shared" si="1"/>
        <v>1796.8392000000001</v>
      </c>
      <c r="U38" s="33">
        <f t="shared" si="2"/>
        <v>399.29759999999999</v>
      </c>
      <c r="V38" s="33">
        <f>(718.87/31*61)/2*1.04</f>
        <v>735.56633548387106</v>
      </c>
      <c r="W38" s="33">
        <f t="shared" si="6"/>
        <v>266.19839999999999</v>
      </c>
      <c r="X38" s="33">
        <v>1099</v>
      </c>
      <c r="Y38" s="33">
        <v>689</v>
      </c>
      <c r="Z38" s="49">
        <f t="shared" si="10"/>
        <v>511.92</v>
      </c>
      <c r="AA38" s="33">
        <f t="shared" si="7"/>
        <v>17783.90153548387</v>
      </c>
      <c r="AB38" s="33">
        <f t="shared" si="11"/>
        <v>6143.04</v>
      </c>
      <c r="AC38" s="49">
        <f t="shared" si="3"/>
        <v>22183.200000000001</v>
      </c>
      <c r="AD38" s="49">
        <f t="shared" si="4"/>
        <v>2218.3199999999997</v>
      </c>
      <c r="AE38" s="49">
        <f t="shared" si="8"/>
        <v>6654.96</v>
      </c>
      <c r="AF38" s="103">
        <f t="shared" si="5"/>
        <v>252285.85842580645</v>
      </c>
      <c r="AG38" s="101">
        <f t="shared" si="9"/>
        <v>9724</v>
      </c>
    </row>
    <row r="39" spans="1:35" ht="24" customHeight="1">
      <c r="A39" s="36">
        <v>27</v>
      </c>
      <c r="B39" s="37" t="s">
        <v>37</v>
      </c>
      <c r="C39" s="37" t="s">
        <v>38</v>
      </c>
      <c r="D39" s="38">
        <v>3</v>
      </c>
      <c r="E39" s="37" t="s">
        <v>38</v>
      </c>
      <c r="F39" s="39" t="s">
        <v>39</v>
      </c>
      <c r="G39" s="40" t="s">
        <v>115</v>
      </c>
      <c r="H39" s="52" t="s">
        <v>116</v>
      </c>
      <c r="I39" s="59">
        <v>40360</v>
      </c>
      <c r="J39" s="43">
        <v>10</v>
      </c>
      <c r="K39" s="44">
        <v>40</v>
      </c>
      <c r="L39" s="54" t="s">
        <v>131</v>
      </c>
      <c r="M39" s="57" t="s">
        <v>117</v>
      </c>
      <c r="N39" s="44">
        <v>1</v>
      </c>
      <c r="O39" s="54" t="s">
        <v>84</v>
      </c>
      <c r="P39" s="46">
        <f>11955</f>
        <v>11955</v>
      </c>
      <c r="Q39" s="47">
        <v>0</v>
      </c>
      <c r="R39" s="47">
        <f t="shared" si="0"/>
        <v>11955</v>
      </c>
      <c r="S39" s="48"/>
      <c r="T39" s="33">
        <f t="shared" si="1"/>
        <v>1678.4820000000002</v>
      </c>
      <c r="U39" s="33">
        <f t="shared" si="2"/>
        <v>372.99599999999998</v>
      </c>
      <c r="V39" s="33">
        <f>(689.57/31*61)/2*1.04</f>
        <v>705.5858193548388</v>
      </c>
      <c r="W39" s="33">
        <f t="shared" si="6"/>
        <v>248.66400000000002</v>
      </c>
      <c r="X39" s="33">
        <v>1021</v>
      </c>
      <c r="Y39" s="33">
        <v>666</v>
      </c>
      <c r="Z39" s="49">
        <f t="shared" si="10"/>
        <v>478.2</v>
      </c>
      <c r="AA39" s="33">
        <f t="shared" si="7"/>
        <v>16647.727819354841</v>
      </c>
      <c r="AB39" s="33">
        <f t="shared" si="11"/>
        <v>5738.4</v>
      </c>
      <c r="AC39" s="49">
        <f t="shared" si="3"/>
        <v>20722</v>
      </c>
      <c r="AD39" s="49">
        <f t="shared" si="4"/>
        <v>2072.1999999999998</v>
      </c>
      <c r="AE39" s="49">
        <f t="shared" si="8"/>
        <v>6216.6</v>
      </c>
      <c r="AF39" s="103">
        <f t="shared" si="5"/>
        <v>234521.9338322581</v>
      </c>
      <c r="AG39" s="101">
        <f t="shared" si="9"/>
        <v>9094.6666666666679</v>
      </c>
    </row>
    <row r="40" spans="1:35" ht="24" customHeight="1">
      <c r="A40" s="36">
        <v>28</v>
      </c>
      <c r="B40" s="37" t="s">
        <v>37</v>
      </c>
      <c r="C40" s="37" t="s">
        <v>38</v>
      </c>
      <c r="D40" s="38">
        <v>3</v>
      </c>
      <c r="E40" s="37" t="s">
        <v>38</v>
      </c>
      <c r="F40" s="39" t="s">
        <v>39</v>
      </c>
      <c r="G40" s="40" t="s">
        <v>118</v>
      </c>
      <c r="H40" s="52" t="s">
        <v>119</v>
      </c>
      <c r="I40" s="59">
        <v>39104</v>
      </c>
      <c r="J40" s="43">
        <v>10</v>
      </c>
      <c r="K40" s="44">
        <v>40</v>
      </c>
      <c r="L40" s="54" t="s">
        <v>131</v>
      </c>
      <c r="M40" s="57" t="s">
        <v>120</v>
      </c>
      <c r="N40" s="44">
        <v>1</v>
      </c>
      <c r="O40" s="44" t="s">
        <v>103</v>
      </c>
      <c r="P40" s="46">
        <f>11955</f>
        <v>11955</v>
      </c>
      <c r="Q40" s="47">
        <v>0</v>
      </c>
      <c r="R40" s="47">
        <f t="shared" si="0"/>
        <v>11955</v>
      </c>
      <c r="S40" s="48">
        <v>1679.52</v>
      </c>
      <c r="T40" s="33">
        <f t="shared" si="1"/>
        <v>1678.4820000000002</v>
      </c>
      <c r="U40" s="33">
        <f t="shared" si="2"/>
        <v>372.99599999999998</v>
      </c>
      <c r="V40" s="33">
        <f>(692.72/31*61)/2*1.04</f>
        <v>708.80898064516134</v>
      </c>
      <c r="W40" s="33">
        <f t="shared" si="6"/>
        <v>248.66400000000002</v>
      </c>
      <c r="X40" s="33">
        <v>1021</v>
      </c>
      <c r="Y40" s="33">
        <v>666</v>
      </c>
      <c r="Z40" s="49">
        <f t="shared" si="10"/>
        <v>478.2</v>
      </c>
      <c r="AA40" s="33">
        <f t="shared" si="7"/>
        <v>16650.950980645161</v>
      </c>
      <c r="AB40" s="33">
        <f t="shared" si="11"/>
        <v>5738.4</v>
      </c>
      <c r="AC40" s="49">
        <f t="shared" si="3"/>
        <v>20722</v>
      </c>
      <c r="AD40" s="49">
        <f t="shared" si="4"/>
        <v>2072.1999999999998</v>
      </c>
      <c r="AE40" s="49">
        <f t="shared" si="8"/>
        <v>6216.6</v>
      </c>
      <c r="AF40" s="103">
        <f t="shared" si="5"/>
        <v>236240.13176774193</v>
      </c>
      <c r="AG40" s="101">
        <f t="shared" si="9"/>
        <v>9094.6666666666679</v>
      </c>
    </row>
    <row r="41" spans="1:35" ht="24" customHeight="1">
      <c r="A41" s="36">
        <v>29</v>
      </c>
      <c r="B41" s="37" t="s">
        <v>37</v>
      </c>
      <c r="C41" s="37" t="s">
        <v>38</v>
      </c>
      <c r="D41" s="38">
        <v>3</v>
      </c>
      <c r="E41" s="37" t="s">
        <v>38</v>
      </c>
      <c r="F41" s="39" t="s">
        <v>39</v>
      </c>
      <c r="G41" s="40" t="s">
        <v>121</v>
      </c>
      <c r="H41" s="52" t="s">
        <v>122</v>
      </c>
      <c r="I41" s="42">
        <v>39198</v>
      </c>
      <c r="J41" s="43">
        <v>3</v>
      </c>
      <c r="K41" s="44">
        <v>40</v>
      </c>
      <c r="L41" s="54" t="s">
        <v>131</v>
      </c>
      <c r="M41" s="57" t="s">
        <v>123</v>
      </c>
      <c r="N41" s="44">
        <v>1</v>
      </c>
      <c r="O41" s="44" t="s">
        <v>103</v>
      </c>
      <c r="P41" s="46">
        <f>8469</f>
        <v>8469</v>
      </c>
      <c r="Q41" s="47">
        <v>0</v>
      </c>
      <c r="R41" s="47">
        <f t="shared" si="0"/>
        <v>8469</v>
      </c>
      <c r="S41" s="48">
        <v>1679.52</v>
      </c>
      <c r="T41" s="33">
        <f t="shared" si="1"/>
        <v>1189.0476000000001</v>
      </c>
      <c r="U41" s="33">
        <f t="shared" si="2"/>
        <v>264.2328</v>
      </c>
      <c r="V41" s="33">
        <f>(584.04/31*61)/2*1.04</f>
        <v>597.60480000000007</v>
      </c>
      <c r="W41" s="33">
        <f t="shared" si="6"/>
        <v>176.15520000000001</v>
      </c>
      <c r="X41" s="33">
        <v>718</v>
      </c>
      <c r="Y41" s="33">
        <v>438</v>
      </c>
      <c r="Z41" s="49">
        <f t="shared" si="10"/>
        <v>338.76</v>
      </c>
      <c r="AA41" s="33">
        <f t="shared" si="7"/>
        <v>11852.0404</v>
      </c>
      <c r="AB41" s="33">
        <f t="shared" si="11"/>
        <v>4065.12</v>
      </c>
      <c r="AC41" s="49">
        <f t="shared" si="3"/>
        <v>14679.599999999999</v>
      </c>
      <c r="AD41" s="49">
        <f t="shared" si="4"/>
        <v>1467.96</v>
      </c>
      <c r="AE41" s="49">
        <f t="shared" si="8"/>
        <v>4403.88</v>
      </c>
      <c r="AF41" s="103">
        <f t="shared" si="5"/>
        <v>168520.56479999999</v>
      </c>
      <c r="AG41" s="101">
        <f t="shared" si="9"/>
        <v>6416.6666666666661</v>
      </c>
    </row>
    <row r="42" spans="1:35" ht="24" customHeight="1" thickBot="1">
      <c r="A42" s="66">
        <v>30</v>
      </c>
      <c r="B42" s="67" t="s">
        <v>37</v>
      </c>
      <c r="C42" s="67" t="s">
        <v>38</v>
      </c>
      <c r="D42" s="68">
        <v>3</v>
      </c>
      <c r="E42" s="67" t="s">
        <v>38</v>
      </c>
      <c r="F42" s="69" t="s">
        <v>39</v>
      </c>
      <c r="G42" s="70" t="s">
        <v>124</v>
      </c>
      <c r="H42" s="71" t="s">
        <v>125</v>
      </c>
      <c r="I42" s="72">
        <v>37288</v>
      </c>
      <c r="J42" s="73">
        <v>1</v>
      </c>
      <c r="K42" s="74">
        <v>40</v>
      </c>
      <c r="L42" s="74" t="s">
        <v>131</v>
      </c>
      <c r="M42" s="75" t="s">
        <v>126</v>
      </c>
      <c r="N42" s="76">
        <v>1</v>
      </c>
      <c r="O42" s="76" t="s">
        <v>103</v>
      </c>
      <c r="P42" s="77">
        <f>7707</f>
        <v>7707</v>
      </c>
      <c r="Q42" s="78">
        <v>0</v>
      </c>
      <c r="R42" s="78">
        <f t="shared" si="0"/>
        <v>7707</v>
      </c>
      <c r="S42" s="79">
        <v>2519.2800000000002</v>
      </c>
      <c r="T42" s="80">
        <f t="shared" si="1"/>
        <v>1082.0627999999999</v>
      </c>
      <c r="U42" s="80">
        <f t="shared" si="2"/>
        <v>240.45839999999998</v>
      </c>
      <c r="V42" s="80">
        <f>(563.61/31*61)/2*1.04</f>
        <v>576.70029677419359</v>
      </c>
      <c r="W42" s="80">
        <f t="shared" si="6"/>
        <v>160.3056</v>
      </c>
      <c r="X42" s="80">
        <v>647</v>
      </c>
      <c r="Y42" s="80">
        <v>417</v>
      </c>
      <c r="Z42" s="81">
        <f t="shared" si="10"/>
        <v>308.28000000000003</v>
      </c>
      <c r="AA42" s="80">
        <f t="shared" si="7"/>
        <v>10830.527096774193</v>
      </c>
      <c r="AB42" s="80">
        <f t="shared" si="11"/>
        <v>3699.3600000000006</v>
      </c>
      <c r="AC42" s="81">
        <f t="shared" si="3"/>
        <v>13358.8</v>
      </c>
      <c r="AD42" s="81">
        <f t="shared" si="4"/>
        <v>1335.8799999999999</v>
      </c>
      <c r="AE42" s="81">
        <f t="shared" si="8"/>
        <v>4007.64</v>
      </c>
      <c r="AF42" s="104">
        <f t="shared" si="5"/>
        <v>154887.28516129032</v>
      </c>
      <c r="AG42" s="101">
        <f t="shared" si="9"/>
        <v>5847.3333333333339</v>
      </c>
    </row>
    <row r="43" spans="1:35" ht="24" customHeight="1">
      <c r="A43" s="83"/>
      <c r="B43" s="83"/>
      <c r="C43" s="83"/>
      <c r="D43" s="83"/>
      <c r="E43" s="83"/>
      <c r="F43" s="105"/>
      <c r="G43" s="82"/>
      <c r="H43" s="82"/>
      <c r="I43" s="83"/>
      <c r="J43" s="83"/>
      <c r="K43" s="83"/>
      <c r="L43" s="83"/>
      <c r="M43" s="82"/>
      <c r="N43" s="82"/>
      <c r="O43" s="83"/>
      <c r="P43" s="84">
        <f t="shared" ref="P43:AE43" si="13">SUM(P13:P42)</f>
        <v>636179</v>
      </c>
      <c r="Q43" s="84">
        <f t="shared" si="13"/>
        <v>0</v>
      </c>
      <c r="R43" s="84">
        <f t="shared" si="13"/>
        <v>636179</v>
      </c>
      <c r="S43" s="84"/>
      <c r="T43" s="84">
        <f>SUM(T13:T42)</f>
        <v>89319.531599999988</v>
      </c>
      <c r="U43" s="84">
        <f>SUM(U13:U42)</f>
        <v>19848.784800000005</v>
      </c>
      <c r="V43" s="84">
        <f>SUM(V13:V42)</f>
        <v>28837.603599999999</v>
      </c>
      <c r="W43" s="84">
        <f t="shared" si="13"/>
        <v>12968.631199999998</v>
      </c>
      <c r="X43" s="84">
        <f t="shared" si="13"/>
        <v>40402</v>
      </c>
      <c r="Y43" s="84">
        <f t="shared" si="13"/>
        <v>26424</v>
      </c>
      <c r="Z43" s="84">
        <f>SUM(Z13:Z42)</f>
        <v>25447.159999999996</v>
      </c>
      <c r="AA43" s="84">
        <f t="shared" si="13"/>
        <v>853979.55119999999</v>
      </c>
      <c r="AB43" s="84">
        <f>SUM(AB13:AB42)</f>
        <v>305365.91999999987</v>
      </c>
      <c r="AC43" s="84">
        <f t="shared" si="13"/>
        <v>1102710.2666666666</v>
      </c>
      <c r="AD43" s="84">
        <f t="shared" si="13"/>
        <v>110271.02666666672</v>
      </c>
      <c r="AE43" s="84">
        <f t="shared" si="13"/>
        <v>297928.28000000009</v>
      </c>
      <c r="AF43" s="85">
        <f>SUM(AF13:AF42)</f>
        <v>12101549.827733336</v>
      </c>
      <c r="AG43" s="86"/>
    </row>
    <row r="44" spans="1:35" ht="24" customHeight="1">
      <c r="A44" s="87">
        <f>A42</f>
        <v>30</v>
      </c>
      <c r="B44" s="88"/>
      <c r="C44" s="89"/>
      <c r="D44" s="88" t="s">
        <v>127</v>
      </c>
      <c r="E44" s="88"/>
      <c r="F44" s="90"/>
      <c r="G44" s="89"/>
      <c r="H44" s="89"/>
      <c r="I44" s="88"/>
      <c r="J44" s="88"/>
      <c r="K44" s="88"/>
      <c r="L44" s="88"/>
      <c r="M44" s="89"/>
      <c r="N44" s="89"/>
      <c r="O44" s="88"/>
      <c r="P44" s="91">
        <f>P43*12</f>
        <v>7634148</v>
      </c>
      <c r="Q44" s="92"/>
      <c r="R44" s="91">
        <f>R43*12</f>
        <v>7634148</v>
      </c>
      <c r="S44" s="93">
        <f>SUM(S13:S42)</f>
        <v>37519.719999999994</v>
      </c>
      <c r="T44" s="94">
        <f>T43*12</f>
        <v>1071834.3791999999</v>
      </c>
      <c r="U44" s="94">
        <f t="shared" ref="U44:Y44" si="14">U43*12</f>
        <v>238185.41760000004</v>
      </c>
      <c r="V44" s="94">
        <f t="shared" si="14"/>
        <v>346051.24319999997</v>
      </c>
      <c r="W44" s="94">
        <f t="shared" si="14"/>
        <v>155623.57439999998</v>
      </c>
      <c r="X44" s="94">
        <f t="shared" si="14"/>
        <v>484824</v>
      </c>
      <c r="Y44" s="94">
        <f t="shared" si="14"/>
        <v>317088</v>
      </c>
      <c r="Z44" s="94"/>
      <c r="AA44" s="93"/>
      <c r="AB44" s="94">
        <f>AB43</f>
        <v>305365.91999999987</v>
      </c>
      <c r="AC44" s="93">
        <f>AC43</f>
        <v>1102710.2666666666</v>
      </c>
      <c r="AD44" s="93">
        <f>AD43</f>
        <v>110271.02666666672</v>
      </c>
      <c r="AE44" s="95">
        <f>AE43</f>
        <v>297928.28000000009</v>
      </c>
      <c r="AF44" s="96">
        <f>SUM(R44:AE44)</f>
        <v>12101549.827733332</v>
      </c>
      <c r="AG44" s="97"/>
      <c r="AI44" s="98"/>
    </row>
    <row r="45" spans="1:35" ht="13.5" thickBot="1">
      <c r="R45" s="100"/>
      <c r="S45" s="100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</row>
    <row r="46" spans="1:35" ht="16.5" thickBot="1">
      <c r="A46" s="106">
        <v>26</v>
      </c>
      <c r="C46" s="107" t="s">
        <v>128</v>
      </c>
      <c r="R46" s="100"/>
      <c r="S46" s="100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</row>
    <row r="47" spans="1:35" ht="16.5" thickBot="1">
      <c r="A47" s="108"/>
      <c r="B47" s="109"/>
      <c r="C47" s="107"/>
      <c r="R47" s="100"/>
      <c r="S47" s="100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</row>
    <row r="48" spans="1:35" ht="16.5" thickBot="1">
      <c r="A48" s="106">
        <v>4</v>
      </c>
      <c r="C48" s="107" t="s">
        <v>129</v>
      </c>
      <c r="R48" s="100"/>
      <c r="S48" s="100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</row>
    <row r="49" spans="18:30">
      <c r="R49" s="100"/>
      <c r="S49" s="100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</row>
    <row r="50" spans="18:30">
      <c r="R50" s="100"/>
      <c r="S50" s="100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</row>
    <row r="51" spans="18:30">
      <c r="R51" s="100"/>
      <c r="S51" s="100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</row>
    <row r="52" spans="18:30">
      <c r="R52" s="100"/>
      <c r="S52" s="100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</row>
    <row r="53" spans="18:30">
      <c r="R53" s="100"/>
      <c r="S53" s="100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</row>
    <row r="54" spans="18:30">
      <c r="R54" s="100"/>
      <c r="S54" s="100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</row>
    <row r="55" spans="18:30">
      <c r="R55" s="100"/>
      <c r="S55" s="100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</row>
    <row r="56" spans="18:30">
      <c r="R56" s="100"/>
      <c r="S56" s="100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</row>
    <row r="57" spans="18:30">
      <c r="R57" s="100"/>
      <c r="S57" s="100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</row>
    <row r="58" spans="18:30">
      <c r="R58" s="100"/>
      <c r="S58" s="100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</row>
    <row r="59" spans="18:30">
      <c r="R59" s="100"/>
      <c r="S59" s="100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</row>
    <row r="60" spans="18:30">
      <c r="R60" s="100"/>
      <c r="S60" s="100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</row>
    <row r="61" spans="18:30">
      <c r="R61" s="100"/>
      <c r="S61" s="100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</row>
    <row r="62" spans="18:30">
      <c r="R62" s="100"/>
      <c r="S62" s="100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</row>
    <row r="63" spans="18:30">
      <c r="R63" s="100"/>
      <c r="S63" s="100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</row>
    <row r="64" spans="18:30">
      <c r="R64" s="100"/>
      <c r="S64" s="100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</row>
    <row r="65" spans="18:30">
      <c r="R65" s="100"/>
      <c r="S65" s="100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</row>
    <row r="66" spans="18:30">
      <c r="R66" s="100"/>
      <c r="S66" s="100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</row>
    <row r="67" spans="18:30">
      <c r="R67" s="100"/>
      <c r="S67" s="100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</row>
    <row r="68" spans="18:30">
      <c r="R68" s="100"/>
      <c r="S68" s="100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</row>
    <row r="69" spans="18:30">
      <c r="R69" s="100"/>
      <c r="S69" s="100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</row>
    <row r="70" spans="18:30">
      <c r="R70" s="100"/>
      <c r="S70" s="100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</row>
    <row r="71" spans="18:30">
      <c r="R71" s="100"/>
      <c r="S71" s="100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</row>
    <row r="72" spans="18:30">
      <c r="R72" s="100"/>
      <c r="S72" s="100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</row>
    <row r="73" spans="18:30">
      <c r="R73" s="100"/>
      <c r="S73" s="100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</row>
    <row r="74" spans="18:30">
      <c r="R74" s="100"/>
      <c r="S74" s="100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</row>
    <row r="75" spans="18:30">
      <c r="R75" s="100"/>
      <c r="S75" s="100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</row>
    <row r="76" spans="18:30">
      <c r="R76" s="100"/>
      <c r="S76" s="100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</row>
    <row r="77" spans="18:30">
      <c r="R77" s="100"/>
      <c r="S77" s="100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</row>
    <row r="78" spans="18:30">
      <c r="R78" s="100"/>
      <c r="S78" s="100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</row>
    <row r="79" spans="18:30">
      <c r="R79" s="100"/>
      <c r="S79" s="100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</row>
    <row r="80" spans="18:30">
      <c r="R80" s="100"/>
      <c r="S80" s="100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</row>
    <row r="81" spans="18:30">
      <c r="R81" s="100"/>
      <c r="S81" s="100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</row>
    <row r="82" spans="18:30">
      <c r="R82" s="100"/>
      <c r="S82" s="100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</row>
    <row r="83" spans="18:30">
      <c r="R83" s="100"/>
      <c r="S83" s="100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</row>
    <row r="84" spans="18:30">
      <c r="R84" s="100"/>
      <c r="S84" s="100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</row>
    <row r="85" spans="18:30">
      <c r="R85" s="100"/>
      <c r="S85" s="100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</row>
    <row r="86" spans="18:30">
      <c r="R86" s="100"/>
      <c r="S86" s="100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</row>
    <row r="87" spans="18:30">
      <c r="R87" s="100"/>
      <c r="S87" s="100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</row>
    <row r="88" spans="18:30">
      <c r="R88" s="100"/>
      <c r="S88" s="100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</row>
    <row r="89" spans="18:30">
      <c r="R89" s="100"/>
      <c r="S89" s="100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</row>
    <row r="90" spans="18:30">
      <c r="R90" s="100"/>
      <c r="S90" s="100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</row>
    <row r="91" spans="18:30">
      <c r="R91" s="100"/>
      <c r="S91" s="100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</row>
    <row r="92" spans="18:30">
      <c r="R92" s="100"/>
      <c r="S92" s="100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</row>
    <row r="93" spans="18:30">
      <c r="R93" s="100"/>
      <c r="S93" s="100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</row>
    <row r="94" spans="18:30">
      <c r="R94" s="100"/>
      <c r="S94" s="100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</row>
    <row r="95" spans="18:30">
      <c r="R95" s="100"/>
      <c r="S95" s="100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</row>
    <row r="96" spans="18:30">
      <c r="R96" s="100"/>
      <c r="S96" s="100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</row>
    <row r="97" spans="18:30">
      <c r="R97" s="100"/>
      <c r="S97" s="100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</row>
    <row r="98" spans="18:30">
      <c r="R98" s="100"/>
      <c r="S98" s="100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</row>
    <row r="99" spans="18:30">
      <c r="R99" s="100"/>
      <c r="S99" s="100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</row>
    <row r="100" spans="18:30">
      <c r="R100" s="100"/>
      <c r="S100" s="100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</row>
    <row r="101" spans="18:30">
      <c r="R101" s="100"/>
      <c r="S101" s="100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</row>
    <row r="102" spans="18:30">
      <c r="R102" s="100"/>
      <c r="S102" s="100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</row>
    <row r="103" spans="18:30">
      <c r="R103" s="100"/>
      <c r="S103" s="100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</row>
    <row r="104" spans="18:30">
      <c r="R104" s="100"/>
      <c r="S104" s="100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</row>
    <row r="105" spans="18:30">
      <c r="R105" s="100"/>
      <c r="S105" s="100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</row>
    <row r="106" spans="18:30">
      <c r="R106" s="100"/>
      <c r="S106" s="100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</row>
    <row r="107" spans="18:30">
      <c r="R107" s="100"/>
      <c r="S107" s="100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</row>
    <row r="108" spans="18:30">
      <c r="R108" s="100"/>
      <c r="S108" s="100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</row>
    <row r="109" spans="18:30">
      <c r="R109" s="100"/>
      <c r="S109" s="100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</row>
    <row r="110" spans="18:30">
      <c r="R110" s="100"/>
      <c r="S110" s="100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</row>
    <row r="111" spans="18:30">
      <c r="R111" s="100"/>
      <c r="S111" s="100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</row>
    <row r="112" spans="18:30">
      <c r="R112" s="100"/>
      <c r="S112" s="100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</row>
    <row r="113" spans="18:30">
      <c r="R113" s="100"/>
      <c r="S113" s="100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</row>
    <row r="114" spans="18:30">
      <c r="R114" s="100"/>
      <c r="S114" s="100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</row>
    <row r="115" spans="18:30">
      <c r="R115" s="100"/>
      <c r="S115" s="100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</row>
    <row r="116" spans="18:30">
      <c r="R116" s="100"/>
      <c r="S116" s="100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</row>
    <row r="117" spans="18:30">
      <c r="R117" s="100"/>
      <c r="S117" s="100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</row>
    <row r="118" spans="18:30">
      <c r="R118" s="100"/>
      <c r="S118" s="100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</row>
    <row r="119" spans="18:30">
      <c r="R119" s="100"/>
      <c r="S119" s="100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</row>
    <row r="120" spans="18:30">
      <c r="R120" s="100"/>
      <c r="S120" s="100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</row>
    <row r="121" spans="18:30">
      <c r="R121" s="100"/>
      <c r="S121" s="100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</row>
    <row r="122" spans="18:30">
      <c r="R122" s="100"/>
      <c r="S122" s="100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</row>
    <row r="123" spans="18:30">
      <c r="R123" s="100"/>
      <c r="S123" s="100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</row>
    <row r="124" spans="18:30">
      <c r="R124" s="100"/>
      <c r="S124" s="100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</row>
    <row r="125" spans="18:30">
      <c r="R125" s="100"/>
      <c r="S125" s="100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</row>
    <row r="126" spans="18:30">
      <c r="R126" s="100"/>
      <c r="S126" s="100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</row>
    <row r="127" spans="18:30">
      <c r="R127" s="100"/>
      <c r="S127" s="100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</row>
    <row r="128" spans="18:30">
      <c r="R128" s="100"/>
      <c r="S128" s="100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</row>
    <row r="129" spans="18:30">
      <c r="R129" s="100"/>
      <c r="S129" s="100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</row>
    <row r="130" spans="18:30">
      <c r="R130" s="100"/>
      <c r="S130" s="100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</row>
    <row r="131" spans="18:30">
      <c r="R131" s="100"/>
      <c r="S131" s="100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</row>
    <row r="132" spans="18:30">
      <c r="R132" s="100"/>
      <c r="S132" s="100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</row>
    <row r="133" spans="18:30">
      <c r="R133" s="100"/>
      <c r="S133" s="100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</row>
    <row r="134" spans="18:30">
      <c r="R134" s="100"/>
      <c r="S134" s="100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</row>
    <row r="135" spans="18:30">
      <c r="R135" s="100"/>
      <c r="S135" s="100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</row>
    <row r="136" spans="18:30">
      <c r="R136" s="100"/>
      <c r="S136" s="100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</row>
    <row r="137" spans="18:30">
      <c r="R137" s="100"/>
      <c r="S137" s="100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</row>
    <row r="138" spans="18:30">
      <c r="R138" s="100"/>
      <c r="S138" s="100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</row>
    <row r="139" spans="18:30">
      <c r="R139" s="100"/>
      <c r="S139" s="100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</row>
    <row r="140" spans="18:30">
      <c r="R140" s="100"/>
      <c r="S140" s="100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</row>
    <row r="141" spans="18:30">
      <c r="R141" s="100"/>
      <c r="S141" s="100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</row>
    <row r="142" spans="18:30">
      <c r="R142" s="100"/>
      <c r="S142" s="100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</row>
    <row r="143" spans="18:30">
      <c r="R143" s="100"/>
      <c r="S143" s="100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</row>
    <row r="144" spans="18:30">
      <c r="R144" s="100"/>
      <c r="S144" s="100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</row>
    <row r="145" spans="18:30">
      <c r="R145" s="100"/>
      <c r="S145" s="100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</row>
    <row r="146" spans="18:30">
      <c r="R146" s="100"/>
      <c r="S146" s="100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</row>
    <row r="147" spans="18:30">
      <c r="R147" s="100"/>
      <c r="S147" s="100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</row>
    <row r="148" spans="18:30">
      <c r="R148" s="100"/>
      <c r="S148" s="100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</row>
    <row r="149" spans="18:30">
      <c r="R149" s="100"/>
      <c r="S149" s="100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</row>
    <row r="150" spans="18:30">
      <c r="R150" s="100"/>
      <c r="S150" s="100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</row>
    <row r="151" spans="18:30">
      <c r="R151" s="100"/>
      <c r="S151" s="100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</row>
    <row r="152" spans="18:30">
      <c r="R152" s="100"/>
      <c r="S152" s="100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</row>
    <row r="153" spans="18:30">
      <c r="R153" s="100"/>
      <c r="S153" s="100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</row>
    <row r="154" spans="18:30">
      <c r="R154" s="100"/>
      <c r="S154" s="100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</row>
    <row r="155" spans="18:30">
      <c r="R155" s="100"/>
      <c r="S155" s="100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</row>
    <row r="156" spans="18:30">
      <c r="R156" s="100"/>
      <c r="S156" s="100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</row>
    <row r="157" spans="18:30">
      <c r="R157" s="100"/>
      <c r="S157" s="100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</row>
    <row r="158" spans="18:30">
      <c r="R158" s="100"/>
      <c r="S158" s="100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</row>
    <row r="159" spans="18:30">
      <c r="R159" s="100"/>
      <c r="S159" s="100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</row>
    <row r="160" spans="18:30">
      <c r="R160" s="100"/>
      <c r="S160" s="100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</row>
    <row r="161" spans="18:30">
      <c r="R161" s="100"/>
      <c r="S161" s="100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</row>
    <row r="162" spans="18:30">
      <c r="R162" s="100"/>
      <c r="S162" s="100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</row>
    <row r="163" spans="18:30">
      <c r="R163" s="100"/>
      <c r="S163" s="100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</row>
    <row r="164" spans="18:30">
      <c r="R164" s="100"/>
      <c r="S164" s="100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</row>
    <row r="165" spans="18:30">
      <c r="R165" s="100"/>
      <c r="S165" s="100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</row>
    <row r="166" spans="18:30">
      <c r="R166" s="100"/>
      <c r="S166" s="100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</row>
    <row r="167" spans="18:30">
      <c r="R167" s="100"/>
      <c r="S167" s="100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</row>
    <row r="168" spans="18:30">
      <c r="R168" s="100"/>
      <c r="S168" s="100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</row>
    <row r="169" spans="18:30">
      <c r="R169" s="100"/>
      <c r="S169" s="100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</row>
    <row r="170" spans="18:30">
      <c r="R170" s="100"/>
      <c r="S170" s="100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</row>
    <row r="171" spans="18:30">
      <c r="R171" s="100"/>
      <c r="S171" s="100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</row>
    <row r="172" spans="18:30">
      <c r="R172" s="100"/>
      <c r="S172" s="100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</row>
    <row r="173" spans="18:30">
      <c r="R173" s="100"/>
      <c r="S173" s="100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</row>
    <row r="174" spans="18:30">
      <c r="R174" s="100"/>
      <c r="S174" s="100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</row>
    <row r="175" spans="18:30">
      <c r="R175" s="100"/>
      <c r="S175" s="100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</row>
    <row r="176" spans="18:30">
      <c r="R176" s="100"/>
      <c r="S176" s="100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</row>
    <row r="177" spans="18:30">
      <c r="R177" s="100"/>
      <c r="S177" s="100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</row>
  </sheetData>
  <mergeCells count="3">
    <mergeCell ref="D9:M9"/>
    <mergeCell ref="P11:Z11"/>
    <mergeCell ref="AB11:AE11"/>
  </mergeCells>
  <printOptions horizontalCentered="1"/>
  <pageMargins left="0" right="0" top="0.19685039370078741" bottom="0" header="0" footer="0.11811023622047245"/>
  <pageSetup scale="53" orientation="landscape" r:id="rId1"/>
  <headerFooter alignWithMargins="0"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PLANTILLA 2015</vt:lpstr>
      <vt:lpstr>'PLANTILLA 2015'!Área_de_impresión</vt:lpstr>
      <vt:lpstr>'PLANTILLA 2015'!PLANTILLA_PARA_REVISION_2001</vt:lpstr>
      <vt:lpstr>'PLANTILLA 2015'!Títulos_a_imprimir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Claudia Angelica Velasco Espinoza</cp:lastModifiedBy>
  <dcterms:created xsi:type="dcterms:W3CDTF">2016-05-11T20:12:11Z</dcterms:created>
  <dcterms:modified xsi:type="dcterms:W3CDTF">2016-05-11T20:28:35Z</dcterms:modified>
</cp:coreProperties>
</file>