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Plantilla organismos 2013" sheetId="1" r:id="rId1"/>
  </sheets>
  <definedNames>
    <definedName name="_xlnm._FilterDatabase" localSheetId="0" hidden="1">'Plantilla organismos 2013'!$I$3:$I$15</definedName>
    <definedName name="_xlnm.Print_Area" localSheetId="0">'Plantilla organismos 2013'!$A$1:$AH$41</definedName>
    <definedName name="PLANTILLA_PARA_REVISION_2001" localSheetId="0">'Plantilla organismos 2013'!$C$9:$O$9</definedName>
    <definedName name="_xlnm.Print_Titles" localSheetId="0">'Plantilla organismos 2013'!$9:$9</definedName>
  </definedNames>
  <calcPr calcId="125725"/>
</workbook>
</file>

<file path=xl/calcChain.xml><?xml version="1.0" encoding="utf-8"?>
<calcChain xmlns="http://schemas.openxmlformats.org/spreadsheetml/2006/main">
  <c r="P40" i="1"/>
  <c r="Q40"/>
  <c r="R40"/>
  <c r="T40"/>
  <c r="U40"/>
  <c r="V40"/>
  <c r="W40"/>
  <c r="X40"/>
  <c r="Y40"/>
  <c r="Z40"/>
  <c r="Z41" s="1"/>
  <c r="AA40"/>
  <c r="AB40"/>
  <c r="AC40"/>
  <c r="AD40"/>
  <c r="AE40"/>
  <c r="AF40"/>
  <c r="AG40"/>
  <c r="AH40"/>
  <c r="AA41"/>
  <c r="A41"/>
  <c r="AD39"/>
  <c r="Y39"/>
  <c r="X39"/>
  <c r="R39"/>
  <c r="AE38"/>
  <c r="AD38"/>
  <c r="X38"/>
  <c r="V38"/>
  <c r="R38"/>
  <c r="AF38" s="1"/>
  <c r="AD37"/>
  <c r="X37"/>
  <c r="W37"/>
  <c r="R37"/>
  <c r="AE37" s="1"/>
  <c r="AD36"/>
  <c r="X36"/>
  <c r="R36"/>
  <c r="Y36" s="1"/>
  <c r="AD35"/>
  <c r="X35"/>
  <c r="R35"/>
  <c r="AE35" s="1"/>
  <c r="AD34"/>
  <c r="X34"/>
  <c r="V34"/>
  <c r="R34"/>
  <c r="AF34" s="1"/>
  <c r="AD33"/>
  <c r="X33"/>
  <c r="W33"/>
  <c r="R33"/>
  <c r="AG32"/>
  <c r="AD32"/>
  <c r="Y32"/>
  <c r="X32"/>
  <c r="R32"/>
  <c r="AF32" s="1"/>
  <c r="AD31"/>
  <c r="X31"/>
  <c r="R31"/>
  <c r="Y31" s="1"/>
  <c r="AD30"/>
  <c r="X30"/>
  <c r="R30"/>
  <c r="AF30" s="1"/>
  <c r="AG29"/>
  <c r="AD29"/>
  <c r="Y29"/>
  <c r="X29"/>
  <c r="W29"/>
  <c r="V29"/>
  <c r="R29"/>
  <c r="AE29" s="1"/>
  <c r="AG28"/>
  <c r="AD28"/>
  <c r="X28"/>
  <c r="R28"/>
  <c r="Y28" s="1"/>
  <c r="AF27"/>
  <c r="AD27"/>
  <c r="X27"/>
  <c r="R27"/>
  <c r="AE27" s="1"/>
  <c r="AD26"/>
  <c r="X26"/>
  <c r="R26"/>
  <c r="Y26" s="1"/>
  <c r="AD25"/>
  <c r="X25"/>
  <c r="W25"/>
  <c r="R25"/>
  <c r="AD24"/>
  <c r="X24"/>
  <c r="R24"/>
  <c r="AF24" s="1"/>
  <c r="AD23"/>
  <c r="X23"/>
  <c r="R23"/>
  <c r="Y23" s="1"/>
  <c r="AE22"/>
  <c r="AD22"/>
  <c r="X22"/>
  <c r="W22"/>
  <c r="R22"/>
  <c r="AF22" s="1"/>
  <c r="AG21"/>
  <c r="AD21"/>
  <c r="Y21"/>
  <c r="X21"/>
  <c r="W21"/>
  <c r="V21"/>
  <c r="R21"/>
  <c r="AE21" s="1"/>
  <c r="AD20"/>
  <c r="X20"/>
  <c r="R20"/>
  <c r="Y20" s="1"/>
  <c r="AD19"/>
  <c r="X19"/>
  <c r="R19"/>
  <c r="AE19" s="1"/>
  <c r="AG18"/>
  <c r="AD18"/>
  <c r="X18"/>
  <c r="W18"/>
  <c r="V18"/>
  <c r="R18"/>
  <c r="Y18" s="1"/>
  <c r="AD17"/>
  <c r="X17"/>
  <c r="R17"/>
  <c r="W17" s="1"/>
  <c r="AD16"/>
  <c r="X16"/>
  <c r="R16"/>
  <c r="AF16" s="1"/>
  <c r="AD15"/>
  <c r="X15"/>
  <c r="R15"/>
  <c r="Y15" s="1"/>
  <c r="AD14"/>
  <c r="X14"/>
  <c r="R14"/>
  <c r="AF14" s="1"/>
  <c r="AG13"/>
  <c r="AD13"/>
  <c r="Y13"/>
  <c r="X13"/>
  <c r="W13"/>
  <c r="V13"/>
  <c r="R13"/>
  <c r="AE13" s="1"/>
  <c r="AD12"/>
  <c r="X12"/>
  <c r="W12"/>
  <c r="R12"/>
  <c r="AD11"/>
  <c r="X11"/>
  <c r="R11"/>
  <c r="AF11" s="1"/>
  <c r="AE10"/>
  <c r="AD10"/>
  <c r="Y10"/>
  <c r="X10"/>
  <c r="V10"/>
  <c r="R10"/>
  <c r="AC37" l="1"/>
  <c r="R41"/>
  <c r="V11"/>
  <c r="AG16"/>
  <c r="V20"/>
  <c r="V24"/>
  <c r="AE28"/>
  <c r="W34"/>
  <c r="V37"/>
  <c r="W38"/>
  <c r="AG14"/>
  <c r="AG30"/>
  <c r="AE26"/>
  <c r="AE30"/>
  <c r="AG36"/>
  <c r="Y16"/>
  <c r="AD41"/>
  <c r="V22"/>
  <c r="V28"/>
  <c r="V32"/>
  <c r="AG34"/>
  <c r="AE36"/>
  <c r="AG37"/>
  <c r="AC21"/>
  <c r="AH21" s="1"/>
  <c r="AG26"/>
  <c r="AE14"/>
  <c r="AG11"/>
  <c r="AC13"/>
  <c r="V16"/>
  <c r="AG20"/>
  <c r="AG24"/>
  <c r="AC29"/>
  <c r="AE34"/>
  <c r="AG38"/>
  <c r="W14"/>
  <c r="Y37"/>
  <c r="AE20"/>
  <c r="W26"/>
  <c r="W30"/>
  <c r="W10"/>
  <c r="AC10" s="1"/>
  <c r="Y11"/>
  <c r="V14"/>
  <c r="AE18"/>
  <c r="AG22"/>
  <c r="Y24"/>
  <c r="V26"/>
  <c r="AC26" s="1"/>
  <c r="V30"/>
  <c r="AC30" s="1"/>
  <c r="AH30" s="1"/>
  <c r="Y34"/>
  <c r="AC34" s="1"/>
  <c r="AH34" s="1"/>
  <c r="V36"/>
  <c r="AC18"/>
  <c r="AH29"/>
  <c r="AC14"/>
  <c r="AH14" s="1"/>
  <c r="AE11"/>
  <c r="AF13"/>
  <c r="AH13" s="1"/>
  <c r="W15"/>
  <c r="AE16"/>
  <c r="Y17"/>
  <c r="AF21"/>
  <c r="W23"/>
  <c r="AE24"/>
  <c r="Y25"/>
  <c r="AF29"/>
  <c r="W31"/>
  <c r="AE32"/>
  <c r="Y33"/>
  <c r="AF37"/>
  <c r="W39"/>
  <c r="X41"/>
  <c r="Y12"/>
  <c r="AF10"/>
  <c r="Y14"/>
  <c r="V15"/>
  <c r="AG15"/>
  <c r="AF18"/>
  <c r="W20"/>
  <c r="AC20" s="1"/>
  <c r="AH20" s="1"/>
  <c r="Y22"/>
  <c r="AC22" s="1"/>
  <c r="AH22" s="1"/>
  <c r="V23"/>
  <c r="AG23"/>
  <c r="AF26"/>
  <c r="W28"/>
  <c r="Y30"/>
  <c r="V31"/>
  <c r="AC31" s="1"/>
  <c r="AG31"/>
  <c r="W36"/>
  <c r="AC36" s="1"/>
  <c r="Y38"/>
  <c r="AC38" s="1"/>
  <c r="AH38" s="1"/>
  <c r="V39"/>
  <c r="AC39" s="1"/>
  <c r="AG39"/>
  <c r="AF23"/>
  <c r="Y27"/>
  <c r="AF31"/>
  <c r="Y35"/>
  <c r="AF39"/>
  <c r="AF15"/>
  <c r="Y19"/>
  <c r="V12"/>
  <c r="AG12"/>
  <c r="AE15"/>
  <c r="V17"/>
  <c r="AC17" s="1"/>
  <c r="AG17"/>
  <c r="AF20"/>
  <c r="AE23"/>
  <c r="V25"/>
  <c r="AC25" s="1"/>
  <c r="AG25"/>
  <c r="AF28"/>
  <c r="AE31"/>
  <c r="V33"/>
  <c r="AC33" s="1"/>
  <c r="AG33"/>
  <c r="AF36"/>
  <c r="AE39"/>
  <c r="AF12"/>
  <c r="W19"/>
  <c r="AF25"/>
  <c r="W27"/>
  <c r="AF33"/>
  <c r="W35"/>
  <c r="AC35" s="1"/>
  <c r="AF17"/>
  <c r="W11"/>
  <c r="AC11" s="1"/>
  <c r="AE12"/>
  <c r="W16"/>
  <c r="AC16" s="1"/>
  <c r="AH16" s="1"/>
  <c r="AE17"/>
  <c r="V19"/>
  <c r="AG19"/>
  <c r="W24"/>
  <c r="AC24" s="1"/>
  <c r="AH24" s="1"/>
  <c r="AE25"/>
  <c r="V27"/>
  <c r="AC27" s="1"/>
  <c r="AH27" s="1"/>
  <c r="AG27"/>
  <c r="W32"/>
  <c r="AC32" s="1"/>
  <c r="AH32" s="1"/>
  <c r="AE33"/>
  <c r="V35"/>
  <c r="AG35"/>
  <c r="AF35"/>
  <c r="AF19"/>
  <c r="AC23" l="1"/>
  <c r="AH23" s="1"/>
  <c r="AH35"/>
  <c r="AH25"/>
  <c r="AH10"/>
  <c r="V41"/>
  <c r="AE41"/>
  <c r="AG41"/>
  <c r="AC28"/>
  <c r="AH28" s="1"/>
  <c r="AC15"/>
  <c r="AH15" s="1"/>
  <c r="AC19"/>
  <c r="AH19" s="1"/>
  <c r="Y41"/>
  <c r="AH33"/>
  <c r="AH17"/>
  <c r="AH31"/>
  <c r="AH37"/>
  <c r="AH11"/>
  <c r="W41"/>
  <c r="AH39"/>
  <c r="AH18"/>
  <c r="AC12"/>
  <c r="AH12" s="1"/>
  <c r="AH26"/>
  <c r="AF41"/>
  <c r="AH36"/>
  <c r="AH41" l="1"/>
</calcChain>
</file>

<file path=xl/comments1.xml><?xml version="1.0" encoding="utf-8"?>
<comments xmlns="http://schemas.openxmlformats.org/spreadsheetml/2006/main">
  <authors>
    <author>Consejo Estatal de Promoción Económica</author>
  </authors>
  <commentList>
    <comment ref="Y10" authorId="0">
      <text>
        <r>
          <rPr>
            <b/>
            <sz val="10"/>
            <color indexed="81"/>
            <rFont val="Tahoma"/>
            <family val="2"/>
          </rPr>
          <t>ESTA CANTIDAD ES
EL TOPE MENSUAL BIMESTRAL ES
$1,898.70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<sst xmlns="http://schemas.openxmlformats.org/spreadsheetml/2006/main" count="314" uniqueCount="135">
  <si>
    <t>PLANTILLA DE PERSONAL 2013</t>
  </si>
  <si>
    <t xml:space="preserve"> </t>
  </si>
  <si>
    <t>CONSEJO ESTATAL DE PROMOCIÓN ECONÓMICA</t>
  </si>
  <si>
    <t>ORGANISMO:</t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</si>
  <si>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</si>
  <si>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</si>
  <si>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</si>
  <si>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</si>
  <si>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</si>
  <si>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</si>
  <si>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</si>
  <si>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</si>
  <si>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</si>
  <si>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</si>
  <si>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</si>
  <si>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</si>
  <si>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</si>
  <si>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</si>
  <si>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</si>
  <si>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</si>
  <si>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</si>
  <si>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</si>
  <si>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</si>
  <si>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</si>
  <si>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</si>
  <si>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CUOTAS A PENSIONES (SIN AUMENTO) 1401</t>
  </si>
  <si>
    <t>CUOTAS PARA LA VIVIENDA (SIN AUMENTO) 1402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</si>
  <si>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</si>
  <si>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</si>
  <si>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</si>
  <si>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</si>
  <si>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</si>
  <si>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</si>
  <si>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IMPACTO AL
SALARIO
1801</t>
  </si>
  <si>
    <t>TOTAL MENSUAL</t>
  </si>
  <si>
    <t xml:space="preserve">IMPACTO AL
SALARIO
</t>
  </si>
  <si>
    <t xml:space="preserve">AGUINALDO </t>
  </si>
  <si>
    <t>PRIMA VACACIONAL</t>
  </si>
  <si>
    <t>ESTIMULO AL SERV.PÚBLICO</t>
  </si>
  <si>
    <t>TOTAL ANUAL</t>
  </si>
  <si>
    <t>07</t>
  </si>
  <si>
    <t>01</t>
  </si>
  <si>
    <t>00179</t>
  </si>
  <si>
    <t>URDAPILLETA NUÑEZ JORGE</t>
  </si>
  <si>
    <t>UANJ501226TG2</t>
  </si>
  <si>
    <t>DIR. GRAL.</t>
  </si>
  <si>
    <t>COORDINACIÓN GENERAL DE COMPETITIVIDAD EMPRESARIAL</t>
  </si>
  <si>
    <t xml:space="preserve">ORTIZ ACUÑA ADRIANA LETICIA </t>
  </si>
  <si>
    <t>OIAA700515A70</t>
  </si>
  <si>
    <t>COORD. GRAL.</t>
  </si>
  <si>
    <t>DIRECCIÓN GENERAL</t>
  </si>
  <si>
    <t>VACANTE</t>
  </si>
  <si>
    <t>EAPC7411231B6</t>
  </si>
  <si>
    <t>COORD.GRAL.DE ANÁLISIS ECONÓMICO Y COMPETITIVIDAD</t>
  </si>
  <si>
    <t xml:space="preserve">REYES MUNGUIA FEDERICO GUILLERMO </t>
  </si>
  <si>
    <t>REMF6703126EO</t>
  </si>
  <si>
    <t>DIR.EVALUAC.Y SEG.</t>
  </si>
  <si>
    <t>COORDINACIÓN GENERAL</t>
  </si>
  <si>
    <t>MARTÍNEZ GONZÁLEZ JOSÉ LUIS</t>
  </si>
  <si>
    <t>MAGL490320BV9</t>
  </si>
  <si>
    <t>DIR.REGIONAL</t>
  </si>
  <si>
    <t>ALFARO GARCES JUAN</t>
  </si>
  <si>
    <t>AAGJ530805952</t>
  </si>
  <si>
    <t>DIR. PARQUES INDUSTR.</t>
  </si>
  <si>
    <t>PEREZ RODRIGUEZ MARCO ANTONIO</t>
  </si>
  <si>
    <t>PERM581110 528</t>
  </si>
  <si>
    <t>DIR. ADMVO.</t>
  </si>
  <si>
    <t>RODRIGUEZ GARCIA ADAN JESUS</t>
  </si>
  <si>
    <t>ROGA771203ECA</t>
  </si>
  <si>
    <t>DIR. ANALISIS</t>
  </si>
  <si>
    <t>SANCHEZ CONZUELO PEDRO</t>
  </si>
  <si>
    <t>SACP6606158M2</t>
  </si>
  <si>
    <t>DIR. JURIDICO</t>
  </si>
  <si>
    <t>CASTELLANOS REUL CLAUDIA</t>
  </si>
  <si>
    <t>CARC7811085EA</t>
  </si>
  <si>
    <t>COORDIN. REGIONAL</t>
  </si>
  <si>
    <t>DIRECCIÓN DE EVALUACIÓN Y SEGUIMIENTO</t>
  </si>
  <si>
    <t>VARGAS MADRID MARISELA</t>
  </si>
  <si>
    <t>VAMM6907018F8</t>
  </si>
  <si>
    <t>PÉREZ FRANCO EDUARDO</t>
  </si>
  <si>
    <t>PEFE820512II2</t>
  </si>
  <si>
    <t>SERNA ORTIZ MARIO ALBERTO</t>
  </si>
  <si>
    <t>SEOM540103T15</t>
  </si>
  <si>
    <t>BARRAZA ZATARAIN IRIS JOSYANE</t>
  </si>
  <si>
    <t>BAZI780704AG3</t>
  </si>
  <si>
    <t>RODRIGUEZ CARDENAS ADRIAN</t>
  </si>
  <si>
    <t>ROCA800801F61</t>
  </si>
  <si>
    <t>ASISTENTE JURIDICO</t>
  </si>
  <si>
    <t>DIRECCIÓN JURÍDICA</t>
  </si>
  <si>
    <t>FERNANDEZ GUERRERO MARIA AURORA</t>
  </si>
  <si>
    <t>FEGA7701059C1</t>
  </si>
  <si>
    <t>VALENCIA CASTRO LIDIA CATALINA</t>
  </si>
  <si>
    <t>VACL650106N31</t>
  </si>
  <si>
    <t>MORALES CIRO JULIO</t>
  </si>
  <si>
    <t>MOCJ720107622</t>
  </si>
  <si>
    <t>ASISTENTE EVAL.Y SEG.</t>
  </si>
  <si>
    <t>PADILLA BAUTISTA MA. Del CARMEN</t>
  </si>
  <si>
    <t>PABC680120AW6</t>
  </si>
  <si>
    <t>DE LA TORRE PADILLA SALVADOR ANTONIO</t>
  </si>
  <si>
    <t>TOPS5006238Y0</t>
  </si>
  <si>
    <t>ASISTENTE ANALISIS</t>
  </si>
  <si>
    <t>DIRECCIÓN DE ANALISIS</t>
  </si>
  <si>
    <t>RODRIGUEZ GOMEZ GILBERTO JESUS</t>
  </si>
  <si>
    <t>ROGG7106118A6</t>
  </si>
  <si>
    <t>VELASCO ESPINOZA CLAUDIA ANGELICA</t>
  </si>
  <si>
    <t>VEEC720502M55</t>
  </si>
  <si>
    <t>CONTADOR A</t>
  </si>
  <si>
    <t>DIRECCIÓN ADMINISTRATIVA</t>
  </si>
  <si>
    <t>FETC8112217X8</t>
  </si>
  <si>
    <t>ENCARGADO SISTEMAS</t>
  </si>
  <si>
    <t>GONZALEZ ACEVES JOSEFINA</t>
  </si>
  <si>
    <t>GOAJ6808045A9</t>
  </si>
  <si>
    <t>ASISTENTE DIR. GRAL.</t>
  </si>
  <si>
    <t>GAMBOA RODRIGUEZ MARIA DEL CARMEN</t>
  </si>
  <si>
    <t>GARC710610AD0</t>
  </si>
  <si>
    <t>AUXILIAR ADMVO.</t>
  </si>
  <si>
    <t>RAMÍREZ SALAZAR SERGIO ALBERTO</t>
  </si>
  <si>
    <t>RASS771008C94</t>
  </si>
  <si>
    <t>CASILLAS FLORES JOSE LUIS</t>
  </si>
  <si>
    <t>CAFL5101111X6</t>
  </si>
  <si>
    <t>AUXILIAR JURIDICO</t>
  </si>
  <si>
    <t>DE ALBA GARCIA DE ALBA ADRIANA ABIGAIL</t>
  </si>
  <si>
    <t>AAGA710310J56</t>
  </si>
  <si>
    <t>RECEPCION</t>
  </si>
  <si>
    <t>CORNEJO ARANA GAD ISRAEL</t>
  </si>
  <si>
    <t>COAG801117E48</t>
  </si>
  <si>
    <t>CHOFER MENSAJERO</t>
  </si>
  <si>
    <t>HERNANDEZ DIAZ ROSA PATRICIA</t>
  </si>
  <si>
    <t>HEDR811114157</t>
  </si>
  <si>
    <t>INTENDENCIA</t>
  </si>
  <si>
    <t>TOTAL DE PLAZAS</t>
  </si>
  <si>
    <t>Total de plazas personal de confianza</t>
  </si>
  <si>
    <t>Total de plazas personal de base</t>
  </si>
  <si>
    <t>CONFIANZA</t>
  </si>
  <si>
    <t>BASE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</si>
</sst>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0_ ;[Red]\-#,##0.000000\ "/>
    <numFmt numFmtId="166" formatCode="_-[$€-2]* #,##0.00_-;\-[$€-2]* #,##0.00_-;_-[$€-2]* &quot;-&quot;??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4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indexed="9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54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10" fillId="0" borderId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9" fillId="3" borderId="4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2" applyBorder="1"/>
    <xf numFmtId="15" fontId="4" fillId="0" borderId="9" xfId="3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left"/>
    </xf>
    <xf numFmtId="0" fontId="4" fillId="0" borderId="9" xfId="2" applyBorder="1" applyAlignment="1">
      <alignment horizontal="center" vertical="center" wrapText="1"/>
    </xf>
    <xf numFmtId="44" fontId="4" fillId="0" borderId="9" xfId="4" applyFont="1" applyFill="1" applyBorder="1" applyAlignment="1">
      <alignment vertical="center"/>
    </xf>
    <xf numFmtId="4" fontId="4" fillId="0" borderId="9" xfId="1" applyNumberFormat="1" applyFont="1" applyFill="1" applyBorder="1" applyAlignment="1">
      <alignment vertical="center"/>
    </xf>
    <xf numFmtId="4" fontId="4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vertical="center"/>
    </xf>
    <xf numFmtId="44" fontId="4" fillId="0" borderId="9" xfId="1" applyNumberFormat="1" applyFont="1" applyFill="1" applyBorder="1" applyAlignment="1">
      <alignment vertical="center"/>
    </xf>
    <xf numFmtId="44" fontId="4" fillId="0" borderId="8" xfId="1" applyNumberFormat="1" applyFont="1" applyFill="1" applyBorder="1" applyAlignment="1">
      <alignment vertical="center"/>
    </xf>
    <xf numFmtId="44" fontId="4" fillId="0" borderId="10" xfId="1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3" xfId="2" applyFont="1" applyFill="1" applyBorder="1"/>
    <xf numFmtId="0" fontId="4" fillId="0" borderId="13" xfId="2" applyFont="1" applyFill="1" applyBorder="1" applyAlignment="1">
      <alignment horizontal="left"/>
    </xf>
    <xf numFmtId="15" fontId="4" fillId="0" borderId="13" xfId="2" applyNumberForma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left"/>
    </xf>
    <xf numFmtId="44" fontId="4" fillId="0" borderId="13" xfId="4" applyFont="1" applyFill="1" applyBorder="1" applyAlignment="1">
      <alignment vertical="center"/>
    </xf>
    <xf numFmtId="4" fontId="4" fillId="0" borderId="13" xfId="1" applyNumberFormat="1" applyFont="1" applyFill="1" applyBorder="1" applyAlignment="1">
      <alignment vertical="center"/>
    </xf>
    <xf numFmtId="4" fontId="4" fillId="0" borderId="13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vertical="center"/>
    </xf>
    <xf numFmtId="44" fontId="4" fillId="0" borderId="13" xfId="1" applyNumberFormat="1" applyFont="1" applyFill="1" applyBorder="1" applyAlignment="1">
      <alignment vertical="center"/>
    </xf>
    <xf numFmtId="164" fontId="4" fillId="0" borderId="14" xfId="1" applyNumberFormat="1" applyFont="1" applyFill="1" applyBorder="1" applyAlignment="1">
      <alignment vertical="center"/>
    </xf>
    <xf numFmtId="0" fontId="11" fillId="0" borderId="13" xfId="2" applyFont="1" applyFill="1" applyBorder="1" applyAlignment="1">
      <alignment horizontal="left" wrapText="1"/>
    </xf>
    <xf numFmtId="165" fontId="4" fillId="0" borderId="0" xfId="1" applyNumberFormat="1" applyFont="1" applyFill="1" applyAlignment="1">
      <alignment vertical="center"/>
    </xf>
    <xf numFmtId="0" fontId="11" fillId="0" borderId="13" xfId="2" applyFont="1" applyBorder="1"/>
    <xf numFmtId="0" fontId="4" fillId="0" borderId="13" xfId="1" applyFont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4" fillId="0" borderId="13" xfId="2" applyFont="1" applyFill="1" applyBorder="1" applyAlignment="1"/>
    <xf numFmtId="0" fontId="12" fillId="0" borderId="13" xfId="2" applyFont="1" applyFill="1" applyBorder="1"/>
    <xf numFmtId="0" fontId="11" fillId="0" borderId="13" xfId="2" applyFont="1" applyFill="1" applyBorder="1"/>
    <xf numFmtId="0" fontId="4" fillId="0" borderId="13" xfId="2" applyFont="1" applyBorder="1" applyAlignment="1">
      <alignment horizontal="center" vertical="center"/>
    </xf>
    <xf numFmtId="15" fontId="4" fillId="0" borderId="13" xfId="3" applyNumberFormat="1" applyFont="1" applyFill="1" applyBorder="1" applyAlignment="1">
      <alignment horizontal="center" vertical="center"/>
    </xf>
    <xf numFmtId="0" fontId="4" fillId="0" borderId="10" xfId="2" applyFont="1" applyFill="1" applyBorder="1"/>
    <xf numFmtId="0" fontId="4" fillId="0" borderId="10" xfId="2" applyFont="1" applyFill="1" applyBorder="1" applyAlignment="1">
      <alignment horizontal="left"/>
    </xf>
    <xf numFmtId="15" fontId="4" fillId="0" borderId="10" xfId="2" applyNumberForma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/>
    </xf>
    <xf numFmtId="44" fontId="4" fillId="0" borderId="10" xfId="4" applyFont="1" applyFill="1" applyBorder="1" applyAlignment="1">
      <alignment vertical="center"/>
    </xf>
    <xf numFmtId="4" fontId="4" fillId="0" borderId="10" xfId="1" applyNumberFormat="1" applyFont="1" applyFill="1" applyBorder="1" applyAlignment="1">
      <alignment vertical="center"/>
    </xf>
    <xf numFmtId="4" fontId="4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6" xfId="2" applyFont="1" applyFill="1" applyBorder="1"/>
    <xf numFmtId="0" fontId="4" fillId="0" borderId="6" xfId="2" applyFont="1" applyFill="1" applyBorder="1" applyAlignment="1">
      <alignment horizontal="left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6" xfId="2" applyFont="1" applyFill="1" applyBorder="1" applyAlignment="1">
      <alignment horizontal="left"/>
    </xf>
    <xf numFmtId="0" fontId="4" fillId="0" borderId="6" xfId="1" applyFont="1" applyFill="1" applyBorder="1" applyAlignment="1">
      <alignment horizontal="center" vertical="center"/>
    </xf>
    <xf numFmtId="44" fontId="4" fillId="0" borderId="6" xfId="4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vertical="center"/>
    </xf>
    <xf numFmtId="44" fontId="4" fillId="0" borderId="6" xfId="1" applyNumberFormat="1" applyFont="1" applyFill="1" applyBorder="1" applyAlignment="1">
      <alignment vertical="center"/>
    </xf>
    <xf numFmtId="164" fontId="4" fillId="0" borderId="16" xfId="1" applyNumberFormat="1" applyFont="1" applyFill="1" applyBorder="1" applyAlignment="1">
      <alignment vertical="center"/>
    </xf>
    <xf numFmtId="44" fontId="13" fillId="0" borderId="0" xfId="1" applyNumberFormat="1" applyFont="1" applyFill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14" fillId="4" borderId="0" xfId="1" applyFont="1" applyFill="1" applyAlignment="1">
      <alignment vertical="center"/>
    </xf>
    <xf numFmtId="4" fontId="14" fillId="4" borderId="0" xfId="1" applyNumberFormat="1" applyFont="1" applyFill="1" applyAlignment="1">
      <alignment vertical="center"/>
    </xf>
    <xf numFmtId="0" fontId="13" fillId="4" borderId="0" xfId="1" applyFont="1" applyFill="1" applyBorder="1" applyAlignment="1">
      <alignment horizontal="center" vertical="center"/>
    </xf>
    <xf numFmtId="4" fontId="13" fillId="4" borderId="0" xfId="1" applyNumberFormat="1" applyFont="1" applyFill="1" applyBorder="1" applyAlignment="1">
      <alignment horizontal="center" vertical="center"/>
    </xf>
    <xf numFmtId="44" fontId="13" fillId="4" borderId="0" xfId="4" applyFont="1" applyFill="1" applyBorder="1" applyAlignment="1">
      <alignment horizontal="center" vertical="center"/>
    </xf>
    <xf numFmtId="44" fontId="13" fillId="4" borderId="0" xfId="1" applyNumberFormat="1" applyFont="1" applyFill="1" applyBorder="1" applyAlignment="1">
      <alignment vertical="center"/>
    </xf>
    <xf numFmtId="164" fontId="13" fillId="4" borderId="0" xfId="1" applyNumberFormat="1" applyFont="1" applyFill="1" applyBorder="1" applyAlignment="1">
      <alignment vertical="center"/>
    </xf>
    <xf numFmtId="44" fontId="9" fillId="4" borderId="0" xfId="4" applyFont="1" applyFill="1" applyBorder="1" applyAlignment="1">
      <alignment vertical="center"/>
    </xf>
    <xf numFmtId="44" fontId="4" fillId="0" borderId="0" xfId="1" applyNumberFormat="1" applyFont="1" applyAlignment="1">
      <alignment vertical="center"/>
    </xf>
    <xf numFmtId="0" fontId="15" fillId="0" borderId="0" xfId="1" applyFont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4" fontId="15" fillId="0" borderId="0" xfId="1" applyNumberFormat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4" fontId="4" fillId="0" borderId="0" xfId="1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44" fontId="9" fillId="0" borderId="0" xfId="4" applyFont="1" applyFill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17">
    <cellStyle name="Euro" xfId="5"/>
    <cellStyle name="Millares 2" xfId="6"/>
    <cellStyle name="Moneda 2" xfId="4"/>
    <cellStyle name="Moneda 3" xfId="7"/>
    <cellStyle name="Moneda 3 2" xfId="8"/>
    <cellStyle name="Moneda 3 3" xfId="9"/>
    <cellStyle name="Moneda 3 3 2" xfId="10"/>
    <cellStyle name="Moneda 4" xfId="11"/>
    <cellStyle name="Moneda 4 2" xfId="12"/>
    <cellStyle name="Normal" xfId="0" builtinId="0"/>
    <cellStyle name="Normal 2" xfId="2"/>
    <cellStyle name="Normal 2 2" xfId="13"/>
    <cellStyle name="Normal 3" xfId="14"/>
    <cellStyle name="Normal 4" xfId="15"/>
    <cellStyle name="Normal_~9885111" xfId="1"/>
    <cellStyle name="Normal_Muestra Plantilla" xfId="3"/>
    <cellStyle name="Porcentual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1575140</xdr:colOff>
      <xdr:row>5</xdr:row>
      <xdr:rowOff>0</xdr:rowOff>
    </xdr:to>
    <xdr:pic>
      <xdr:nvPicPr>
        <xdr:cNvPr id="2" name="Picture 594" descr="http://sefin.jalisco.gob.mx/images/bfinanzas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0000" r="89072" b="9773"/>
        <a:stretch>
          <a:fillRect/>
        </a:stretch>
      </xdr:blipFill>
      <xdr:spPr bwMode="auto">
        <a:xfrm>
          <a:off x="0" y="161925"/>
          <a:ext cx="342299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J252"/>
  <sheetViews>
    <sheetView showGridLines="0" tabSelected="1" zoomScaleNormal="100" workbookViewId="0">
      <selection activeCell="L40" sqref="L40"/>
    </sheetView>
  </sheetViews>
  <sheetFormatPr baseColWidth="10" defaultColWidth="9.140625" defaultRowHeight="12.75"/>
  <cols>
    <col min="1" max="1" width="6.85546875" style="3" customWidth="1"/>
    <col min="2" max="2" width="4.85546875" style="3" customWidth="1"/>
    <col min="3" max="3" width="6.7109375" style="3" customWidth="1"/>
    <col min="4" max="4" width="5" style="3" customWidth="1"/>
    <col min="5" max="5" width="4" style="3" customWidth="1"/>
    <col min="6" max="6" width="7.140625" style="4" customWidth="1"/>
    <col min="7" max="7" width="29.140625" style="2" customWidth="1"/>
    <col min="8" max="8" width="15.7109375" style="2" customWidth="1"/>
    <col min="9" max="9" width="10.7109375" style="3" customWidth="1"/>
    <col min="10" max="10" width="8.140625" style="3" customWidth="1"/>
    <col min="11" max="11" width="6.28515625" style="3" customWidth="1"/>
    <col min="12" max="12" width="11.42578125" style="3" bestFit="1" customWidth="1"/>
    <col min="13" max="13" width="23.28515625" style="2" customWidth="1"/>
    <col min="14" max="14" width="16.140625" style="2" customWidth="1"/>
    <col min="15" max="15" width="39.7109375" style="3" customWidth="1"/>
    <col min="16" max="16" width="14.28515625" style="3" customWidth="1"/>
    <col min="17" max="17" width="10.5703125" style="5" customWidth="1"/>
    <col min="18" max="18" width="15.85546875" style="5" bestFit="1" customWidth="1"/>
    <col min="19" max="19" width="17" style="5" customWidth="1"/>
    <col min="20" max="21" width="14.28515625" style="5" hidden="1" customWidth="1"/>
    <col min="22" max="22" width="14.42578125" style="2" customWidth="1"/>
    <col min="23" max="24" width="17.140625" style="2" customWidth="1"/>
    <col min="25" max="25" width="13.7109375" style="2" customWidth="1"/>
    <col min="26" max="26" width="14.42578125" style="2" bestFit="1" customWidth="1"/>
    <col min="27" max="27" width="14" style="2" customWidth="1"/>
    <col min="28" max="28" width="15.85546875" style="2" customWidth="1"/>
    <col min="29" max="29" width="15" style="2" customWidth="1"/>
    <col min="30" max="30" width="16.42578125" style="2" customWidth="1"/>
    <col min="31" max="31" width="16.140625" style="2" customWidth="1"/>
    <col min="32" max="32" width="18.5703125" style="2" customWidth="1"/>
    <col min="33" max="33" width="20.42578125" style="2" customWidth="1"/>
    <col min="34" max="34" width="24" style="2" customWidth="1"/>
    <col min="35" max="35" width="48.28515625" style="2" customWidth="1"/>
    <col min="36" max="36" width="11.28515625" style="2" bestFit="1" customWidth="1"/>
    <col min="37" max="16384" width="9.140625" style="2"/>
  </cols>
  <sheetData>
    <row r="2" spans="1:35" ht="23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"/>
    </row>
    <row r="3" spans="1:35" ht="23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"/>
    </row>
    <row r="4" spans="1:35" ht="23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102" t="s"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5">
      <c r="M5" s="2" t="s">
        <v>1</v>
      </c>
      <c r="O5" s="111"/>
    </row>
    <row r="6" spans="1:35" ht="24" customHeight="1">
      <c r="A6" s="6"/>
      <c r="B6" s="6"/>
      <c r="D6" s="112" t="s">
        <v>2</v>
      </c>
      <c r="E6" s="112"/>
      <c r="F6" s="112"/>
      <c r="G6" s="112"/>
      <c r="H6" s="112"/>
      <c r="I6" s="112"/>
      <c r="J6" s="112"/>
      <c r="K6" s="112"/>
      <c r="L6" s="112"/>
      <c r="M6" s="112"/>
      <c r="O6" s="111"/>
    </row>
    <row r="7" spans="1:35" ht="24" customHeight="1">
      <c r="A7" s="6" t="s">
        <v>3</v>
      </c>
      <c r="B7" s="6"/>
      <c r="D7" s="112"/>
      <c r="E7" s="112"/>
      <c r="F7" s="112"/>
      <c r="G7" s="112"/>
      <c r="H7" s="112"/>
      <c r="I7" s="112"/>
      <c r="J7" s="112"/>
      <c r="K7" s="112"/>
      <c r="L7" s="112"/>
      <c r="M7" s="112"/>
      <c r="O7" s="111"/>
    </row>
    <row r="8" spans="1:35" ht="69.75" customHeight="1">
      <c r="P8" s="113" t="s">
        <v>4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5"/>
      <c r="AD8" s="116" t="s">
        <v>5</v>
      </c>
      <c r="AE8" s="117"/>
      <c r="AF8" s="117"/>
      <c r="AG8" s="118"/>
    </row>
    <row r="9" spans="1:35" s="11" customFormat="1" ht="80.25" customHeight="1" thickBot="1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8" t="s">
        <v>22</v>
      </c>
      <c r="R9" s="8" t="s">
        <v>23</v>
      </c>
      <c r="S9" s="8" t="s">
        <v>24</v>
      </c>
      <c r="T9" s="8" t="s">
        <v>25</v>
      </c>
      <c r="U9" s="8" t="s">
        <v>26</v>
      </c>
      <c r="V9" s="8" t="s">
        <v>27</v>
      </c>
      <c r="W9" s="8" t="s">
        <v>28</v>
      </c>
      <c r="X9" s="8" t="s">
        <v>29</v>
      </c>
      <c r="Y9" s="8" t="s">
        <v>30</v>
      </c>
      <c r="Z9" s="8" t="s">
        <v>31</v>
      </c>
      <c r="AA9" s="8" t="s">
        <v>32</v>
      </c>
      <c r="AB9" s="8" t="s">
        <v>33</v>
      </c>
      <c r="AC9" s="9" t="s">
        <v>34</v>
      </c>
      <c r="AD9" s="9" t="s">
        <v>35</v>
      </c>
      <c r="AE9" s="9" t="s">
        <v>36</v>
      </c>
      <c r="AF9" s="9" t="s">
        <v>37</v>
      </c>
      <c r="AG9" s="10" t="s">
        <v>38</v>
      </c>
      <c r="AH9" s="9" t="s">
        <v>39</v>
      </c>
    </row>
    <row r="10" spans="1:35" s="30" customFormat="1" ht="29.25" customHeight="1">
      <c r="A10" s="12">
        <v>1</v>
      </c>
      <c r="B10" s="13" t="s">
        <v>40</v>
      </c>
      <c r="C10" s="13" t="s">
        <v>41</v>
      </c>
      <c r="D10" s="14">
        <v>3</v>
      </c>
      <c r="E10" s="13" t="s">
        <v>41</v>
      </c>
      <c r="F10" s="13" t="s">
        <v>42</v>
      </c>
      <c r="G10" s="15" t="s">
        <v>43</v>
      </c>
      <c r="H10" s="15" t="s">
        <v>44</v>
      </c>
      <c r="I10" s="16">
        <v>40253</v>
      </c>
      <c r="J10" s="17">
        <v>29</v>
      </c>
      <c r="K10" s="18">
        <v>40</v>
      </c>
      <c r="L10" s="18" t="s">
        <v>133</v>
      </c>
      <c r="M10" s="19" t="s">
        <v>45</v>
      </c>
      <c r="N10" s="18">
        <v>1</v>
      </c>
      <c r="O10" s="20" t="s">
        <v>46</v>
      </c>
      <c r="P10" s="21">
        <v>73411</v>
      </c>
      <c r="Q10" s="22">
        <v>0</v>
      </c>
      <c r="R10" s="22">
        <f t="shared" ref="R10:R39" si="0">+P10+Q10</f>
        <v>73411</v>
      </c>
      <c r="S10" s="23"/>
      <c r="T10" s="23"/>
      <c r="U10" s="23"/>
      <c r="V10" s="24">
        <f>(R10+AB10)*10.5%</f>
        <v>7739.6549999999997</v>
      </c>
      <c r="W10" s="24">
        <f t="shared" ref="W10:W39" si="1">(R10+AB10)*3%</f>
        <v>2211.33</v>
      </c>
      <c r="X10" s="24">
        <f>(1368.54/30*61)/2</f>
        <v>1391.3490000000002</v>
      </c>
      <c r="Y10" s="24">
        <f>(64.76*30)/2</f>
        <v>971.40000000000009</v>
      </c>
      <c r="Z10" s="24">
        <v>2832</v>
      </c>
      <c r="AA10" s="24">
        <v>1992</v>
      </c>
      <c r="AB10" s="25">
        <v>300</v>
      </c>
      <c r="AC10" s="24">
        <f>R10+V10+W10+X10+Y10+Z10+AA10</f>
        <v>90548.733999999997</v>
      </c>
      <c r="AD10" s="24">
        <f>(AB10*12)</f>
        <v>3600</v>
      </c>
      <c r="AE10" s="26">
        <f>(R10+AB10)/30*50</f>
        <v>122851.66666666667</v>
      </c>
      <c r="AF10" s="26">
        <f>(R10+AB10)/30*5</f>
        <v>12285.166666666666</v>
      </c>
      <c r="AG10" s="27"/>
      <c r="AH10" s="28">
        <f t="shared" ref="AH10:AH30" si="2">(AC10*12)+AD10+AE10+AF10+AG10</f>
        <v>1225321.6413333334</v>
      </c>
      <c r="AI10" s="29"/>
    </row>
    <row r="11" spans="1:35" s="30" customFormat="1" ht="24" customHeight="1">
      <c r="A11" s="31">
        <v>2</v>
      </c>
      <c r="B11" s="32" t="s">
        <v>40</v>
      </c>
      <c r="C11" s="32" t="s">
        <v>41</v>
      </c>
      <c r="D11" s="33">
        <v>3</v>
      </c>
      <c r="E11" s="32" t="s">
        <v>41</v>
      </c>
      <c r="F11" s="32" t="s">
        <v>42</v>
      </c>
      <c r="G11" s="34" t="s">
        <v>47</v>
      </c>
      <c r="H11" s="35" t="s">
        <v>48</v>
      </c>
      <c r="I11" s="36">
        <v>36723</v>
      </c>
      <c r="J11" s="37">
        <v>24</v>
      </c>
      <c r="K11" s="38">
        <v>40</v>
      </c>
      <c r="L11" s="38" t="s">
        <v>133</v>
      </c>
      <c r="M11" s="39" t="s">
        <v>49</v>
      </c>
      <c r="N11" s="38">
        <v>1</v>
      </c>
      <c r="O11" s="38" t="s">
        <v>50</v>
      </c>
      <c r="P11" s="40">
        <v>42280</v>
      </c>
      <c r="Q11" s="41">
        <v>0</v>
      </c>
      <c r="R11" s="41">
        <f t="shared" si="0"/>
        <v>42280</v>
      </c>
      <c r="S11" s="42"/>
      <c r="T11" s="42"/>
      <c r="U11" s="42"/>
      <c r="V11" s="43">
        <f>(R11+AB11)*10.5%</f>
        <v>4470.8999999999996</v>
      </c>
      <c r="W11" s="43">
        <f t="shared" si="1"/>
        <v>1277.3999999999999</v>
      </c>
      <c r="X11" s="43">
        <f t="shared" ref="X11:X12" si="3">(1368.54/30*61)/2</f>
        <v>1391.3490000000002</v>
      </c>
      <c r="Y11" s="43">
        <f t="shared" ref="Y11:Y39" si="4">(R11+AB11)*2%</f>
        <v>851.6</v>
      </c>
      <c r="Z11" s="43">
        <v>1865</v>
      </c>
      <c r="AA11" s="43">
        <v>1345</v>
      </c>
      <c r="AB11" s="44">
        <v>300</v>
      </c>
      <c r="AC11" s="43">
        <f>R11+V11+W11+X11+Y11+Z11+AA11</f>
        <v>53481.249000000003</v>
      </c>
      <c r="AD11" s="43">
        <f>(AB11*12)</f>
        <v>3600</v>
      </c>
      <c r="AE11" s="44">
        <f t="shared" ref="AE11:AE39" si="5">(R11+AB11)/30*50</f>
        <v>70966.666666666657</v>
      </c>
      <c r="AF11" s="44">
        <f t="shared" ref="AF11:AF39" si="6">(R11+AB11)/30*5</f>
        <v>7096.6666666666661</v>
      </c>
      <c r="AG11" s="44">
        <f t="shared" ref="AG11:AG39" si="7">(R11+AB11)/30*15</f>
        <v>21290</v>
      </c>
      <c r="AH11" s="45">
        <f>(AC11*12)+AD11+AE11+AF11+AG11+2331.36</f>
        <v>747059.68133333325</v>
      </c>
    </row>
    <row r="12" spans="1:35" s="30" customFormat="1" ht="24.75" customHeight="1">
      <c r="A12" s="31">
        <v>3</v>
      </c>
      <c r="B12" s="32" t="s">
        <v>40</v>
      </c>
      <c r="C12" s="32" t="s">
        <v>41</v>
      </c>
      <c r="D12" s="33">
        <v>3</v>
      </c>
      <c r="E12" s="32" t="s">
        <v>41</v>
      </c>
      <c r="F12" s="32" t="s">
        <v>42</v>
      </c>
      <c r="G12" s="34" t="s">
        <v>51</v>
      </c>
      <c r="H12" s="35" t="s">
        <v>52</v>
      </c>
      <c r="I12" s="36"/>
      <c r="J12" s="37">
        <v>24</v>
      </c>
      <c r="K12" s="38">
        <v>40</v>
      </c>
      <c r="L12" s="38" t="s">
        <v>133</v>
      </c>
      <c r="M12" s="46" t="s">
        <v>53</v>
      </c>
      <c r="N12" s="38">
        <v>1</v>
      </c>
      <c r="O12" s="38" t="s">
        <v>50</v>
      </c>
      <c r="P12" s="40">
        <v>42280</v>
      </c>
      <c r="Q12" s="41">
        <v>0</v>
      </c>
      <c r="R12" s="41">
        <f t="shared" si="0"/>
        <v>42280</v>
      </c>
      <c r="S12" s="42"/>
      <c r="T12" s="42"/>
      <c r="U12" s="42"/>
      <c r="V12" s="43">
        <f t="shared" ref="V12:V39" si="8">(R12+AB12)*10.5%</f>
        <v>4470.8999999999996</v>
      </c>
      <c r="W12" s="43">
        <f t="shared" si="1"/>
        <v>1277.3999999999999</v>
      </c>
      <c r="X12" s="43">
        <f t="shared" si="3"/>
        <v>1391.3490000000002</v>
      </c>
      <c r="Y12" s="43">
        <f t="shared" si="4"/>
        <v>851.6</v>
      </c>
      <c r="Z12" s="43">
        <v>1865</v>
      </c>
      <c r="AA12" s="43">
        <v>1345</v>
      </c>
      <c r="AB12" s="44">
        <v>300</v>
      </c>
      <c r="AC12" s="43">
        <f t="shared" ref="AC12:AC39" si="9">R12+V12+W12+X12+Y12+Z12+AA12</f>
        <v>53481.249000000003</v>
      </c>
      <c r="AD12" s="43">
        <f t="shared" ref="AD12:AD39" si="10">(AB12*12)</f>
        <v>3600</v>
      </c>
      <c r="AE12" s="44">
        <f>(R12+AB12)/30*45.75</f>
        <v>64934.5</v>
      </c>
      <c r="AF12" s="44">
        <f>(R12+AB12)/30*4.57</f>
        <v>6486.3533333333335</v>
      </c>
      <c r="AG12" s="44">
        <f>(R12+AB12)/30*13.75</f>
        <v>19515.833333333332</v>
      </c>
      <c r="AH12" s="45">
        <f>(AC12*11)+AD12+AE12+AF12+AG12</f>
        <v>682830.42566666682</v>
      </c>
      <c r="AI12" s="47"/>
    </row>
    <row r="13" spans="1:35" s="50" customFormat="1" ht="24" customHeight="1">
      <c r="A13" s="31">
        <v>4</v>
      </c>
      <c r="B13" s="32" t="s">
        <v>40</v>
      </c>
      <c r="C13" s="32" t="s">
        <v>41</v>
      </c>
      <c r="D13" s="33">
        <v>3</v>
      </c>
      <c r="E13" s="32" t="s">
        <v>41</v>
      </c>
      <c r="F13" s="32" t="s">
        <v>42</v>
      </c>
      <c r="G13" s="34" t="s">
        <v>54</v>
      </c>
      <c r="H13" s="34" t="s">
        <v>55</v>
      </c>
      <c r="I13" s="36">
        <v>39254</v>
      </c>
      <c r="J13" s="37">
        <v>21</v>
      </c>
      <c r="K13" s="38">
        <v>40</v>
      </c>
      <c r="L13" s="38" t="s">
        <v>133</v>
      </c>
      <c r="M13" s="48" t="s">
        <v>56</v>
      </c>
      <c r="N13" s="38">
        <v>1</v>
      </c>
      <c r="O13" s="49" t="s">
        <v>57</v>
      </c>
      <c r="P13" s="40">
        <v>30883</v>
      </c>
      <c r="Q13" s="41">
        <v>0</v>
      </c>
      <c r="R13" s="41">
        <f t="shared" si="0"/>
        <v>30883</v>
      </c>
      <c r="S13" s="42"/>
      <c r="T13" s="42"/>
      <c r="U13" s="42"/>
      <c r="V13" s="43">
        <f t="shared" si="8"/>
        <v>3274.2149999999997</v>
      </c>
      <c r="W13" s="43">
        <f t="shared" si="1"/>
        <v>935.49</v>
      </c>
      <c r="X13" s="43">
        <f>(1188.41/30*61)/2</f>
        <v>1208.2168333333334</v>
      </c>
      <c r="Y13" s="43">
        <f t="shared" si="4"/>
        <v>623.66</v>
      </c>
      <c r="Z13" s="43">
        <v>1671</v>
      </c>
      <c r="AA13" s="43">
        <v>1133</v>
      </c>
      <c r="AB13" s="44">
        <v>300</v>
      </c>
      <c r="AC13" s="43">
        <f t="shared" si="9"/>
        <v>39728.58183333333</v>
      </c>
      <c r="AD13" s="43">
        <f t="shared" si="10"/>
        <v>3600</v>
      </c>
      <c r="AE13" s="44">
        <f t="shared" si="5"/>
        <v>51971.666666666672</v>
      </c>
      <c r="AF13" s="44">
        <f t="shared" si="6"/>
        <v>5197.166666666667</v>
      </c>
      <c r="AG13" s="44">
        <f t="shared" si="7"/>
        <v>15591.5</v>
      </c>
      <c r="AH13" s="45">
        <f>(AC13*12)+AD13+AE13+AF13+AG13+1554.24</f>
        <v>554657.55533333321</v>
      </c>
    </row>
    <row r="14" spans="1:35" s="50" customFormat="1" ht="24" customHeight="1">
      <c r="A14" s="31">
        <v>5</v>
      </c>
      <c r="B14" s="32" t="s">
        <v>40</v>
      </c>
      <c r="C14" s="32" t="s">
        <v>41</v>
      </c>
      <c r="D14" s="33">
        <v>3</v>
      </c>
      <c r="E14" s="32" t="s">
        <v>41</v>
      </c>
      <c r="F14" s="32" t="s">
        <v>42</v>
      </c>
      <c r="G14" s="34" t="s">
        <v>58</v>
      </c>
      <c r="H14" s="34" t="s">
        <v>59</v>
      </c>
      <c r="I14" s="36">
        <v>39639</v>
      </c>
      <c r="J14" s="37">
        <v>21</v>
      </c>
      <c r="K14" s="38">
        <v>40</v>
      </c>
      <c r="L14" s="38" t="s">
        <v>133</v>
      </c>
      <c r="M14" s="48" t="s">
        <v>60</v>
      </c>
      <c r="N14" s="38">
        <v>1</v>
      </c>
      <c r="O14" s="49" t="s">
        <v>57</v>
      </c>
      <c r="P14" s="40">
        <v>30883</v>
      </c>
      <c r="Q14" s="41">
        <v>0</v>
      </c>
      <c r="R14" s="41">
        <f t="shared" si="0"/>
        <v>30883</v>
      </c>
      <c r="S14" s="42"/>
      <c r="T14" s="42"/>
      <c r="U14" s="42"/>
      <c r="V14" s="43">
        <f t="shared" si="8"/>
        <v>3274.2149999999997</v>
      </c>
      <c r="W14" s="43">
        <f t="shared" si="1"/>
        <v>935.49</v>
      </c>
      <c r="X14" s="43">
        <f>(1186.95/30*61)/2</f>
        <v>1206.7325000000001</v>
      </c>
      <c r="Y14" s="43">
        <f t="shared" si="4"/>
        <v>623.66</v>
      </c>
      <c r="Z14" s="43">
        <v>1671</v>
      </c>
      <c r="AA14" s="43">
        <v>1133</v>
      </c>
      <c r="AB14" s="44">
        <v>300</v>
      </c>
      <c r="AC14" s="43">
        <f t="shared" si="9"/>
        <v>39727.097499999996</v>
      </c>
      <c r="AD14" s="43">
        <f t="shared" si="10"/>
        <v>3600</v>
      </c>
      <c r="AE14" s="44">
        <f t="shared" si="5"/>
        <v>51971.666666666672</v>
      </c>
      <c r="AF14" s="44">
        <f t="shared" si="6"/>
        <v>5197.166666666667</v>
      </c>
      <c r="AG14" s="44">
        <f t="shared" si="7"/>
        <v>15591.5</v>
      </c>
      <c r="AH14" s="45">
        <f>(AC14*12)+AD14+AE14+AF14+AG14+738.26</f>
        <v>553823.76333333319</v>
      </c>
    </row>
    <row r="15" spans="1:35" ht="24" customHeight="1">
      <c r="A15" s="31">
        <v>6</v>
      </c>
      <c r="B15" s="32" t="s">
        <v>40</v>
      </c>
      <c r="C15" s="32" t="s">
        <v>41</v>
      </c>
      <c r="D15" s="33">
        <v>3</v>
      </c>
      <c r="E15" s="32" t="s">
        <v>41</v>
      </c>
      <c r="F15" s="32" t="s">
        <v>42</v>
      </c>
      <c r="G15" s="34" t="s">
        <v>61</v>
      </c>
      <c r="H15" s="35" t="s">
        <v>62</v>
      </c>
      <c r="I15" s="36">
        <v>40375</v>
      </c>
      <c r="J15" s="37">
        <v>21</v>
      </c>
      <c r="K15" s="38">
        <v>40</v>
      </c>
      <c r="L15" s="38" t="s">
        <v>133</v>
      </c>
      <c r="M15" s="39" t="s">
        <v>63</v>
      </c>
      <c r="N15" s="38">
        <v>1</v>
      </c>
      <c r="O15" s="49" t="s">
        <v>57</v>
      </c>
      <c r="P15" s="40">
        <v>30883</v>
      </c>
      <c r="Q15" s="41">
        <v>0</v>
      </c>
      <c r="R15" s="41">
        <f t="shared" si="0"/>
        <v>30883</v>
      </c>
      <c r="S15" s="42"/>
      <c r="T15" s="42"/>
      <c r="U15" s="42"/>
      <c r="V15" s="43">
        <f t="shared" si="8"/>
        <v>3274.2149999999997</v>
      </c>
      <c r="W15" s="43">
        <f t="shared" si="1"/>
        <v>935.49</v>
      </c>
      <c r="X15" s="43">
        <f>(1186.95/30*61)/2</f>
        <v>1206.7325000000001</v>
      </c>
      <c r="Y15" s="43">
        <f t="shared" si="4"/>
        <v>623.66</v>
      </c>
      <c r="Z15" s="43">
        <v>1671</v>
      </c>
      <c r="AA15" s="43">
        <v>1133</v>
      </c>
      <c r="AB15" s="44">
        <v>300</v>
      </c>
      <c r="AC15" s="43">
        <f t="shared" si="9"/>
        <v>39727.097499999996</v>
      </c>
      <c r="AD15" s="43">
        <f t="shared" si="10"/>
        <v>3600</v>
      </c>
      <c r="AE15" s="44">
        <f t="shared" si="5"/>
        <v>51971.666666666672</v>
      </c>
      <c r="AF15" s="44">
        <f t="shared" si="6"/>
        <v>5197.166666666667</v>
      </c>
      <c r="AG15" s="44">
        <f t="shared" si="7"/>
        <v>15591.5</v>
      </c>
      <c r="AH15" s="45">
        <f t="shared" si="2"/>
        <v>553085.50333333318</v>
      </c>
    </row>
    <row r="16" spans="1:35" ht="24" customHeight="1">
      <c r="A16" s="31">
        <v>7</v>
      </c>
      <c r="B16" s="32" t="s">
        <v>40</v>
      </c>
      <c r="C16" s="32" t="s">
        <v>41</v>
      </c>
      <c r="D16" s="33">
        <v>3</v>
      </c>
      <c r="E16" s="32" t="s">
        <v>41</v>
      </c>
      <c r="F16" s="32" t="s">
        <v>42</v>
      </c>
      <c r="G16" s="51" t="s">
        <v>64</v>
      </c>
      <c r="H16" s="52" t="s">
        <v>65</v>
      </c>
      <c r="I16" s="36">
        <v>37653</v>
      </c>
      <c r="J16" s="37">
        <v>21</v>
      </c>
      <c r="K16" s="38">
        <v>40</v>
      </c>
      <c r="L16" s="38" t="s">
        <v>133</v>
      </c>
      <c r="M16" s="53" t="s">
        <v>66</v>
      </c>
      <c r="N16" s="38">
        <v>1</v>
      </c>
      <c r="O16" s="38" t="s">
        <v>57</v>
      </c>
      <c r="P16" s="40">
        <v>30883</v>
      </c>
      <c r="Q16" s="41">
        <v>0</v>
      </c>
      <c r="R16" s="41">
        <f t="shared" si="0"/>
        <v>30883</v>
      </c>
      <c r="S16" s="42"/>
      <c r="T16" s="42"/>
      <c r="U16" s="42"/>
      <c r="V16" s="43">
        <f t="shared" si="8"/>
        <v>3274.2149999999997</v>
      </c>
      <c r="W16" s="43">
        <f t="shared" si="1"/>
        <v>935.49</v>
      </c>
      <c r="X16" s="43">
        <f>(1189.69/30*61)/2</f>
        <v>1209.5181666666667</v>
      </c>
      <c r="Y16" s="43">
        <f t="shared" si="4"/>
        <v>623.66</v>
      </c>
      <c r="Z16" s="43">
        <v>1671</v>
      </c>
      <c r="AA16" s="43">
        <v>1133</v>
      </c>
      <c r="AB16" s="44">
        <v>300</v>
      </c>
      <c r="AC16" s="43">
        <f t="shared" si="9"/>
        <v>39729.883166666667</v>
      </c>
      <c r="AD16" s="43">
        <f t="shared" si="10"/>
        <v>3600</v>
      </c>
      <c r="AE16" s="44">
        <f t="shared" si="5"/>
        <v>51971.666666666672</v>
      </c>
      <c r="AF16" s="44">
        <f t="shared" si="6"/>
        <v>5197.166666666667</v>
      </c>
      <c r="AG16" s="44">
        <f t="shared" si="7"/>
        <v>15591.5</v>
      </c>
      <c r="AH16" s="45">
        <f>(AC16*12)+AD16+AE16+AF16+AG16+2266.6</f>
        <v>555385.53133333323</v>
      </c>
    </row>
    <row r="17" spans="1:34" ht="24" customHeight="1">
      <c r="A17" s="31">
        <v>8</v>
      </c>
      <c r="B17" s="32" t="s">
        <v>40</v>
      </c>
      <c r="C17" s="32" t="s">
        <v>41</v>
      </c>
      <c r="D17" s="33">
        <v>3</v>
      </c>
      <c r="E17" s="32" t="s">
        <v>41</v>
      </c>
      <c r="F17" s="32" t="s">
        <v>42</v>
      </c>
      <c r="G17" s="34" t="s">
        <v>67</v>
      </c>
      <c r="H17" s="34" t="s">
        <v>68</v>
      </c>
      <c r="I17" s="36">
        <v>37272</v>
      </c>
      <c r="J17" s="37">
        <v>21</v>
      </c>
      <c r="K17" s="38">
        <v>40</v>
      </c>
      <c r="L17" s="38" t="s">
        <v>133</v>
      </c>
      <c r="M17" s="53" t="s">
        <v>69</v>
      </c>
      <c r="N17" s="38">
        <v>1</v>
      </c>
      <c r="O17" s="38" t="s">
        <v>57</v>
      </c>
      <c r="P17" s="40">
        <v>30883</v>
      </c>
      <c r="Q17" s="41">
        <v>0</v>
      </c>
      <c r="R17" s="41">
        <f t="shared" si="0"/>
        <v>30883</v>
      </c>
      <c r="S17" s="42"/>
      <c r="T17" s="42"/>
      <c r="U17" s="42"/>
      <c r="V17" s="43">
        <f t="shared" si="8"/>
        <v>3274.2149999999997</v>
      </c>
      <c r="W17" s="43">
        <f t="shared" si="1"/>
        <v>935.49</v>
      </c>
      <c r="X17" s="43">
        <f>(1191/30*61)/2</f>
        <v>1210.8500000000001</v>
      </c>
      <c r="Y17" s="43">
        <f t="shared" si="4"/>
        <v>623.66</v>
      </c>
      <c r="Z17" s="43">
        <v>1671</v>
      </c>
      <c r="AA17" s="43">
        <v>1133</v>
      </c>
      <c r="AB17" s="44">
        <v>300</v>
      </c>
      <c r="AC17" s="43">
        <f t="shared" si="9"/>
        <v>39731.214999999997</v>
      </c>
      <c r="AD17" s="43">
        <f t="shared" si="10"/>
        <v>3600</v>
      </c>
      <c r="AE17" s="44">
        <f t="shared" si="5"/>
        <v>51971.666666666672</v>
      </c>
      <c r="AF17" s="44">
        <f t="shared" si="6"/>
        <v>5197.166666666667</v>
      </c>
      <c r="AG17" s="44">
        <f t="shared" si="7"/>
        <v>15591.5</v>
      </c>
      <c r="AH17" s="45">
        <f>(AC17*12)+AD17+AE17+AF17+AG17+2331.36</f>
        <v>555466.2733333332</v>
      </c>
    </row>
    <row r="18" spans="1:34" ht="24" customHeight="1">
      <c r="A18" s="31">
        <v>9</v>
      </c>
      <c r="B18" s="32" t="s">
        <v>40</v>
      </c>
      <c r="C18" s="32" t="s">
        <v>41</v>
      </c>
      <c r="D18" s="33">
        <v>3</v>
      </c>
      <c r="E18" s="32" t="s">
        <v>41</v>
      </c>
      <c r="F18" s="32" t="s">
        <v>42</v>
      </c>
      <c r="G18" s="34" t="s">
        <v>70</v>
      </c>
      <c r="H18" s="35" t="s">
        <v>71</v>
      </c>
      <c r="I18" s="36">
        <v>40452</v>
      </c>
      <c r="J18" s="37">
        <v>21</v>
      </c>
      <c r="K18" s="38">
        <v>40</v>
      </c>
      <c r="L18" s="38" t="s">
        <v>133</v>
      </c>
      <c r="M18" s="53" t="s">
        <v>72</v>
      </c>
      <c r="N18" s="38">
        <v>1</v>
      </c>
      <c r="O18" s="49" t="s">
        <v>57</v>
      </c>
      <c r="P18" s="40">
        <v>30883</v>
      </c>
      <c r="Q18" s="41">
        <v>0</v>
      </c>
      <c r="R18" s="41">
        <f t="shared" si="0"/>
        <v>30883</v>
      </c>
      <c r="S18" s="42"/>
      <c r="T18" s="42"/>
      <c r="U18" s="42"/>
      <c r="V18" s="43">
        <f t="shared" si="8"/>
        <v>3274.2149999999997</v>
      </c>
      <c r="W18" s="43">
        <f t="shared" si="1"/>
        <v>935.49</v>
      </c>
      <c r="X18" s="43">
        <f>(1186.95/30*61)/2</f>
        <v>1206.7325000000001</v>
      </c>
      <c r="Y18" s="43">
        <f t="shared" si="4"/>
        <v>623.66</v>
      </c>
      <c r="Z18" s="43">
        <v>1671</v>
      </c>
      <c r="AA18" s="43">
        <v>1133</v>
      </c>
      <c r="AB18" s="44">
        <v>300</v>
      </c>
      <c r="AC18" s="43">
        <f t="shared" si="9"/>
        <v>39727.097499999996</v>
      </c>
      <c r="AD18" s="43">
        <f t="shared" si="10"/>
        <v>3600</v>
      </c>
      <c r="AE18" s="44">
        <f t="shared" si="5"/>
        <v>51971.666666666672</v>
      </c>
      <c r="AF18" s="44">
        <f t="shared" si="6"/>
        <v>5197.166666666667</v>
      </c>
      <c r="AG18" s="44">
        <f t="shared" si="7"/>
        <v>15591.5</v>
      </c>
      <c r="AH18" s="45">
        <f t="shared" si="2"/>
        <v>553085.50333333318</v>
      </c>
    </row>
    <row r="19" spans="1:34" ht="24" customHeight="1">
      <c r="A19" s="31">
        <v>10</v>
      </c>
      <c r="B19" s="32" t="s">
        <v>40</v>
      </c>
      <c r="C19" s="32" t="s">
        <v>41</v>
      </c>
      <c r="D19" s="33">
        <v>3</v>
      </c>
      <c r="E19" s="32" t="s">
        <v>41</v>
      </c>
      <c r="F19" s="32" t="s">
        <v>42</v>
      </c>
      <c r="G19" s="34" t="s">
        <v>73</v>
      </c>
      <c r="H19" s="35" t="s">
        <v>74</v>
      </c>
      <c r="I19" s="36">
        <v>37328</v>
      </c>
      <c r="J19" s="54">
        <v>16</v>
      </c>
      <c r="K19" s="38">
        <v>40</v>
      </c>
      <c r="L19" s="38" t="s">
        <v>133</v>
      </c>
      <c r="M19" s="48" t="s">
        <v>75</v>
      </c>
      <c r="N19" s="38">
        <v>1</v>
      </c>
      <c r="O19" s="49" t="s">
        <v>76</v>
      </c>
      <c r="P19" s="40">
        <v>17213</v>
      </c>
      <c r="Q19" s="41">
        <v>0</v>
      </c>
      <c r="R19" s="41">
        <f t="shared" si="0"/>
        <v>17213</v>
      </c>
      <c r="S19" s="42"/>
      <c r="T19" s="42"/>
      <c r="U19" s="42"/>
      <c r="V19" s="43">
        <f t="shared" si="8"/>
        <v>1838.865</v>
      </c>
      <c r="W19" s="43">
        <f t="shared" si="1"/>
        <v>525.39</v>
      </c>
      <c r="X19" s="43">
        <f>(799.88/30*61)/2</f>
        <v>813.2113333333333</v>
      </c>
      <c r="Y19" s="43">
        <f t="shared" si="4"/>
        <v>350.26</v>
      </c>
      <c r="Z19" s="43">
        <v>1247</v>
      </c>
      <c r="AA19" s="43">
        <v>779</v>
      </c>
      <c r="AB19" s="44">
        <v>300</v>
      </c>
      <c r="AC19" s="43">
        <f t="shared" si="9"/>
        <v>22766.726333333332</v>
      </c>
      <c r="AD19" s="43">
        <f t="shared" si="10"/>
        <v>3600</v>
      </c>
      <c r="AE19" s="44">
        <f t="shared" si="5"/>
        <v>29188.333333333332</v>
      </c>
      <c r="AF19" s="44">
        <f t="shared" si="6"/>
        <v>2918.833333333333</v>
      </c>
      <c r="AG19" s="44">
        <f t="shared" si="7"/>
        <v>8756.5</v>
      </c>
      <c r="AH19" s="45">
        <f>(AC19*12)+AD19+AE19+AF19+AG19+2331.36</f>
        <v>319995.74266666663</v>
      </c>
    </row>
    <row r="20" spans="1:34" ht="24" customHeight="1">
      <c r="A20" s="31">
        <v>11</v>
      </c>
      <c r="B20" s="32" t="s">
        <v>40</v>
      </c>
      <c r="C20" s="32" t="s">
        <v>41</v>
      </c>
      <c r="D20" s="33">
        <v>3</v>
      </c>
      <c r="E20" s="32" t="s">
        <v>41</v>
      </c>
      <c r="F20" s="32" t="s">
        <v>42</v>
      </c>
      <c r="G20" s="34" t="s">
        <v>77</v>
      </c>
      <c r="H20" s="34" t="s">
        <v>78</v>
      </c>
      <c r="I20" s="36">
        <v>38915</v>
      </c>
      <c r="J20" s="37">
        <v>16</v>
      </c>
      <c r="K20" s="38">
        <v>40</v>
      </c>
      <c r="L20" s="38" t="s">
        <v>133</v>
      </c>
      <c r="M20" s="48" t="s">
        <v>75</v>
      </c>
      <c r="N20" s="38">
        <v>1</v>
      </c>
      <c r="O20" s="49" t="s">
        <v>76</v>
      </c>
      <c r="P20" s="40">
        <v>17213</v>
      </c>
      <c r="Q20" s="41">
        <v>0</v>
      </c>
      <c r="R20" s="41">
        <f t="shared" si="0"/>
        <v>17213</v>
      </c>
      <c r="S20" s="42"/>
      <c r="T20" s="42"/>
      <c r="U20" s="42"/>
      <c r="V20" s="43">
        <f t="shared" si="8"/>
        <v>1838.865</v>
      </c>
      <c r="W20" s="43">
        <f t="shared" si="1"/>
        <v>525.39</v>
      </c>
      <c r="X20" s="43">
        <f>(798.79/30*61)/2</f>
        <v>812.10316666666665</v>
      </c>
      <c r="Y20" s="43">
        <f t="shared" si="4"/>
        <v>350.26</v>
      </c>
      <c r="Z20" s="43">
        <v>1247</v>
      </c>
      <c r="AA20" s="43">
        <v>779</v>
      </c>
      <c r="AB20" s="44">
        <v>300</v>
      </c>
      <c r="AC20" s="43">
        <f t="shared" si="9"/>
        <v>22765.618166666667</v>
      </c>
      <c r="AD20" s="43">
        <f t="shared" si="10"/>
        <v>3600</v>
      </c>
      <c r="AE20" s="44">
        <f t="shared" si="5"/>
        <v>29188.333333333332</v>
      </c>
      <c r="AF20" s="44">
        <f t="shared" si="6"/>
        <v>2918.833333333333</v>
      </c>
      <c r="AG20" s="44">
        <f t="shared" si="7"/>
        <v>8756.5</v>
      </c>
      <c r="AH20" s="45">
        <f t="shared" ref="AH20:AH25" si="11">(AC20*12)+AD20+AE20+AF20+AG20+1554.24</f>
        <v>319205.32466666662</v>
      </c>
    </row>
    <row r="21" spans="1:34" ht="24" customHeight="1">
      <c r="A21" s="31">
        <v>12</v>
      </c>
      <c r="B21" s="32" t="s">
        <v>40</v>
      </c>
      <c r="C21" s="32" t="s">
        <v>41</v>
      </c>
      <c r="D21" s="33">
        <v>3</v>
      </c>
      <c r="E21" s="32" t="s">
        <v>41</v>
      </c>
      <c r="F21" s="32" t="s">
        <v>42</v>
      </c>
      <c r="G21" s="51" t="s">
        <v>79</v>
      </c>
      <c r="H21" s="35" t="s">
        <v>80</v>
      </c>
      <c r="I21" s="36">
        <v>39105</v>
      </c>
      <c r="J21" s="37">
        <v>16</v>
      </c>
      <c r="K21" s="38">
        <v>40</v>
      </c>
      <c r="L21" s="38" t="s">
        <v>133</v>
      </c>
      <c r="M21" s="53" t="s">
        <v>75</v>
      </c>
      <c r="N21" s="38">
        <v>1</v>
      </c>
      <c r="O21" s="49" t="s">
        <v>76</v>
      </c>
      <c r="P21" s="40">
        <v>17213</v>
      </c>
      <c r="Q21" s="41">
        <v>0</v>
      </c>
      <c r="R21" s="41">
        <f t="shared" si="0"/>
        <v>17213</v>
      </c>
      <c r="S21" s="42"/>
      <c r="T21" s="42"/>
      <c r="U21" s="42"/>
      <c r="V21" s="43">
        <f t="shared" si="8"/>
        <v>1838.865</v>
      </c>
      <c r="W21" s="43">
        <f t="shared" si="1"/>
        <v>525.39</v>
      </c>
      <c r="X21" s="43">
        <f>(798.63/30*61)/2</f>
        <v>811.94049999999993</v>
      </c>
      <c r="Y21" s="43">
        <f t="shared" si="4"/>
        <v>350.26</v>
      </c>
      <c r="Z21" s="43">
        <v>1247</v>
      </c>
      <c r="AA21" s="43">
        <v>779</v>
      </c>
      <c r="AB21" s="44">
        <v>300</v>
      </c>
      <c r="AC21" s="43">
        <f t="shared" si="9"/>
        <v>22765.4555</v>
      </c>
      <c r="AD21" s="43">
        <f t="shared" si="10"/>
        <v>3600</v>
      </c>
      <c r="AE21" s="44">
        <f t="shared" si="5"/>
        <v>29188.333333333332</v>
      </c>
      <c r="AF21" s="44">
        <f t="shared" si="6"/>
        <v>2918.833333333333</v>
      </c>
      <c r="AG21" s="44">
        <f t="shared" si="7"/>
        <v>8756.5</v>
      </c>
      <c r="AH21" s="45">
        <f t="shared" si="11"/>
        <v>319203.37266666663</v>
      </c>
    </row>
    <row r="22" spans="1:34" ht="24" customHeight="1">
      <c r="A22" s="31">
        <v>13</v>
      </c>
      <c r="B22" s="32" t="s">
        <v>40</v>
      </c>
      <c r="C22" s="32" t="s">
        <v>41</v>
      </c>
      <c r="D22" s="33">
        <v>3</v>
      </c>
      <c r="E22" s="32" t="s">
        <v>41</v>
      </c>
      <c r="F22" s="32" t="s">
        <v>42</v>
      </c>
      <c r="G22" s="34" t="s">
        <v>81</v>
      </c>
      <c r="H22" s="34" t="s">
        <v>82</v>
      </c>
      <c r="I22" s="36">
        <v>38019</v>
      </c>
      <c r="J22" s="37">
        <v>16</v>
      </c>
      <c r="K22" s="38">
        <v>40</v>
      </c>
      <c r="L22" s="38" t="s">
        <v>133</v>
      </c>
      <c r="M22" s="53" t="s">
        <v>75</v>
      </c>
      <c r="N22" s="38">
        <v>1</v>
      </c>
      <c r="O22" s="49" t="s">
        <v>76</v>
      </c>
      <c r="P22" s="40">
        <v>17213</v>
      </c>
      <c r="Q22" s="41">
        <v>0</v>
      </c>
      <c r="R22" s="41">
        <f t="shared" si="0"/>
        <v>17213</v>
      </c>
      <c r="S22" s="42"/>
      <c r="T22" s="42"/>
      <c r="U22" s="42"/>
      <c r="V22" s="43">
        <f t="shared" si="8"/>
        <v>1838.865</v>
      </c>
      <c r="W22" s="43">
        <f t="shared" si="1"/>
        <v>525.39</v>
      </c>
      <c r="X22" s="43">
        <f>(798.79/30*61)/2</f>
        <v>812.10316666666665</v>
      </c>
      <c r="Y22" s="43">
        <f t="shared" si="4"/>
        <v>350.26</v>
      </c>
      <c r="Z22" s="43">
        <v>1247</v>
      </c>
      <c r="AA22" s="43">
        <v>779</v>
      </c>
      <c r="AB22" s="44">
        <v>300</v>
      </c>
      <c r="AC22" s="43">
        <f t="shared" si="9"/>
        <v>22765.618166666667</v>
      </c>
      <c r="AD22" s="43">
        <f t="shared" si="10"/>
        <v>3600</v>
      </c>
      <c r="AE22" s="44">
        <f t="shared" si="5"/>
        <v>29188.333333333332</v>
      </c>
      <c r="AF22" s="44">
        <f t="shared" si="6"/>
        <v>2918.833333333333</v>
      </c>
      <c r="AG22" s="44">
        <f t="shared" si="7"/>
        <v>8756.5</v>
      </c>
      <c r="AH22" s="45">
        <f t="shared" si="11"/>
        <v>319205.32466666662</v>
      </c>
    </row>
    <row r="23" spans="1:34" ht="24" customHeight="1">
      <c r="A23" s="31">
        <v>14</v>
      </c>
      <c r="B23" s="32" t="s">
        <v>40</v>
      </c>
      <c r="C23" s="32" t="s">
        <v>41</v>
      </c>
      <c r="D23" s="33">
        <v>3</v>
      </c>
      <c r="E23" s="32" t="s">
        <v>41</v>
      </c>
      <c r="F23" s="32" t="s">
        <v>42</v>
      </c>
      <c r="G23" s="34" t="s">
        <v>83</v>
      </c>
      <c r="H23" s="34" t="s">
        <v>84</v>
      </c>
      <c r="I23" s="36">
        <v>39346</v>
      </c>
      <c r="J23" s="37">
        <v>16</v>
      </c>
      <c r="K23" s="38">
        <v>40</v>
      </c>
      <c r="L23" s="38" t="s">
        <v>133</v>
      </c>
      <c r="M23" s="48" t="s">
        <v>75</v>
      </c>
      <c r="N23" s="38">
        <v>1</v>
      </c>
      <c r="O23" s="49" t="s">
        <v>76</v>
      </c>
      <c r="P23" s="40">
        <v>17213</v>
      </c>
      <c r="Q23" s="41">
        <v>0</v>
      </c>
      <c r="R23" s="41">
        <f t="shared" si="0"/>
        <v>17213</v>
      </c>
      <c r="S23" s="42"/>
      <c r="T23" s="42"/>
      <c r="U23" s="42"/>
      <c r="V23" s="43">
        <f t="shared" si="8"/>
        <v>1838.865</v>
      </c>
      <c r="W23" s="43">
        <f t="shared" si="1"/>
        <v>525.39</v>
      </c>
      <c r="X23" s="43">
        <f>(796.81/30*61)/2</f>
        <v>810.09016666666662</v>
      </c>
      <c r="Y23" s="43">
        <f t="shared" si="4"/>
        <v>350.26</v>
      </c>
      <c r="Z23" s="43">
        <v>1247</v>
      </c>
      <c r="AA23" s="43">
        <v>779</v>
      </c>
      <c r="AB23" s="44">
        <v>300</v>
      </c>
      <c r="AC23" s="43">
        <f t="shared" si="9"/>
        <v>22763.605166666664</v>
      </c>
      <c r="AD23" s="43">
        <f t="shared" si="10"/>
        <v>3600</v>
      </c>
      <c r="AE23" s="44">
        <f t="shared" si="5"/>
        <v>29188.333333333332</v>
      </c>
      <c r="AF23" s="44">
        <f t="shared" si="6"/>
        <v>2918.833333333333</v>
      </c>
      <c r="AG23" s="44">
        <f t="shared" si="7"/>
        <v>8756.5</v>
      </c>
      <c r="AH23" s="45">
        <f t="shared" si="11"/>
        <v>319181.16866666661</v>
      </c>
    </row>
    <row r="24" spans="1:34" ht="24" customHeight="1">
      <c r="A24" s="31">
        <v>15</v>
      </c>
      <c r="B24" s="32" t="s">
        <v>40</v>
      </c>
      <c r="C24" s="32" t="s">
        <v>41</v>
      </c>
      <c r="D24" s="33">
        <v>3</v>
      </c>
      <c r="E24" s="32" t="s">
        <v>41</v>
      </c>
      <c r="F24" s="32" t="s">
        <v>42</v>
      </c>
      <c r="G24" s="34" t="s">
        <v>85</v>
      </c>
      <c r="H24" s="34" t="s">
        <v>86</v>
      </c>
      <c r="I24" s="55">
        <v>39272</v>
      </c>
      <c r="J24" s="37">
        <v>15</v>
      </c>
      <c r="K24" s="38">
        <v>40</v>
      </c>
      <c r="L24" s="38" t="s">
        <v>133</v>
      </c>
      <c r="M24" s="39" t="s">
        <v>87</v>
      </c>
      <c r="N24" s="38">
        <v>1</v>
      </c>
      <c r="O24" s="49" t="s">
        <v>88</v>
      </c>
      <c r="P24" s="40">
        <v>15125</v>
      </c>
      <c r="Q24" s="41">
        <v>0</v>
      </c>
      <c r="R24" s="41">
        <f t="shared" si="0"/>
        <v>15125</v>
      </c>
      <c r="S24" s="42"/>
      <c r="T24" s="42"/>
      <c r="U24" s="42"/>
      <c r="V24" s="43">
        <f t="shared" si="8"/>
        <v>1619.625</v>
      </c>
      <c r="W24" s="43">
        <f t="shared" si="1"/>
        <v>462.75</v>
      </c>
      <c r="X24" s="43">
        <f>(738.88/30*61)/2</f>
        <v>751.19466666666665</v>
      </c>
      <c r="Y24" s="43">
        <f t="shared" si="4"/>
        <v>308.5</v>
      </c>
      <c r="Z24" s="43">
        <v>1206</v>
      </c>
      <c r="AA24" s="43">
        <v>755</v>
      </c>
      <c r="AB24" s="44">
        <v>300</v>
      </c>
      <c r="AC24" s="43">
        <f t="shared" si="9"/>
        <v>20228.069666666666</v>
      </c>
      <c r="AD24" s="43">
        <f t="shared" si="10"/>
        <v>3600</v>
      </c>
      <c r="AE24" s="44">
        <f t="shared" si="5"/>
        <v>25708.333333333332</v>
      </c>
      <c r="AF24" s="44">
        <f t="shared" si="6"/>
        <v>2570.833333333333</v>
      </c>
      <c r="AG24" s="44">
        <f t="shared" si="7"/>
        <v>7712.4999999999991</v>
      </c>
      <c r="AH24" s="45">
        <f t="shared" si="11"/>
        <v>283882.74266666663</v>
      </c>
    </row>
    <row r="25" spans="1:34" ht="24" customHeight="1">
      <c r="A25" s="31">
        <v>16</v>
      </c>
      <c r="B25" s="32" t="s">
        <v>40</v>
      </c>
      <c r="C25" s="32" t="s">
        <v>41</v>
      </c>
      <c r="D25" s="33">
        <v>3</v>
      </c>
      <c r="E25" s="32" t="s">
        <v>41</v>
      </c>
      <c r="F25" s="32" t="s">
        <v>42</v>
      </c>
      <c r="G25" s="34" t="s">
        <v>89</v>
      </c>
      <c r="H25" s="34" t="s">
        <v>90</v>
      </c>
      <c r="I25" s="55">
        <v>38488</v>
      </c>
      <c r="J25" s="37">
        <v>15</v>
      </c>
      <c r="K25" s="38">
        <v>40</v>
      </c>
      <c r="L25" s="38" t="s">
        <v>133</v>
      </c>
      <c r="M25" s="39" t="s">
        <v>87</v>
      </c>
      <c r="N25" s="38">
        <v>1</v>
      </c>
      <c r="O25" s="49" t="s">
        <v>88</v>
      </c>
      <c r="P25" s="40">
        <v>15125</v>
      </c>
      <c r="Q25" s="41">
        <v>0</v>
      </c>
      <c r="R25" s="41">
        <f t="shared" si="0"/>
        <v>15125</v>
      </c>
      <c r="S25" s="42"/>
      <c r="T25" s="42"/>
      <c r="U25" s="42"/>
      <c r="V25" s="43">
        <f t="shared" si="8"/>
        <v>1619.625</v>
      </c>
      <c r="W25" s="43">
        <f t="shared" si="1"/>
        <v>462.75</v>
      </c>
      <c r="X25" s="43">
        <f>(740.3/30*61)/2</f>
        <v>752.63833333333332</v>
      </c>
      <c r="Y25" s="43">
        <f t="shared" si="4"/>
        <v>308.5</v>
      </c>
      <c r="Z25" s="43">
        <v>1206</v>
      </c>
      <c r="AA25" s="43">
        <v>755</v>
      </c>
      <c r="AB25" s="44">
        <v>300</v>
      </c>
      <c r="AC25" s="43">
        <f t="shared" si="9"/>
        <v>20229.513333333332</v>
      </c>
      <c r="AD25" s="43">
        <f t="shared" si="10"/>
        <v>3600</v>
      </c>
      <c r="AE25" s="44">
        <f t="shared" si="5"/>
        <v>25708.333333333332</v>
      </c>
      <c r="AF25" s="44">
        <f t="shared" si="6"/>
        <v>2570.833333333333</v>
      </c>
      <c r="AG25" s="44">
        <f t="shared" si="7"/>
        <v>7712.4999999999991</v>
      </c>
      <c r="AH25" s="45">
        <f t="shared" si="11"/>
        <v>283900.06666666659</v>
      </c>
    </row>
    <row r="26" spans="1:34" ht="24" customHeight="1">
      <c r="A26" s="31">
        <v>17</v>
      </c>
      <c r="B26" s="32" t="s">
        <v>40</v>
      </c>
      <c r="C26" s="32" t="s">
        <v>41</v>
      </c>
      <c r="D26" s="33">
        <v>3</v>
      </c>
      <c r="E26" s="32" t="s">
        <v>41</v>
      </c>
      <c r="F26" s="32" t="s">
        <v>42</v>
      </c>
      <c r="G26" s="34" t="s">
        <v>91</v>
      </c>
      <c r="H26" s="35" t="s">
        <v>92</v>
      </c>
      <c r="I26" s="36">
        <v>36557</v>
      </c>
      <c r="J26" s="37">
        <v>15</v>
      </c>
      <c r="K26" s="38">
        <v>40</v>
      </c>
      <c r="L26" s="38" t="s">
        <v>133</v>
      </c>
      <c r="M26" s="39" t="s">
        <v>87</v>
      </c>
      <c r="N26" s="38">
        <v>1</v>
      </c>
      <c r="O26" s="49" t="s">
        <v>88</v>
      </c>
      <c r="P26" s="40">
        <v>15125</v>
      </c>
      <c r="Q26" s="41">
        <v>0</v>
      </c>
      <c r="R26" s="41">
        <f t="shared" si="0"/>
        <v>15125</v>
      </c>
      <c r="S26" s="42"/>
      <c r="T26" s="42"/>
      <c r="U26" s="42"/>
      <c r="V26" s="43">
        <f t="shared" si="8"/>
        <v>1619.625</v>
      </c>
      <c r="W26" s="43">
        <f t="shared" si="1"/>
        <v>462.75</v>
      </c>
      <c r="X26" s="43">
        <f>(741.67/30*61)/2</f>
        <v>754.03116666666665</v>
      </c>
      <c r="Y26" s="43">
        <f t="shared" si="4"/>
        <v>308.5</v>
      </c>
      <c r="Z26" s="43">
        <v>1206</v>
      </c>
      <c r="AA26" s="43">
        <v>755</v>
      </c>
      <c r="AB26" s="44">
        <v>300</v>
      </c>
      <c r="AC26" s="43">
        <f t="shared" si="9"/>
        <v>20230.906166666668</v>
      </c>
      <c r="AD26" s="43">
        <f t="shared" si="10"/>
        <v>3600</v>
      </c>
      <c r="AE26" s="44">
        <f t="shared" si="5"/>
        <v>25708.333333333332</v>
      </c>
      <c r="AF26" s="44">
        <f t="shared" si="6"/>
        <v>2570.833333333333</v>
      </c>
      <c r="AG26" s="44">
        <f t="shared" si="7"/>
        <v>7712.4999999999991</v>
      </c>
      <c r="AH26" s="45">
        <f>(AC26*12)+AD26+AE26+AF26+AG26+2331.36</f>
        <v>284693.90066666662</v>
      </c>
    </row>
    <row r="27" spans="1:34" ht="24" customHeight="1">
      <c r="A27" s="31">
        <v>18</v>
      </c>
      <c r="B27" s="32" t="s">
        <v>40</v>
      </c>
      <c r="C27" s="32" t="s">
        <v>41</v>
      </c>
      <c r="D27" s="33">
        <v>3</v>
      </c>
      <c r="E27" s="32" t="s">
        <v>41</v>
      </c>
      <c r="F27" s="32" t="s">
        <v>42</v>
      </c>
      <c r="G27" s="34" t="s">
        <v>93</v>
      </c>
      <c r="H27" s="34" t="s">
        <v>94</v>
      </c>
      <c r="I27" s="55">
        <v>39979</v>
      </c>
      <c r="J27" s="37">
        <v>15</v>
      </c>
      <c r="K27" s="38">
        <v>40</v>
      </c>
      <c r="L27" s="38" t="s">
        <v>133</v>
      </c>
      <c r="M27" s="53" t="s">
        <v>95</v>
      </c>
      <c r="N27" s="38">
        <v>1</v>
      </c>
      <c r="O27" s="49" t="s">
        <v>76</v>
      </c>
      <c r="P27" s="40">
        <v>15125</v>
      </c>
      <c r="Q27" s="41">
        <v>0</v>
      </c>
      <c r="R27" s="41">
        <f t="shared" si="0"/>
        <v>15125</v>
      </c>
      <c r="S27" s="42"/>
      <c r="T27" s="42"/>
      <c r="U27" s="42"/>
      <c r="V27" s="43">
        <f t="shared" si="8"/>
        <v>1619.625</v>
      </c>
      <c r="W27" s="43">
        <f t="shared" si="1"/>
        <v>462.75</v>
      </c>
      <c r="X27" s="43">
        <f>(737.56/30*61)/2</f>
        <v>749.85266666666655</v>
      </c>
      <c r="Y27" s="43">
        <f t="shared" si="4"/>
        <v>308.5</v>
      </c>
      <c r="Z27" s="43">
        <v>1206</v>
      </c>
      <c r="AA27" s="43">
        <v>755</v>
      </c>
      <c r="AB27" s="44">
        <v>300</v>
      </c>
      <c r="AC27" s="43">
        <f t="shared" si="9"/>
        <v>20226.727666666666</v>
      </c>
      <c r="AD27" s="43">
        <f t="shared" si="10"/>
        <v>3600</v>
      </c>
      <c r="AE27" s="44">
        <f t="shared" si="5"/>
        <v>25708.333333333332</v>
      </c>
      <c r="AF27" s="44">
        <f t="shared" si="6"/>
        <v>2570.833333333333</v>
      </c>
      <c r="AG27" s="44">
        <f t="shared" si="7"/>
        <v>7712.4999999999991</v>
      </c>
      <c r="AH27" s="45">
        <f t="shared" si="2"/>
        <v>282312.39866666665</v>
      </c>
    </row>
    <row r="28" spans="1:34" ht="24" customHeight="1">
      <c r="A28" s="31">
        <v>19</v>
      </c>
      <c r="B28" s="32" t="s">
        <v>40</v>
      </c>
      <c r="C28" s="32" t="s">
        <v>41</v>
      </c>
      <c r="D28" s="33">
        <v>3</v>
      </c>
      <c r="E28" s="32" t="s">
        <v>41</v>
      </c>
      <c r="F28" s="32" t="s">
        <v>42</v>
      </c>
      <c r="G28" s="34" t="s">
        <v>96</v>
      </c>
      <c r="H28" s="35" t="s">
        <v>97</v>
      </c>
      <c r="I28" s="36">
        <v>35719</v>
      </c>
      <c r="J28" s="37">
        <v>15</v>
      </c>
      <c r="K28" s="38">
        <v>40</v>
      </c>
      <c r="L28" s="38" t="s">
        <v>133</v>
      </c>
      <c r="M28" s="53" t="s">
        <v>95</v>
      </c>
      <c r="N28" s="38">
        <v>1</v>
      </c>
      <c r="O28" s="49" t="s">
        <v>76</v>
      </c>
      <c r="P28" s="40">
        <v>15125</v>
      </c>
      <c r="Q28" s="41">
        <v>0</v>
      </c>
      <c r="R28" s="41">
        <f t="shared" si="0"/>
        <v>15125</v>
      </c>
      <c r="S28" s="42"/>
      <c r="T28" s="42"/>
      <c r="U28" s="42"/>
      <c r="V28" s="43">
        <f t="shared" si="8"/>
        <v>1619.625</v>
      </c>
      <c r="W28" s="43">
        <f t="shared" si="1"/>
        <v>462.75</v>
      </c>
      <c r="X28" s="43">
        <f>(741.67/30*61)/2</f>
        <v>754.03116666666665</v>
      </c>
      <c r="Y28" s="43">
        <f t="shared" si="4"/>
        <v>308.5</v>
      </c>
      <c r="Z28" s="43">
        <v>1206</v>
      </c>
      <c r="AA28" s="43">
        <v>755</v>
      </c>
      <c r="AB28" s="44">
        <v>300</v>
      </c>
      <c r="AC28" s="43">
        <f t="shared" si="9"/>
        <v>20230.906166666668</v>
      </c>
      <c r="AD28" s="43">
        <f t="shared" si="10"/>
        <v>3600</v>
      </c>
      <c r="AE28" s="44">
        <f t="shared" si="5"/>
        <v>25708.333333333332</v>
      </c>
      <c r="AF28" s="44">
        <f t="shared" si="6"/>
        <v>2570.833333333333</v>
      </c>
      <c r="AG28" s="44">
        <f t="shared" si="7"/>
        <v>7712.4999999999991</v>
      </c>
      <c r="AH28" s="45">
        <f>(AC28*12)+AD28+AE28+AF28+AG28+3108.48</f>
        <v>285471.02066666662</v>
      </c>
    </row>
    <row r="29" spans="1:34" ht="24" customHeight="1">
      <c r="A29" s="31">
        <v>20</v>
      </c>
      <c r="B29" s="32" t="s">
        <v>40</v>
      </c>
      <c r="C29" s="32" t="s">
        <v>41</v>
      </c>
      <c r="D29" s="33">
        <v>3</v>
      </c>
      <c r="E29" s="32" t="s">
        <v>41</v>
      </c>
      <c r="F29" s="32" t="s">
        <v>42</v>
      </c>
      <c r="G29" s="34" t="s">
        <v>98</v>
      </c>
      <c r="H29" s="35" t="s">
        <v>99</v>
      </c>
      <c r="I29" s="36">
        <v>40269</v>
      </c>
      <c r="J29" s="37">
        <v>15</v>
      </c>
      <c r="K29" s="38">
        <v>40</v>
      </c>
      <c r="L29" s="38" t="s">
        <v>133</v>
      </c>
      <c r="M29" s="39" t="s">
        <v>100</v>
      </c>
      <c r="N29" s="38">
        <v>1</v>
      </c>
      <c r="O29" s="49" t="s">
        <v>101</v>
      </c>
      <c r="P29" s="40">
        <v>15125</v>
      </c>
      <c r="Q29" s="41">
        <v>0</v>
      </c>
      <c r="R29" s="41">
        <f t="shared" si="0"/>
        <v>15125</v>
      </c>
      <c r="S29" s="42"/>
      <c r="T29" s="42"/>
      <c r="U29" s="42"/>
      <c r="V29" s="43">
        <f t="shared" si="8"/>
        <v>1619.625</v>
      </c>
      <c r="W29" s="43">
        <f t="shared" si="1"/>
        <v>462.75</v>
      </c>
      <c r="X29" s="43">
        <f>(737.56/30*61)/2</f>
        <v>749.85266666666655</v>
      </c>
      <c r="Y29" s="43">
        <f t="shared" si="4"/>
        <v>308.5</v>
      </c>
      <c r="Z29" s="43">
        <v>1206</v>
      </c>
      <c r="AA29" s="43">
        <v>755</v>
      </c>
      <c r="AB29" s="44">
        <v>300</v>
      </c>
      <c r="AC29" s="43">
        <f t="shared" si="9"/>
        <v>20226.727666666666</v>
      </c>
      <c r="AD29" s="43">
        <f t="shared" si="10"/>
        <v>3600</v>
      </c>
      <c r="AE29" s="44">
        <f t="shared" si="5"/>
        <v>25708.333333333332</v>
      </c>
      <c r="AF29" s="44">
        <f t="shared" si="6"/>
        <v>2570.833333333333</v>
      </c>
      <c r="AG29" s="44">
        <f t="shared" si="7"/>
        <v>7712.4999999999991</v>
      </c>
      <c r="AH29" s="45">
        <f t="shared" si="2"/>
        <v>282312.39866666665</v>
      </c>
    </row>
    <row r="30" spans="1:34" ht="24" customHeight="1">
      <c r="A30" s="31">
        <v>21</v>
      </c>
      <c r="B30" s="32" t="s">
        <v>40</v>
      </c>
      <c r="C30" s="32" t="s">
        <v>41</v>
      </c>
      <c r="D30" s="33">
        <v>3</v>
      </c>
      <c r="E30" s="32" t="s">
        <v>41</v>
      </c>
      <c r="F30" s="32" t="s">
        <v>42</v>
      </c>
      <c r="G30" s="51" t="s">
        <v>102</v>
      </c>
      <c r="H30" s="35" t="s">
        <v>103</v>
      </c>
      <c r="I30" s="36">
        <v>39979</v>
      </c>
      <c r="J30" s="37">
        <v>15</v>
      </c>
      <c r="K30" s="38">
        <v>40</v>
      </c>
      <c r="L30" s="38" t="s">
        <v>133</v>
      </c>
      <c r="M30" s="39" t="s">
        <v>100</v>
      </c>
      <c r="N30" s="38">
        <v>1</v>
      </c>
      <c r="O30" s="49" t="s">
        <v>101</v>
      </c>
      <c r="P30" s="40">
        <v>15125</v>
      </c>
      <c r="Q30" s="41">
        <v>0</v>
      </c>
      <c r="R30" s="41">
        <f t="shared" si="0"/>
        <v>15125</v>
      </c>
      <c r="S30" s="42"/>
      <c r="T30" s="42"/>
      <c r="U30" s="42"/>
      <c r="V30" s="43">
        <f t="shared" si="8"/>
        <v>1619.625</v>
      </c>
      <c r="W30" s="43">
        <f t="shared" si="1"/>
        <v>462.75</v>
      </c>
      <c r="X30" s="43">
        <f>(737.56/30*61)/2</f>
        <v>749.85266666666655</v>
      </c>
      <c r="Y30" s="43">
        <f t="shared" si="4"/>
        <v>308.5</v>
      </c>
      <c r="Z30" s="43">
        <v>1206</v>
      </c>
      <c r="AA30" s="43">
        <v>755</v>
      </c>
      <c r="AB30" s="44">
        <v>300</v>
      </c>
      <c r="AC30" s="43">
        <f t="shared" si="9"/>
        <v>20226.727666666666</v>
      </c>
      <c r="AD30" s="43">
        <f t="shared" si="10"/>
        <v>3600</v>
      </c>
      <c r="AE30" s="44">
        <f t="shared" si="5"/>
        <v>25708.333333333332</v>
      </c>
      <c r="AF30" s="44">
        <f t="shared" si="6"/>
        <v>2570.833333333333</v>
      </c>
      <c r="AG30" s="44">
        <f t="shared" si="7"/>
        <v>7712.4999999999991</v>
      </c>
      <c r="AH30" s="45">
        <f t="shared" si="2"/>
        <v>282312.39866666665</v>
      </c>
    </row>
    <row r="31" spans="1:34" ht="24" customHeight="1">
      <c r="A31" s="31">
        <v>22</v>
      </c>
      <c r="B31" s="32" t="s">
        <v>40</v>
      </c>
      <c r="C31" s="32" t="s">
        <v>41</v>
      </c>
      <c r="D31" s="33">
        <v>3</v>
      </c>
      <c r="E31" s="32" t="s">
        <v>41</v>
      </c>
      <c r="F31" s="32" t="s">
        <v>42</v>
      </c>
      <c r="G31" s="51" t="s">
        <v>104</v>
      </c>
      <c r="H31" s="34" t="s">
        <v>105</v>
      </c>
      <c r="I31" s="36">
        <v>37104</v>
      </c>
      <c r="J31" s="37">
        <v>15</v>
      </c>
      <c r="K31" s="38">
        <v>40</v>
      </c>
      <c r="L31" s="38" t="s">
        <v>133</v>
      </c>
      <c r="M31" s="39" t="s">
        <v>106</v>
      </c>
      <c r="N31" s="38">
        <v>1</v>
      </c>
      <c r="O31" s="38" t="s">
        <v>107</v>
      </c>
      <c r="P31" s="40">
        <v>15125</v>
      </c>
      <c r="Q31" s="41">
        <v>0</v>
      </c>
      <c r="R31" s="41">
        <f t="shared" si="0"/>
        <v>15125</v>
      </c>
      <c r="S31" s="42"/>
      <c r="T31" s="42"/>
      <c r="U31" s="42"/>
      <c r="V31" s="43">
        <f t="shared" si="8"/>
        <v>1619.625</v>
      </c>
      <c r="W31" s="43">
        <f t="shared" si="1"/>
        <v>462.75</v>
      </c>
      <c r="X31" s="43">
        <f>(741.67/30*61)/2</f>
        <v>754.03116666666665</v>
      </c>
      <c r="Y31" s="43">
        <f t="shared" si="4"/>
        <v>308.5</v>
      </c>
      <c r="Z31" s="43">
        <v>1206</v>
      </c>
      <c r="AA31" s="43">
        <v>755</v>
      </c>
      <c r="AB31" s="44">
        <v>300</v>
      </c>
      <c r="AC31" s="43">
        <f t="shared" si="9"/>
        <v>20230.906166666668</v>
      </c>
      <c r="AD31" s="43">
        <f t="shared" si="10"/>
        <v>3600</v>
      </c>
      <c r="AE31" s="44">
        <f t="shared" si="5"/>
        <v>25708.333333333332</v>
      </c>
      <c r="AF31" s="44">
        <f t="shared" si="6"/>
        <v>2570.833333333333</v>
      </c>
      <c r="AG31" s="44">
        <f t="shared" si="7"/>
        <v>7712.4999999999991</v>
      </c>
      <c r="AH31" s="45">
        <f>(AC31*12)+AD31+AE31+AF31+AG31+2331.36</f>
        <v>284693.90066666662</v>
      </c>
    </row>
    <row r="32" spans="1:34" ht="24" customHeight="1">
      <c r="A32" s="31">
        <v>23</v>
      </c>
      <c r="B32" s="32" t="s">
        <v>40</v>
      </c>
      <c r="C32" s="32" t="s">
        <v>41</v>
      </c>
      <c r="D32" s="33">
        <v>3</v>
      </c>
      <c r="E32" s="32" t="s">
        <v>41</v>
      </c>
      <c r="F32" s="32" t="s">
        <v>42</v>
      </c>
      <c r="G32" s="56" t="s">
        <v>51</v>
      </c>
      <c r="H32" s="57" t="s">
        <v>108</v>
      </c>
      <c r="I32" s="58"/>
      <c r="J32" s="59">
        <v>14</v>
      </c>
      <c r="K32" s="60">
        <v>40</v>
      </c>
      <c r="L32" s="38" t="s">
        <v>133</v>
      </c>
      <c r="M32" s="61" t="s">
        <v>109</v>
      </c>
      <c r="N32" s="60">
        <v>1</v>
      </c>
      <c r="O32" s="60" t="s">
        <v>107</v>
      </c>
      <c r="P32" s="62">
        <v>13667</v>
      </c>
      <c r="Q32" s="63">
        <v>0</v>
      </c>
      <c r="R32" s="63">
        <f t="shared" si="0"/>
        <v>13667</v>
      </c>
      <c r="S32" s="42"/>
      <c r="T32" s="64"/>
      <c r="U32" s="64"/>
      <c r="V32" s="43">
        <f t="shared" si="8"/>
        <v>1471.7849999999999</v>
      </c>
      <c r="W32" s="43">
        <f t="shared" si="1"/>
        <v>420.51</v>
      </c>
      <c r="X32" s="65">
        <f>(698.76/30*61)/2</f>
        <v>710.40599999999995</v>
      </c>
      <c r="Y32" s="65">
        <f t="shared" si="4"/>
        <v>280.34000000000003</v>
      </c>
      <c r="Z32" s="65">
        <v>1163</v>
      </c>
      <c r="AA32" s="65">
        <v>722</v>
      </c>
      <c r="AB32" s="44">
        <v>350</v>
      </c>
      <c r="AC32" s="43">
        <f t="shared" si="9"/>
        <v>18435.041000000001</v>
      </c>
      <c r="AD32" s="43">
        <f t="shared" si="10"/>
        <v>4200</v>
      </c>
      <c r="AE32" s="44">
        <f>(R32+AB32)/30*45.75</f>
        <v>21375.924999999999</v>
      </c>
      <c r="AF32" s="44">
        <f>(R32+AB32)/30*4.57</f>
        <v>2135.2563333333337</v>
      </c>
      <c r="AG32" s="44">
        <f>(R32+AB32)/30*13.75</f>
        <v>6424.4583333333339</v>
      </c>
      <c r="AH32" s="45">
        <f>(AC32*11)+AD32+AE32+AF32+AG32</f>
        <v>236921.09066666666</v>
      </c>
    </row>
    <row r="33" spans="1:36" ht="24" customHeight="1">
      <c r="A33" s="31">
        <v>24</v>
      </c>
      <c r="B33" s="32" t="s">
        <v>40</v>
      </c>
      <c r="C33" s="32" t="s">
        <v>41</v>
      </c>
      <c r="D33" s="33">
        <v>3</v>
      </c>
      <c r="E33" s="32" t="s">
        <v>41</v>
      </c>
      <c r="F33" s="32" t="s">
        <v>42</v>
      </c>
      <c r="G33" s="34" t="s">
        <v>110</v>
      </c>
      <c r="H33" s="34" t="s">
        <v>111</v>
      </c>
      <c r="I33" s="55">
        <v>40253</v>
      </c>
      <c r="J33" s="37">
        <v>14</v>
      </c>
      <c r="K33" s="38">
        <v>40</v>
      </c>
      <c r="L33" s="38" t="s">
        <v>133</v>
      </c>
      <c r="M33" s="39" t="s">
        <v>112</v>
      </c>
      <c r="N33" s="38">
        <v>1</v>
      </c>
      <c r="O33" s="38" t="s">
        <v>50</v>
      </c>
      <c r="P33" s="62">
        <v>13667</v>
      </c>
      <c r="Q33" s="41">
        <v>0</v>
      </c>
      <c r="R33" s="41">
        <f t="shared" si="0"/>
        <v>13667</v>
      </c>
      <c r="S33" s="42"/>
      <c r="T33" s="42"/>
      <c r="U33" s="42"/>
      <c r="V33" s="43">
        <f t="shared" si="8"/>
        <v>1471.7849999999999</v>
      </c>
      <c r="W33" s="43">
        <f t="shared" si="1"/>
        <v>420.51</v>
      </c>
      <c r="X33" s="43">
        <f>(696.03/30*61)/2</f>
        <v>707.63049999999998</v>
      </c>
      <c r="Y33" s="43">
        <f t="shared" si="4"/>
        <v>280.34000000000003</v>
      </c>
      <c r="Z33" s="43">
        <v>1163</v>
      </c>
      <c r="AA33" s="43">
        <v>722</v>
      </c>
      <c r="AB33" s="44">
        <v>350</v>
      </c>
      <c r="AC33" s="43">
        <f t="shared" si="9"/>
        <v>18432.265499999998</v>
      </c>
      <c r="AD33" s="43">
        <f t="shared" si="10"/>
        <v>4200</v>
      </c>
      <c r="AE33" s="44">
        <f t="shared" si="5"/>
        <v>23361.666666666668</v>
      </c>
      <c r="AF33" s="44">
        <f t="shared" si="6"/>
        <v>2336.166666666667</v>
      </c>
      <c r="AG33" s="44">
        <f t="shared" si="7"/>
        <v>7008.5</v>
      </c>
      <c r="AH33" s="45">
        <f t="shared" ref="AH33:AH36" si="12">(AC33*12)+AD33+AE33+AF33+AG33</f>
        <v>258093.5193333333</v>
      </c>
    </row>
    <row r="34" spans="1:36" ht="24" customHeight="1">
      <c r="A34" s="31">
        <v>25</v>
      </c>
      <c r="B34" s="32" t="s">
        <v>40</v>
      </c>
      <c r="C34" s="32" t="s">
        <v>41</v>
      </c>
      <c r="D34" s="33">
        <v>3</v>
      </c>
      <c r="E34" s="32" t="s">
        <v>41</v>
      </c>
      <c r="F34" s="32" t="s">
        <v>42</v>
      </c>
      <c r="G34" s="34" t="s">
        <v>113</v>
      </c>
      <c r="H34" s="34" t="s">
        <v>114</v>
      </c>
      <c r="I34" s="36">
        <v>38869</v>
      </c>
      <c r="J34" s="37">
        <v>12</v>
      </c>
      <c r="K34" s="38">
        <v>40</v>
      </c>
      <c r="L34" s="38" t="s">
        <v>133</v>
      </c>
      <c r="M34" s="53" t="s">
        <v>115</v>
      </c>
      <c r="N34" s="38">
        <v>1</v>
      </c>
      <c r="O34" s="38" t="s">
        <v>107</v>
      </c>
      <c r="P34" s="40">
        <v>11698</v>
      </c>
      <c r="Q34" s="41">
        <v>0</v>
      </c>
      <c r="R34" s="41">
        <f t="shared" si="0"/>
        <v>11698</v>
      </c>
      <c r="S34" s="42"/>
      <c r="T34" s="42"/>
      <c r="U34" s="42"/>
      <c r="V34" s="43">
        <f t="shared" si="8"/>
        <v>1280.79</v>
      </c>
      <c r="W34" s="43">
        <f t="shared" si="1"/>
        <v>365.94</v>
      </c>
      <c r="X34" s="43">
        <f>(642.79/30*61)/2</f>
        <v>653.50316666666663</v>
      </c>
      <c r="Y34" s="43">
        <f t="shared" si="4"/>
        <v>243.96</v>
      </c>
      <c r="Z34" s="43">
        <v>1099</v>
      </c>
      <c r="AA34" s="43">
        <v>689</v>
      </c>
      <c r="AB34" s="44">
        <v>500</v>
      </c>
      <c r="AC34" s="43">
        <f t="shared" si="9"/>
        <v>16030.193166666668</v>
      </c>
      <c r="AD34" s="43">
        <f t="shared" si="10"/>
        <v>6000</v>
      </c>
      <c r="AE34" s="44">
        <f t="shared" si="5"/>
        <v>20330</v>
      </c>
      <c r="AF34" s="44">
        <f t="shared" si="6"/>
        <v>2033</v>
      </c>
      <c r="AG34" s="44">
        <f t="shared" si="7"/>
        <v>6099</v>
      </c>
      <c r="AH34" s="45">
        <f>(AC34*12)+AD34+AE34+AF34+AG34+1554.24</f>
        <v>228378.55800000002</v>
      </c>
    </row>
    <row r="35" spans="1:36" ht="24" customHeight="1">
      <c r="A35" s="31">
        <v>26</v>
      </c>
      <c r="B35" s="32" t="s">
        <v>40</v>
      </c>
      <c r="C35" s="32" t="s">
        <v>41</v>
      </c>
      <c r="D35" s="33">
        <v>3</v>
      </c>
      <c r="E35" s="32" t="s">
        <v>41</v>
      </c>
      <c r="F35" s="32" t="s">
        <v>42</v>
      </c>
      <c r="G35" s="34" t="s">
        <v>116</v>
      </c>
      <c r="H35" s="35" t="s">
        <v>117</v>
      </c>
      <c r="I35" s="36">
        <v>39755</v>
      </c>
      <c r="J35" s="37">
        <v>12</v>
      </c>
      <c r="K35" s="38">
        <v>40</v>
      </c>
      <c r="L35" s="38" t="s">
        <v>133</v>
      </c>
      <c r="M35" s="53" t="s">
        <v>115</v>
      </c>
      <c r="N35" s="38">
        <v>1</v>
      </c>
      <c r="O35" s="38" t="s">
        <v>107</v>
      </c>
      <c r="P35" s="40">
        <v>11698</v>
      </c>
      <c r="Q35" s="41">
        <v>0</v>
      </c>
      <c r="R35" s="41">
        <f t="shared" si="0"/>
        <v>11698</v>
      </c>
      <c r="S35" s="42"/>
      <c r="T35" s="42"/>
      <c r="U35" s="42"/>
      <c r="V35" s="43">
        <f t="shared" si="8"/>
        <v>1280.79</v>
      </c>
      <c r="W35" s="43">
        <f t="shared" si="1"/>
        <v>365.94</v>
      </c>
      <c r="X35" s="43">
        <f>(640.06/30*61)/2</f>
        <v>650.72766666666655</v>
      </c>
      <c r="Y35" s="43">
        <f t="shared" si="4"/>
        <v>243.96</v>
      </c>
      <c r="Z35" s="43">
        <v>1099</v>
      </c>
      <c r="AA35" s="43">
        <v>689</v>
      </c>
      <c r="AB35" s="44">
        <v>500</v>
      </c>
      <c r="AC35" s="43">
        <f t="shared" si="9"/>
        <v>16027.417666666666</v>
      </c>
      <c r="AD35" s="43">
        <f t="shared" si="10"/>
        <v>6000</v>
      </c>
      <c r="AE35" s="44">
        <f t="shared" si="5"/>
        <v>20330</v>
      </c>
      <c r="AF35" s="44">
        <f t="shared" si="6"/>
        <v>2033</v>
      </c>
      <c r="AG35" s="44">
        <f t="shared" si="7"/>
        <v>6099</v>
      </c>
      <c r="AH35" s="45">
        <f>(AC35*12)+AD35+AE35+AF35+AG35+250.41</f>
        <v>227041.42199999999</v>
      </c>
    </row>
    <row r="36" spans="1:36" ht="24" customHeight="1">
      <c r="A36" s="31">
        <v>27</v>
      </c>
      <c r="B36" s="32" t="s">
        <v>40</v>
      </c>
      <c r="C36" s="32" t="s">
        <v>41</v>
      </c>
      <c r="D36" s="33">
        <v>3</v>
      </c>
      <c r="E36" s="32" t="s">
        <v>41</v>
      </c>
      <c r="F36" s="32" t="s">
        <v>42</v>
      </c>
      <c r="G36" s="34" t="s">
        <v>118</v>
      </c>
      <c r="H36" s="34" t="s">
        <v>119</v>
      </c>
      <c r="I36" s="55">
        <v>40360</v>
      </c>
      <c r="J36" s="37">
        <v>10</v>
      </c>
      <c r="K36" s="38">
        <v>40</v>
      </c>
      <c r="L36" s="49" t="s">
        <v>134</v>
      </c>
      <c r="M36" s="53" t="s">
        <v>120</v>
      </c>
      <c r="N36" s="38">
        <v>1</v>
      </c>
      <c r="O36" s="49" t="s">
        <v>88</v>
      </c>
      <c r="P36" s="40">
        <v>10855</v>
      </c>
      <c r="Q36" s="41">
        <v>0</v>
      </c>
      <c r="R36" s="41">
        <f t="shared" si="0"/>
        <v>10855</v>
      </c>
      <c r="S36" s="42"/>
      <c r="T36" s="42"/>
      <c r="U36" s="42"/>
      <c r="V36" s="43">
        <f t="shared" si="8"/>
        <v>1213.2749999999999</v>
      </c>
      <c r="W36" s="43">
        <f t="shared" si="1"/>
        <v>346.65</v>
      </c>
      <c r="X36" s="43">
        <f>(614.74/30*61)/2</f>
        <v>624.9856666666667</v>
      </c>
      <c r="Y36" s="43">
        <f t="shared" si="4"/>
        <v>231.1</v>
      </c>
      <c r="Z36" s="43">
        <v>1021</v>
      </c>
      <c r="AA36" s="43">
        <v>666</v>
      </c>
      <c r="AB36" s="44">
        <v>700</v>
      </c>
      <c r="AC36" s="43">
        <f t="shared" si="9"/>
        <v>14958.010666666667</v>
      </c>
      <c r="AD36" s="43">
        <f t="shared" si="10"/>
        <v>8400</v>
      </c>
      <c r="AE36" s="44">
        <f t="shared" si="5"/>
        <v>19258.333333333336</v>
      </c>
      <c r="AF36" s="44">
        <f t="shared" si="6"/>
        <v>1925.8333333333335</v>
      </c>
      <c r="AG36" s="44">
        <f t="shared" si="7"/>
        <v>5777.5</v>
      </c>
      <c r="AH36" s="45">
        <f t="shared" si="12"/>
        <v>214857.79466666668</v>
      </c>
    </row>
    <row r="37" spans="1:36" ht="24" customHeight="1">
      <c r="A37" s="31">
        <v>28</v>
      </c>
      <c r="B37" s="32" t="s">
        <v>40</v>
      </c>
      <c r="C37" s="32" t="s">
        <v>41</v>
      </c>
      <c r="D37" s="33">
        <v>3</v>
      </c>
      <c r="E37" s="32" t="s">
        <v>41</v>
      </c>
      <c r="F37" s="32" t="s">
        <v>42</v>
      </c>
      <c r="G37" s="34" t="s">
        <v>121</v>
      </c>
      <c r="H37" s="34" t="s">
        <v>122</v>
      </c>
      <c r="I37" s="55">
        <v>39104</v>
      </c>
      <c r="J37" s="37">
        <v>10</v>
      </c>
      <c r="K37" s="38">
        <v>40</v>
      </c>
      <c r="L37" s="49" t="s">
        <v>134</v>
      </c>
      <c r="M37" s="53" t="s">
        <v>123</v>
      </c>
      <c r="N37" s="38">
        <v>1</v>
      </c>
      <c r="O37" s="38" t="s">
        <v>107</v>
      </c>
      <c r="P37" s="40">
        <v>10855</v>
      </c>
      <c r="Q37" s="41">
        <v>0</v>
      </c>
      <c r="R37" s="41">
        <f t="shared" si="0"/>
        <v>10855</v>
      </c>
      <c r="S37" s="42"/>
      <c r="T37" s="42"/>
      <c r="U37" s="42"/>
      <c r="V37" s="43">
        <f t="shared" si="8"/>
        <v>1213.2749999999999</v>
      </c>
      <c r="W37" s="43">
        <f t="shared" si="1"/>
        <v>346.65</v>
      </c>
      <c r="X37" s="43">
        <f>(617.33/30*61)/2</f>
        <v>627.61883333333344</v>
      </c>
      <c r="Y37" s="43">
        <f t="shared" si="4"/>
        <v>231.1</v>
      </c>
      <c r="Z37" s="43">
        <v>1021</v>
      </c>
      <c r="AA37" s="43">
        <v>666</v>
      </c>
      <c r="AB37" s="44">
        <v>700</v>
      </c>
      <c r="AC37" s="43">
        <f t="shared" si="9"/>
        <v>14960.643833333334</v>
      </c>
      <c r="AD37" s="43">
        <f t="shared" si="10"/>
        <v>8400</v>
      </c>
      <c r="AE37" s="44">
        <f t="shared" si="5"/>
        <v>19258.333333333336</v>
      </c>
      <c r="AF37" s="44">
        <f t="shared" si="6"/>
        <v>1925.8333333333335</v>
      </c>
      <c r="AG37" s="44">
        <f t="shared" si="7"/>
        <v>5777.5</v>
      </c>
      <c r="AH37" s="45">
        <f>(AC37*12)+AD37+AE37+AF37+AG37+1554.24</f>
        <v>216443.63266666667</v>
      </c>
    </row>
    <row r="38" spans="1:36" ht="24" customHeight="1">
      <c r="A38" s="31">
        <v>29</v>
      </c>
      <c r="B38" s="32" t="s">
        <v>40</v>
      </c>
      <c r="C38" s="32" t="s">
        <v>41</v>
      </c>
      <c r="D38" s="33">
        <v>3</v>
      </c>
      <c r="E38" s="32" t="s">
        <v>41</v>
      </c>
      <c r="F38" s="32" t="s">
        <v>42</v>
      </c>
      <c r="G38" s="34" t="s">
        <v>124</v>
      </c>
      <c r="H38" s="34" t="s">
        <v>125</v>
      </c>
      <c r="I38" s="36">
        <v>39198</v>
      </c>
      <c r="J38" s="37">
        <v>3</v>
      </c>
      <c r="K38" s="38">
        <v>40</v>
      </c>
      <c r="L38" s="49" t="s">
        <v>134</v>
      </c>
      <c r="M38" s="53" t="s">
        <v>126</v>
      </c>
      <c r="N38" s="38">
        <v>1</v>
      </c>
      <c r="O38" s="38" t="s">
        <v>107</v>
      </c>
      <c r="P38" s="40">
        <v>7169</v>
      </c>
      <c r="Q38" s="41">
        <v>0</v>
      </c>
      <c r="R38" s="41">
        <f t="shared" si="0"/>
        <v>7169</v>
      </c>
      <c r="S38" s="42"/>
      <c r="T38" s="42"/>
      <c r="U38" s="42"/>
      <c r="V38" s="43">
        <f t="shared" si="8"/>
        <v>826.245</v>
      </c>
      <c r="W38" s="43">
        <f t="shared" si="1"/>
        <v>236.07</v>
      </c>
      <c r="X38" s="43">
        <f>(504.86/30*61)/2</f>
        <v>513.27433333333329</v>
      </c>
      <c r="Y38" s="43">
        <f t="shared" si="4"/>
        <v>157.38</v>
      </c>
      <c r="Z38" s="43">
        <v>718</v>
      </c>
      <c r="AA38" s="43">
        <v>438</v>
      </c>
      <c r="AB38" s="44">
        <v>700</v>
      </c>
      <c r="AC38" s="43">
        <f t="shared" si="9"/>
        <v>10057.969333333333</v>
      </c>
      <c r="AD38" s="43">
        <f t="shared" si="10"/>
        <v>8400</v>
      </c>
      <c r="AE38" s="44">
        <f t="shared" si="5"/>
        <v>13115</v>
      </c>
      <c r="AF38" s="44">
        <f t="shared" si="6"/>
        <v>1311.5</v>
      </c>
      <c r="AG38" s="44">
        <f t="shared" si="7"/>
        <v>3934.5</v>
      </c>
      <c r="AH38" s="45">
        <f>(AC38*12)+AD38+AE38+AF38+AG38+1554.24</f>
        <v>149010.87199999997</v>
      </c>
    </row>
    <row r="39" spans="1:36" ht="24" customHeight="1" thickBot="1">
      <c r="A39" s="66">
        <v>30</v>
      </c>
      <c r="B39" s="67" t="s">
        <v>40</v>
      </c>
      <c r="C39" s="67" t="s">
        <v>41</v>
      </c>
      <c r="D39" s="68">
        <v>3</v>
      </c>
      <c r="E39" s="67" t="s">
        <v>41</v>
      </c>
      <c r="F39" s="67" t="s">
        <v>42</v>
      </c>
      <c r="G39" s="69" t="s">
        <v>127</v>
      </c>
      <c r="H39" s="70" t="s">
        <v>128</v>
      </c>
      <c r="I39" s="71">
        <v>37288</v>
      </c>
      <c r="J39" s="72">
        <v>1</v>
      </c>
      <c r="K39" s="73">
        <v>30</v>
      </c>
      <c r="L39" s="73" t="s">
        <v>134</v>
      </c>
      <c r="M39" s="74" t="s">
        <v>129</v>
      </c>
      <c r="N39" s="75">
        <v>1</v>
      </c>
      <c r="O39" s="75" t="s">
        <v>107</v>
      </c>
      <c r="P39" s="76">
        <v>6407</v>
      </c>
      <c r="Q39" s="77">
        <v>0</v>
      </c>
      <c r="R39" s="77">
        <f t="shared" si="0"/>
        <v>6407</v>
      </c>
      <c r="S39" s="78"/>
      <c r="T39" s="78"/>
      <c r="U39" s="78"/>
      <c r="V39" s="79">
        <f t="shared" si="8"/>
        <v>746.23500000000001</v>
      </c>
      <c r="W39" s="79">
        <f t="shared" si="1"/>
        <v>213.20999999999998</v>
      </c>
      <c r="X39" s="79">
        <f>(485.71/30*61)/2</f>
        <v>493.80516666666659</v>
      </c>
      <c r="Y39" s="79">
        <f t="shared" si="4"/>
        <v>142.14000000000001</v>
      </c>
      <c r="Z39" s="79">
        <v>647</v>
      </c>
      <c r="AA39" s="79">
        <v>417</v>
      </c>
      <c r="AB39" s="80">
        <v>700</v>
      </c>
      <c r="AC39" s="79">
        <f t="shared" si="9"/>
        <v>9066.3901666666679</v>
      </c>
      <c r="AD39" s="79">
        <f t="shared" si="10"/>
        <v>8400</v>
      </c>
      <c r="AE39" s="80">
        <f t="shared" si="5"/>
        <v>11845</v>
      </c>
      <c r="AF39" s="80">
        <f t="shared" si="6"/>
        <v>1184.5</v>
      </c>
      <c r="AG39" s="80">
        <f t="shared" si="7"/>
        <v>3553.5</v>
      </c>
      <c r="AH39" s="81">
        <f>(AC39*12)+AD39+AE39+AF39+AG39+2331.36</f>
        <v>136111.04200000002</v>
      </c>
    </row>
    <row r="40" spans="1:36" ht="24" customHeight="1">
      <c r="M40" s="103"/>
      <c r="N40" s="103"/>
      <c r="O40" s="104"/>
      <c r="P40" s="82">
        <f t="shared" ref="P40:AG40" si="13">SUM(P10:P39)</f>
        <v>636350</v>
      </c>
      <c r="Q40" s="82">
        <f t="shared" si="13"/>
        <v>0</v>
      </c>
      <c r="R40" s="82">
        <f t="shared" si="13"/>
        <v>636350</v>
      </c>
      <c r="S40" s="82"/>
      <c r="T40" s="82">
        <f t="shared" si="13"/>
        <v>0</v>
      </c>
      <c r="U40" s="82">
        <f t="shared" si="13"/>
        <v>0</v>
      </c>
      <c r="V40" s="82">
        <f>SUM(V10:V39)</f>
        <v>67982.249999999985</v>
      </c>
      <c r="W40" s="82">
        <f>SUM(W10:W39)</f>
        <v>19423.499999999993</v>
      </c>
      <c r="X40" s="82">
        <f>SUM(X10:X39)</f>
        <v>26479.713666666663</v>
      </c>
      <c r="Y40" s="82">
        <f t="shared" si="13"/>
        <v>12446.179999999998</v>
      </c>
      <c r="Z40" s="82">
        <f t="shared" si="13"/>
        <v>40402</v>
      </c>
      <c r="AA40" s="82">
        <f t="shared" si="13"/>
        <v>26424</v>
      </c>
      <c r="AB40" s="82">
        <f t="shared" si="13"/>
        <v>11100</v>
      </c>
      <c r="AC40" s="82">
        <f t="shared" si="13"/>
        <v>829507.64366666635</v>
      </c>
      <c r="AD40" s="82">
        <f>SUM(AD10:AD39)</f>
        <v>133200</v>
      </c>
      <c r="AE40" s="82">
        <f t="shared" si="13"/>
        <v>1071065.4250000007</v>
      </c>
      <c r="AF40" s="82">
        <f t="shared" si="13"/>
        <v>107097.10966666661</v>
      </c>
      <c r="AG40" s="82">
        <f t="shared" si="13"/>
        <v>284511.29166666663</v>
      </c>
      <c r="AH40" s="105">
        <f>SUM(AH10:AH39)</f>
        <v>11513943.57033333</v>
      </c>
    </row>
    <row r="41" spans="1:36" ht="24" customHeight="1">
      <c r="A41" s="83">
        <f>A39</f>
        <v>30</v>
      </c>
      <c r="B41" s="84"/>
      <c r="C41" s="85"/>
      <c r="D41" s="84" t="s">
        <v>130</v>
      </c>
      <c r="E41" s="84"/>
      <c r="F41" s="86"/>
      <c r="G41" s="85"/>
      <c r="H41" s="85"/>
      <c r="I41" s="84"/>
      <c r="J41" s="84"/>
      <c r="K41" s="84"/>
      <c r="L41" s="84"/>
      <c r="M41" s="85"/>
      <c r="N41" s="85"/>
      <c r="O41" s="84"/>
      <c r="P41" s="87"/>
      <c r="Q41" s="88"/>
      <c r="R41" s="89">
        <f>(R40-R12-R32)*12+(R12*11)+(R32*11)</f>
        <v>7580253</v>
      </c>
      <c r="S41" s="90">
        <v>35894.31</v>
      </c>
      <c r="T41" s="88"/>
      <c r="U41" s="88"/>
      <c r="V41" s="89">
        <f t="shared" ref="V41:AA41" si="14">(V40-V12-V32)*12+(V12*11)+(V32*11)</f>
        <v>809844.31499999983</v>
      </c>
      <c r="W41" s="89">
        <f t="shared" si="14"/>
        <v>231384.08999999988</v>
      </c>
      <c r="X41" s="89">
        <f t="shared" si="14"/>
        <v>315654.80899999995</v>
      </c>
      <c r="Y41" s="89">
        <f t="shared" si="14"/>
        <v>148222.21999999997</v>
      </c>
      <c r="Z41" s="89">
        <f t="shared" si="14"/>
        <v>481796</v>
      </c>
      <c r="AA41" s="89">
        <f t="shared" si="14"/>
        <v>315021</v>
      </c>
      <c r="AB41" s="90"/>
      <c r="AC41" s="90"/>
      <c r="AD41" s="89">
        <f>AD40</f>
        <v>133200</v>
      </c>
      <c r="AE41" s="90">
        <f>AE40</f>
        <v>1071065.4250000007</v>
      </c>
      <c r="AF41" s="90">
        <f>AF40</f>
        <v>107097.10966666661</v>
      </c>
      <c r="AG41" s="91">
        <f>AG40</f>
        <v>284511.29166666663</v>
      </c>
      <c r="AH41" s="92">
        <f>SUM(R41:AG41)</f>
        <v>11513943.570333334</v>
      </c>
      <c r="AJ41" s="93"/>
    </row>
    <row r="42" spans="1:36" ht="13.5" thickBot="1">
      <c r="P42" s="94"/>
      <c r="Q42" s="95"/>
      <c r="R42" s="96"/>
      <c r="S42" s="96"/>
      <c r="T42" s="96"/>
      <c r="U42" s="96"/>
      <c r="V42" s="97"/>
      <c r="W42" s="97"/>
      <c r="X42" s="97"/>
      <c r="Y42" s="97"/>
      <c r="Z42" s="97" t="s">
        <v>1</v>
      </c>
      <c r="AA42" s="97"/>
      <c r="AB42" s="97"/>
      <c r="AC42" s="97"/>
      <c r="AD42" s="97"/>
      <c r="AE42" s="98"/>
      <c r="AF42" s="98"/>
      <c r="AG42" s="100"/>
      <c r="AH42" s="101"/>
    </row>
    <row r="43" spans="1:36" ht="16.5" thickBot="1">
      <c r="A43" s="106">
        <v>26</v>
      </c>
      <c r="C43" s="107" t="s">
        <v>131</v>
      </c>
      <c r="R43" s="99"/>
      <c r="S43" s="99"/>
      <c r="T43" s="99"/>
      <c r="U43" s="99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</row>
    <row r="44" spans="1:36" ht="16.5" thickBot="1">
      <c r="A44" s="108"/>
      <c r="B44" s="109"/>
      <c r="C44" s="107"/>
      <c r="R44" s="99"/>
      <c r="S44" s="99"/>
      <c r="T44" s="99"/>
      <c r="U44" s="99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</row>
    <row r="45" spans="1:36" ht="16.5" thickBot="1">
      <c r="A45" s="106">
        <v>4</v>
      </c>
      <c r="C45" s="107" t="s">
        <v>132</v>
      </c>
      <c r="R45" s="99"/>
      <c r="S45" s="99"/>
      <c r="T45" s="99"/>
      <c r="U45" s="99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</row>
    <row r="46" spans="1:36">
      <c r="R46" s="99"/>
      <c r="S46" s="99"/>
      <c r="T46" s="99"/>
      <c r="U46" s="99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</row>
    <row r="47" spans="1:36">
      <c r="R47" s="99"/>
      <c r="S47" s="99"/>
      <c r="T47" s="99"/>
      <c r="U47" s="99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</row>
    <row r="48" spans="1:36">
      <c r="R48" s="99"/>
      <c r="S48" s="99"/>
      <c r="T48" s="99"/>
      <c r="U48" s="99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</row>
    <row r="49" spans="18:32">
      <c r="R49" s="99"/>
      <c r="S49" s="99"/>
      <c r="T49" s="99"/>
      <c r="U49" s="99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</row>
    <row r="50" spans="18:32">
      <c r="R50" s="99"/>
      <c r="S50" s="99"/>
      <c r="T50" s="99"/>
      <c r="U50" s="99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</row>
    <row r="51" spans="18:32">
      <c r="R51" s="99"/>
      <c r="S51" s="99"/>
      <c r="T51" s="99"/>
      <c r="U51" s="99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</row>
    <row r="52" spans="18:32">
      <c r="R52" s="99"/>
      <c r="S52" s="99"/>
      <c r="T52" s="99"/>
      <c r="U52" s="99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</row>
    <row r="53" spans="18:32">
      <c r="R53" s="99"/>
      <c r="S53" s="99"/>
      <c r="T53" s="99"/>
      <c r="U53" s="99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</row>
    <row r="54" spans="18:32">
      <c r="R54" s="99"/>
      <c r="S54" s="99"/>
      <c r="T54" s="99"/>
      <c r="U54" s="99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</row>
    <row r="55" spans="18:32">
      <c r="R55" s="99"/>
      <c r="S55" s="99"/>
      <c r="T55" s="99"/>
      <c r="U55" s="99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</row>
    <row r="56" spans="18:32">
      <c r="R56" s="99"/>
      <c r="S56" s="99"/>
      <c r="T56" s="99"/>
      <c r="U56" s="99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</row>
    <row r="57" spans="18:32">
      <c r="R57" s="99"/>
      <c r="S57" s="99"/>
      <c r="T57" s="99"/>
      <c r="U57" s="99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</row>
    <row r="58" spans="18:32">
      <c r="R58" s="99"/>
      <c r="S58" s="99"/>
      <c r="T58" s="99"/>
      <c r="U58" s="99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</row>
    <row r="59" spans="18:32">
      <c r="R59" s="99"/>
      <c r="S59" s="99"/>
      <c r="T59" s="99"/>
      <c r="U59" s="99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</row>
    <row r="60" spans="18:32">
      <c r="R60" s="99"/>
      <c r="S60" s="99"/>
      <c r="T60" s="99"/>
      <c r="U60" s="99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</row>
    <row r="61" spans="18:32">
      <c r="R61" s="99"/>
      <c r="S61" s="99"/>
      <c r="T61" s="99"/>
      <c r="U61" s="99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</row>
    <row r="62" spans="18:32">
      <c r="R62" s="99"/>
      <c r="S62" s="99"/>
      <c r="T62" s="99"/>
      <c r="U62" s="99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</row>
    <row r="63" spans="18:32">
      <c r="R63" s="99"/>
      <c r="S63" s="99"/>
      <c r="T63" s="99"/>
      <c r="U63" s="99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</row>
    <row r="64" spans="18:32">
      <c r="R64" s="99"/>
      <c r="S64" s="99"/>
      <c r="T64" s="99"/>
      <c r="U64" s="99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</row>
    <row r="65" spans="18:32">
      <c r="R65" s="99"/>
      <c r="S65" s="99"/>
      <c r="T65" s="99"/>
      <c r="U65" s="99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</row>
    <row r="66" spans="18:32">
      <c r="R66" s="99"/>
      <c r="S66" s="99"/>
      <c r="T66" s="99"/>
      <c r="U66" s="99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</row>
    <row r="67" spans="18:32">
      <c r="R67" s="99"/>
      <c r="S67" s="99"/>
      <c r="T67" s="99"/>
      <c r="U67" s="99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</row>
    <row r="68" spans="18:32">
      <c r="R68" s="99"/>
      <c r="S68" s="99"/>
      <c r="T68" s="99"/>
      <c r="U68" s="99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</row>
    <row r="69" spans="18:32">
      <c r="R69" s="99"/>
      <c r="S69" s="99"/>
      <c r="T69" s="99"/>
      <c r="U69" s="99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</row>
    <row r="70" spans="18:32">
      <c r="R70" s="99"/>
      <c r="S70" s="99"/>
      <c r="T70" s="99"/>
      <c r="U70" s="99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</row>
    <row r="71" spans="18:32">
      <c r="R71" s="99"/>
      <c r="S71" s="99"/>
      <c r="T71" s="99"/>
      <c r="U71" s="99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</row>
    <row r="72" spans="18:32">
      <c r="R72" s="99"/>
      <c r="S72" s="99"/>
      <c r="T72" s="99"/>
      <c r="U72" s="99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</row>
    <row r="73" spans="18:32">
      <c r="R73" s="99"/>
      <c r="S73" s="99"/>
      <c r="T73" s="99"/>
      <c r="U73" s="99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</row>
    <row r="74" spans="18:32">
      <c r="R74" s="99"/>
      <c r="S74" s="99"/>
      <c r="T74" s="99"/>
      <c r="U74" s="99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</row>
    <row r="75" spans="18:32">
      <c r="R75" s="99"/>
      <c r="S75" s="99"/>
      <c r="T75" s="99"/>
      <c r="U75" s="99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</row>
    <row r="76" spans="18:32">
      <c r="R76" s="99"/>
      <c r="S76" s="99"/>
      <c r="T76" s="99"/>
      <c r="U76" s="99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</row>
    <row r="77" spans="18:32">
      <c r="R77" s="99"/>
      <c r="S77" s="99"/>
      <c r="T77" s="99"/>
      <c r="U77" s="99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</row>
    <row r="78" spans="18:32">
      <c r="R78" s="99"/>
      <c r="S78" s="99"/>
      <c r="T78" s="99"/>
      <c r="U78" s="99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</row>
    <row r="79" spans="18:32">
      <c r="R79" s="99"/>
      <c r="S79" s="99"/>
      <c r="T79" s="99"/>
      <c r="U79" s="99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</row>
    <row r="80" spans="18:32">
      <c r="R80" s="99"/>
      <c r="S80" s="99"/>
      <c r="T80" s="99"/>
      <c r="U80" s="99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</row>
    <row r="81" spans="18:32">
      <c r="R81" s="99"/>
      <c r="S81" s="99"/>
      <c r="T81" s="99"/>
      <c r="U81" s="99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</row>
    <row r="82" spans="18:32">
      <c r="R82" s="99"/>
      <c r="S82" s="99"/>
      <c r="T82" s="99"/>
      <c r="U82" s="99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</row>
    <row r="83" spans="18:32">
      <c r="R83" s="99"/>
      <c r="S83" s="99"/>
      <c r="T83" s="99"/>
      <c r="U83" s="99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</row>
    <row r="84" spans="18:32">
      <c r="R84" s="99"/>
      <c r="S84" s="99"/>
      <c r="T84" s="99"/>
      <c r="U84" s="99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</row>
    <row r="85" spans="18:32">
      <c r="R85" s="99"/>
      <c r="S85" s="99"/>
      <c r="T85" s="99"/>
      <c r="U85" s="99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</row>
    <row r="86" spans="18:32">
      <c r="R86" s="99"/>
      <c r="S86" s="99"/>
      <c r="T86" s="99"/>
      <c r="U86" s="99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</row>
    <row r="87" spans="18:32">
      <c r="R87" s="99"/>
      <c r="S87" s="99"/>
      <c r="T87" s="99"/>
      <c r="U87" s="99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</row>
    <row r="88" spans="18:32">
      <c r="R88" s="99"/>
      <c r="S88" s="99"/>
      <c r="T88" s="99"/>
      <c r="U88" s="99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</row>
    <row r="89" spans="18:32">
      <c r="R89" s="99"/>
      <c r="S89" s="99"/>
      <c r="T89" s="99"/>
      <c r="U89" s="99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</row>
    <row r="90" spans="18:32">
      <c r="R90" s="99"/>
      <c r="S90" s="99"/>
      <c r="T90" s="99"/>
      <c r="U90" s="99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</row>
    <row r="91" spans="18:32">
      <c r="R91" s="99"/>
      <c r="S91" s="99"/>
      <c r="T91" s="99"/>
      <c r="U91" s="99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</row>
    <row r="92" spans="18:32">
      <c r="R92" s="99"/>
      <c r="S92" s="99"/>
      <c r="T92" s="99"/>
      <c r="U92" s="99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</row>
    <row r="93" spans="18:32">
      <c r="R93" s="99"/>
      <c r="S93" s="99"/>
      <c r="T93" s="99"/>
      <c r="U93" s="99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</row>
    <row r="94" spans="18:32">
      <c r="R94" s="99"/>
      <c r="S94" s="99"/>
      <c r="T94" s="99"/>
      <c r="U94" s="99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</row>
    <row r="95" spans="18:32">
      <c r="R95" s="99"/>
      <c r="S95" s="99"/>
      <c r="T95" s="99"/>
      <c r="U95" s="99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</row>
    <row r="96" spans="18:32">
      <c r="R96" s="99"/>
      <c r="S96" s="99"/>
      <c r="T96" s="99"/>
      <c r="U96" s="99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</row>
    <row r="97" spans="18:32">
      <c r="R97" s="99"/>
      <c r="S97" s="99"/>
      <c r="T97" s="99"/>
      <c r="U97" s="99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</row>
    <row r="98" spans="18:32">
      <c r="R98" s="99"/>
      <c r="S98" s="99"/>
      <c r="T98" s="99"/>
      <c r="U98" s="99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</row>
    <row r="99" spans="18:32">
      <c r="R99" s="99"/>
      <c r="S99" s="99"/>
      <c r="T99" s="99"/>
      <c r="U99" s="99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</row>
    <row r="100" spans="18:32">
      <c r="R100" s="99"/>
      <c r="S100" s="99"/>
      <c r="T100" s="99"/>
      <c r="U100" s="99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</row>
    <row r="101" spans="18:32">
      <c r="R101" s="99"/>
      <c r="S101" s="99"/>
      <c r="T101" s="99"/>
      <c r="U101" s="99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</row>
    <row r="102" spans="18:32">
      <c r="R102" s="99"/>
      <c r="S102" s="99"/>
      <c r="T102" s="99"/>
      <c r="U102" s="99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</row>
    <row r="103" spans="18:32">
      <c r="R103" s="99"/>
      <c r="S103" s="99"/>
      <c r="T103" s="99"/>
      <c r="U103" s="99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</row>
    <row r="104" spans="18:32">
      <c r="R104" s="99"/>
      <c r="S104" s="99"/>
      <c r="T104" s="99"/>
      <c r="U104" s="99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</row>
    <row r="105" spans="18:32">
      <c r="R105" s="99"/>
      <c r="S105" s="99"/>
      <c r="T105" s="99"/>
      <c r="U105" s="99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</row>
    <row r="106" spans="18:32">
      <c r="R106" s="99"/>
      <c r="S106" s="99"/>
      <c r="T106" s="99"/>
      <c r="U106" s="99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</row>
    <row r="107" spans="18:32">
      <c r="R107" s="99"/>
      <c r="S107" s="99"/>
      <c r="T107" s="99"/>
      <c r="U107" s="99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</row>
    <row r="108" spans="18:32">
      <c r="R108" s="99"/>
      <c r="S108" s="99"/>
      <c r="T108" s="99"/>
      <c r="U108" s="99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</row>
    <row r="109" spans="18:32">
      <c r="R109" s="99"/>
      <c r="S109" s="99"/>
      <c r="T109" s="99"/>
      <c r="U109" s="99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</row>
    <row r="110" spans="18:32">
      <c r="R110" s="99"/>
      <c r="S110" s="99"/>
      <c r="T110" s="99"/>
      <c r="U110" s="99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</row>
    <row r="111" spans="18:32">
      <c r="R111" s="99"/>
      <c r="S111" s="99"/>
      <c r="T111" s="99"/>
      <c r="U111" s="99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</row>
    <row r="112" spans="18:32">
      <c r="R112" s="99"/>
      <c r="S112" s="99"/>
      <c r="T112" s="99"/>
      <c r="U112" s="99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</row>
    <row r="113" spans="18:32">
      <c r="R113" s="99"/>
      <c r="S113" s="99"/>
      <c r="T113" s="99"/>
      <c r="U113" s="99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</row>
    <row r="114" spans="18:32">
      <c r="R114" s="99"/>
      <c r="S114" s="99"/>
      <c r="T114" s="99"/>
      <c r="U114" s="99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</row>
    <row r="115" spans="18:32">
      <c r="R115" s="99"/>
      <c r="S115" s="99"/>
      <c r="T115" s="99"/>
      <c r="U115" s="99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</row>
    <row r="116" spans="18:32">
      <c r="R116" s="99"/>
      <c r="S116" s="99"/>
      <c r="T116" s="99"/>
      <c r="U116" s="99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</row>
    <row r="117" spans="18:32">
      <c r="R117" s="99"/>
      <c r="S117" s="99"/>
      <c r="T117" s="99"/>
      <c r="U117" s="99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</row>
    <row r="118" spans="18:32">
      <c r="R118" s="99"/>
      <c r="S118" s="99"/>
      <c r="T118" s="99"/>
      <c r="U118" s="99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</row>
    <row r="119" spans="18:32">
      <c r="R119" s="99"/>
      <c r="S119" s="99"/>
      <c r="T119" s="99"/>
      <c r="U119" s="99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</row>
    <row r="120" spans="18:32">
      <c r="R120" s="99"/>
      <c r="S120" s="99"/>
      <c r="T120" s="99"/>
      <c r="U120" s="99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</row>
    <row r="121" spans="18:32">
      <c r="R121" s="99"/>
      <c r="S121" s="99"/>
      <c r="T121" s="99"/>
      <c r="U121" s="99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</row>
    <row r="122" spans="18:32">
      <c r="R122" s="99"/>
      <c r="S122" s="99"/>
      <c r="T122" s="99"/>
      <c r="U122" s="99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</row>
    <row r="123" spans="18:32">
      <c r="R123" s="99"/>
      <c r="S123" s="99"/>
      <c r="T123" s="99"/>
      <c r="U123" s="99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</row>
    <row r="124" spans="18:32">
      <c r="R124" s="99"/>
      <c r="S124" s="99"/>
      <c r="T124" s="99"/>
      <c r="U124" s="99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</row>
    <row r="125" spans="18:32">
      <c r="R125" s="99"/>
      <c r="S125" s="99"/>
      <c r="T125" s="99"/>
      <c r="U125" s="99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</row>
    <row r="126" spans="18:32">
      <c r="R126" s="99"/>
      <c r="S126" s="99"/>
      <c r="T126" s="99"/>
      <c r="U126" s="99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</row>
    <row r="127" spans="18:32">
      <c r="R127" s="99"/>
      <c r="S127" s="99"/>
      <c r="T127" s="99"/>
      <c r="U127" s="99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</row>
    <row r="128" spans="18:32">
      <c r="R128" s="99"/>
      <c r="S128" s="99"/>
      <c r="T128" s="99"/>
      <c r="U128" s="99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</row>
    <row r="129" spans="18:32">
      <c r="R129" s="99"/>
      <c r="S129" s="99"/>
      <c r="T129" s="99"/>
      <c r="U129" s="99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</row>
    <row r="130" spans="18:32">
      <c r="R130" s="99"/>
      <c r="S130" s="99"/>
      <c r="T130" s="99"/>
      <c r="U130" s="99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</row>
    <row r="131" spans="18:32">
      <c r="R131" s="99"/>
      <c r="S131" s="99"/>
      <c r="T131" s="99"/>
      <c r="U131" s="99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</row>
    <row r="132" spans="18:32">
      <c r="R132" s="99"/>
      <c r="S132" s="99"/>
      <c r="T132" s="99"/>
      <c r="U132" s="99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</row>
    <row r="133" spans="18:32">
      <c r="R133" s="99"/>
      <c r="S133" s="99"/>
      <c r="T133" s="99"/>
      <c r="U133" s="99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</row>
    <row r="134" spans="18:32">
      <c r="R134" s="99"/>
      <c r="S134" s="99"/>
      <c r="T134" s="99"/>
      <c r="U134" s="99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</row>
    <row r="135" spans="18:32">
      <c r="R135" s="99"/>
      <c r="S135" s="99"/>
      <c r="T135" s="99"/>
      <c r="U135" s="99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</row>
    <row r="136" spans="18:32">
      <c r="R136" s="99"/>
      <c r="S136" s="99"/>
      <c r="T136" s="99"/>
      <c r="U136" s="99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</row>
    <row r="137" spans="18:32">
      <c r="R137" s="99"/>
      <c r="S137" s="99"/>
      <c r="T137" s="99"/>
      <c r="U137" s="99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</row>
    <row r="138" spans="18:32">
      <c r="R138" s="99"/>
      <c r="S138" s="99"/>
      <c r="T138" s="99"/>
      <c r="U138" s="99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</row>
    <row r="139" spans="18:32">
      <c r="R139" s="99"/>
      <c r="S139" s="99"/>
      <c r="T139" s="99"/>
      <c r="U139" s="99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</row>
    <row r="140" spans="18:32">
      <c r="R140" s="99"/>
      <c r="S140" s="99"/>
      <c r="T140" s="99"/>
      <c r="U140" s="99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</row>
    <row r="141" spans="18:32">
      <c r="R141" s="99"/>
      <c r="S141" s="99"/>
      <c r="T141" s="99"/>
      <c r="U141" s="99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</row>
    <row r="142" spans="18:32">
      <c r="R142" s="99"/>
      <c r="S142" s="99"/>
      <c r="T142" s="99"/>
      <c r="U142" s="99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</row>
    <row r="143" spans="18:32">
      <c r="R143" s="99"/>
      <c r="S143" s="99"/>
      <c r="T143" s="99"/>
      <c r="U143" s="99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</row>
    <row r="144" spans="18:32">
      <c r="R144" s="99"/>
      <c r="S144" s="99"/>
      <c r="T144" s="99"/>
      <c r="U144" s="99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</row>
    <row r="145" spans="18:32">
      <c r="R145" s="99"/>
      <c r="S145" s="99"/>
      <c r="T145" s="99"/>
      <c r="U145" s="99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</row>
    <row r="146" spans="18:32">
      <c r="R146" s="99"/>
      <c r="S146" s="99"/>
      <c r="T146" s="99"/>
      <c r="U146" s="99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</row>
    <row r="147" spans="18:32">
      <c r="R147" s="99"/>
      <c r="S147" s="99"/>
      <c r="T147" s="99"/>
      <c r="U147" s="99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</row>
    <row r="148" spans="18:32">
      <c r="R148" s="99"/>
      <c r="S148" s="99"/>
      <c r="T148" s="99"/>
      <c r="U148" s="99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</row>
    <row r="149" spans="18:32">
      <c r="R149" s="99"/>
      <c r="S149" s="99"/>
      <c r="T149" s="99"/>
      <c r="U149" s="99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</row>
    <row r="150" spans="18:32">
      <c r="R150" s="99"/>
      <c r="S150" s="99"/>
      <c r="T150" s="99"/>
      <c r="U150" s="99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</row>
    <row r="151" spans="18:32">
      <c r="R151" s="99"/>
      <c r="S151" s="99"/>
      <c r="T151" s="99"/>
      <c r="U151" s="99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</row>
    <row r="152" spans="18:32">
      <c r="R152" s="99"/>
      <c r="S152" s="99"/>
      <c r="T152" s="99"/>
      <c r="U152" s="99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</row>
    <row r="153" spans="18:32">
      <c r="R153" s="99"/>
      <c r="S153" s="99"/>
      <c r="T153" s="99"/>
      <c r="U153" s="99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</row>
    <row r="154" spans="18:32">
      <c r="R154" s="99"/>
      <c r="S154" s="99"/>
      <c r="T154" s="99"/>
      <c r="U154" s="99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</row>
    <row r="155" spans="18:32">
      <c r="R155" s="99"/>
      <c r="S155" s="99"/>
      <c r="T155" s="99"/>
      <c r="U155" s="99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</row>
    <row r="156" spans="18:32">
      <c r="R156" s="99"/>
      <c r="S156" s="99"/>
      <c r="T156" s="99"/>
      <c r="U156" s="99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</row>
    <row r="157" spans="18:32">
      <c r="R157" s="99"/>
      <c r="S157" s="99"/>
      <c r="T157" s="99"/>
      <c r="U157" s="99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</row>
    <row r="158" spans="18:32">
      <c r="R158" s="99"/>
      <c r="S158" s="99"/>
      <c r="T158" s="99"/>
      <c r="U158" s="99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</row>
    <row r="159" spans="18:32">
      <c r="R159" s="99"/>
      <c r="S159" s="99"/>
      <c r="T159" s="99"/>
      <c r="U159" s="99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</row>
    <row r="160" spans="18:32">
      <c r="R160" s="99"/>
      <c r="S160" s="99"/>
      <c r="T160" s="99"/>
      <c r="U160" s="99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</row>
    <row r="161" spans="18:32">
      <c r="R161" s="99"/>
      <c r="S161" s="99"/>
      <c r="T161" s="99"/>
      <c r="U161" s="99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</row>
    <row r="162" spans="18:32">
      <c r="R162" s="99"/>
      <c r="S162" s="99"/>
      <c r="T162" s="99"/>
      <c r="U162" s="99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</row>
    <row r="163" spans="18:32">
      <c r="R163" s="99"/>
      <c r="S163" s="99"/>
      <c r="T163" s="99"/>
      <c r="U163" s="99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</row>
    <row r="164" spans="18:32">
      <c r="R164" s="99"/>
      <c r="S164" s="99"/>
      <c r="T164" s="99"/>
      <c r="U164" s="99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</row>
    <row r="165" spans="18:32">
      <c r="R165" s="99"/>
      <c r="S165" s="99"/>
      <c r="T165" s="99"/>
      <c r="U165" s="99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</row>
    <row r="166" spans="18:32">
      <c r="R166" s="99"/>
      <c r="S166" s="99"/>
      <c r="T166" s="99"/>
      <c r="U166" s="99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</row>
    <row r="167" spans="18:32">
      <c r="R167" s="99"/>
      <c r="S167" s="99"/>
      <c r="T167" s="99"/>
      <c r="U167" s="99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</row>
    <row r="168" spans="18:32">
      <c r="R168" s="99"/>
      <c r="S168" s="99"/>
      <c r="T168" s="99"/>
      <c r="U168" s="99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</row>
    <row r="169" spans="18:32">
      <c r="R169" s="99"/>
      <c r="S169" s="99"/>
      <c r="T169" s="99"/>
      <c r="U169" s="99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</row>
    <row r="170" spans="18:32">
      <c r="R170" s="99"/>
      <c r="S170" s="99"/>
      <c r="T170" s="99"/>
      <c r="U170" s="99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</row>
    <row r="171" spans="18:32">
      <c r="R171" s="99"/>
      <c r="S171" s="99"/>
      <c r="T171" s="99"/>
      <c r="U171" s="99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</row>
    <row r="172" spans="18:32">
      <c r="R172" s="99"/>
      <c r="S172" s="99"/>
      <c r="T172" s="99"/>
      <c r="U172" s="99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</row>
    <row r="173" spans="18:32">
      <c r="R173" s="99"/>
      <c r="S173" s="99"/>
      <c r="T173" s="99"/>
      <c r="U173" s="99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</row>
    <row r="174" spans="18:32">
      <c r="R174" s="99"/>
      <c r="S174" s="99"/>
      <c r="T174" s="99"/>
      <c r="U174" s="99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</row>
    <row r="175" spans="18:32">
      <c r="R175" s="99"/>
      <c r="S175" s="99"/>
      <c r="T175" s="99"/>
      <c r="U175" s="99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</row>
    <row r="176" spans="18:32">
      <c r="R176" s="99"/>
      <c r="S176" s="99"/>
      <c r="T176" s="99"/>
      <c r="U176" s="99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</row>
    <row r="177" spans="18:32">
      <c r="R177" s="99"/>
      <c r="S177" s="99"/>
      <c r="T177" s="99"/>
      <c r="U177" s="99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</row>
    <row r="178" spans="18:32">
      <c r="R178" s="99"/>
      <c r="S178" s="99"/>
      <c r="T178" s="99"/>
      <c r="U178" s="99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</row>
    <row r="179" spans="18:32">
      <c r="R179" s="99"/>
      <c r="S179" s="99"/>
      <c r="T179" s="99"/>
      <c r="U179" s="99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</row>
    <row r="180" spans="18:32">
      <c r="R180" s="99"/>
      <c r="S180" s="99"/>
      <c r="T180" s="99"/>
      <c r="U180" s="99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</row>
    <row r="181" spans="18:32">
      <c r="R181" s="99"/>
      <c r="S181" s="99"/>
      <c r="T181" s="99"/>
      <c r="U181" s="99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</row>
    <row r="182" spans="18:32">
      <c r="R182" s="99"/>
      <c r="S182" s="99"/>
      <c r="T182" s="99"/>
      <c r="U182" s="99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</row>
    <row r="183" spans="18:32">
      <c r="R183" s="99"/>
      <c r="S183" s="99"/>
      <c r="T183" s="99"/>
      <c r="U183" s="99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</row>
    <row r="184" spans="18:32">
      <c r="R184" s="99"/>
      <c r="S184" s="99"/>
      <c r="T184" s="99"/>
      <c r="U184" s="99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</row>
    <row r="185" spans="18:32">
      <c r="R185" s="99"/>
      <c r="S185" s="99"/>
      <c r="T185" s="99"/>
      <c r="U185" s="99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</row>
    <row r="186" spans="18:32">
      <c r="R186" s="99"/>
      <c r="S186" s="99"/>
      <c r="T186" s="99"/>
      <c r="U186" s="99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</row>
    <row r="187" spans="18:32">
      <c r="R187" s="99"/>
      <c r="S187" s="99"/>
      <c r="T187" s="99"/>
      <c r="U187" s="99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</row>
    <row r="188" spans="18:32">
      <c r="R188" s="99"/>
      <c r="S188" s="99"/>
      <c r="T188" s="99"/>
      <c r="U188" s="99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</row>
    <row r="189" spans="18:32">
      <c r="R189" s="99"/>
      <c r="S189" s="99"/>
      <c r="T189" s="99"/>
      <c r="U189" s="99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</row>
    <row r="190" spans="18:32">
      <c r="R190" s="99"/>
      <c r="S190" s="99"/>
      <c r="T190" s="99"/>
      <c r="U190" s="99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</row>
    <row r="191" spans="18:32">
      <c r="R191" s="99"/>
      <c r="S191" s="99"/>
      <c r="T191" s="99"/>
      <c r="U191" s="99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</row>
    <row r="192" spans="18:32">
      <c r="R192" s="99"/>
      <c r="S192" s="99"/>
      <c r="T192" s="99"/>
      <c r="U192" s="99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</row>
    <row r="193" spans="18:32">
      <c r="R193" s="99"/>
      <c r="S193" s="99"/>
      <c r="T193" s="99"/>
      <c r="U193" s="99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</row>
    <row r="194" spans="18:32">
      <c r="R194" s="99"/>
      <c r="S194" s="99"/>
      <c r="T194" s="99"/>
      <c r="U194" s="99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</row>
    <row r="195" spans="18:32">
      <c r="R195" s="99"/>
      <c r="S195" s="99"/>
      <c r="T195" s="99"/>
      <c r="U195" s="99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</row>
    <row r="196" spans="18:32">
      <c r="R196" s="99"/>
      <c r="S196" s="99"/>
      <c r="T196" s="99"/>
      <c r="U196" s="99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</row>
    <row r="197" spans="18:32">
      <c r="R197" s="99"/>
      <c r="S197" s="99"/>
      <c r="T197" s="99"/>
      <c r="U197" s="99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</row>
    <row r="198" spans="18:32">
      <c r="R198" s="99"/>
      <c r="S198" s="99"/>
      <c r="T198" s="99"/>
      <c r="U198" s="99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</row>
    <row r="199" spans="18:32">
      <c r="R199" s="99"/>
      <c r="S199" s="99"/>
      <c r="T199" s="99"/>
      <c r="U199" s="99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</row>
    <row r="200" spans="18:32">
      <c r="R200" s="99"/>
      <c r="S200" s="99"/>
      <c r="T200" s="99"/>
      <c r="U200" s="99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</row>
    <row r="201" spans="18:32">
      <c r="R201" s="99"/>
      <c r="S201" s="99"/>
      <c r="T201" s="99"/>
      <c r="U201" s="99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</row>
    <row r="202" spans="18:32">
      <c r="R202" s="99"/>
      <c r="S202" s="99"/>
      <c r="T202" s="99"/>
      <c r="U202" s="99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</row>
    <row r="203" spans="18:32">
      <c r="R203" s="99"/>
      <c r="S203" s="99"/>
      <c r="T203" s="99"/>
      <c r="U203" s="99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</row>
    <row r="204" spans="18:32">
      <c r="R204" s="99"/>
      <c r="S204" s="99"/>
      <c r="T204" s="99"/>
      <c r="U204" s="99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</row>
    <row r="205" spans="18:32">
      <c r="R205" s="99"/>
      <c r="S205" s="99"/>
      <c r="T205" s="99"/>
      <c r="U205" s="99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</row>
    <row r="206" spans="18:32">
      <c r="R206" s="99"/>
      <c r="S206" s="99"/>
      <c r="T206" s="99"/>
      <c r="U206" s="99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</row>
    <row r="207" spans="18:32">
      <c r="R207" s="99"/>
      <c r="S207" s="99"/>
      <c r="T207" s="99"/>
      <c r="U207" s="99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</row>
    <row r="208" spans="18:32">
      <c r="R208" s="99"/>
      <c r="S208" s="99"/>
      <c r="T208" s="99"/>
      <c r="U208" s="99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</row>
    <row r="209" spans="18:32">
      <c r="R209" s="99"/>
      <c r="S209" s="99"/>
      <c r="T209" s="99"/>
      <c r="U209" s="99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</row>
    <row r="210" spans="18:32">
      <c r="R210" s="99"/>
      <c r="S210" s="99"/>
      <c r="T210" s="99"/>
      <c r="U210" s="99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</row>
    <row r="211" spans="18:32">
      <c r="R211" s="99"/>
      <c r="S211" s="99"/>
      <c r="T211" s="99"/>
      <c r="U211" s="99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</row>
    <row r="212" spans="18:32">
      <c r="R212" s="99"/>
      <c r="S212" s="99"/>
      <c r="T212" s="99"/>
      <c r="U212" s="99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</row>
    <row r="213" spans="18:32">
      <c r="R213" s="99"/>
      <c r="S213" s="99"/>
      <c r="T213" s="99"/>
      <c r="U213" s="99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</row>
    <row r="214" spans="18:32">
      <c r="R214" s="99"/>
      <c r="S214" s="99"/>
      <c r="T214" s="99"/>
      <c r="U214" s="99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</row>
    <row r="215" spans="18:32">
      <c r="R215" s="99"/>
      <c r="S215" s="99"/>
      <c r="T215" s="99"/>
      <c r="U215" s="99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</row>
    <row r="216" spans="18:32">
      <c r="R216" s="99"/>
      <c r="S216" s="99"/>
      <c r="T216" s="99"/>
      <c r="U216" s="99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</row>
    <row r="217" spans="18:32">
      <c r="R217" s="99"/>
      <c r="S217" s="99"/>
      <c r="T217" s="99"/>
      <c r="U217" s="99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</row>
    <row r="218" spans="18:32">
      <c r="R218" s="99"/>
      <c r="S218" s="99"/>
      <c r="T218" s="99"/>
      <c r="U218" s="99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</row>
    <row r="219" spans="18:32">
      <c r="R219" s="99"/>
      <c r="S219" s="99"/>
      <c r="T219" s="99"/>
      <c r="U219" s="99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</row>
    <row r="220" spans="18:32">
      <c r="R220" s="99"/>
      <c r="S220" s="99"/>
      <c r="T220" s="99"/>
      <c r="U220" s="99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</row>
    <row r="221" spans="18:32">
      <c r="R221" s="99"/>
      <c r="S221" s="99"/>
      <c r="T221" s="99"/>
      <c r="U221" s="99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</row>
    <row r="222" spans="18:32">
      <c r="R222" s="99"/>
      <c r="S222" s="99"/>
      <c r="T222" s="99"/>
      <c r="U222" s="99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</row>
    <row r="223" spans="18:32">
      <c r="R223" s="99"/>
      <c r="S223" s="99"/>
      <c r="T223" s="99"/>
      <c r="U223" s="99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</row>
    <row r="224" spans="18:32">
      <c r="R224" s="99"/>
      <c r="S224" s="99"/>
      <c r="T224" s="99"/>
      <c r="U224" s="99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</row>
    <row r="225" spans="18:32">
      <c r="R225" s="99"/>
      <c r="S225" s="99"/>
      <c r="T225" s="99"/>
      <c r="U225" s="99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</row>
    <row r="226" spans="18:32">
      <c r="R226" s="99"/>
      <c r="S226" s="99"/>
      <c r="T226" s="99"/>
      <c r="U226" s="99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</row>
    <row r="227" spans="18:32">
      <c r="R227" s="99"/>
      <c r="S227" s="99"/>
      <c r="T227" s="99"/>
      <c r="U227" s="99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</row>
    <row r="228" spans="18:32">
      <c r="R228" s="99"/>
      <c r="S228" s="99"/>
      <c r="T228" s="99"/>
      <c r="U228" s="99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</row>
    <row r="229" spans="18:32">
      <c r="R229" s="99"/>
      <c r="S229" s="99"/>
      <c r="T229" s="99"/>
      <c r="U229" s="99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</row>
    <row r="230" spans="18:32">
      <c r="R230" s="99"/>
      <c r="S230" s="99"/>
      <c r="T230" s="99"/>
      <c r="U230" s="99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</row>
    <row r="231" spans="18:32">
      <c r="R231" s="99"/>
      <c r="S231" s="99"/>
      <c r="T231" s="99"/>
      <c r="U231" s="99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</row>
    <row r="232" spans="18:32">
      <c r="R232" s="99"/>
      <c r="S232" s="99"/>
      <c r="T232" s="99"/>
      <c r="U232" s="99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</row>
    <row r="233" spans="18:32">
      <c r="R233" s="99"/>
      <c r="S233" s="99"/>
      <c r="T233" s="99"/>
      <c r="U233" s="99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</row>
    <row r="234" spans="18:32">
      <c r="R234" s="99"/>
      <c r="S234" s="99"/>
      <c r="T234" s="99"/>
      <c r="U234" s="99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</row>
    <row r="235" spans="18:32">
      <c r="R235" s="99"/>
      <c r="S235" s="99"/>
      <c r="T235" s="99"/>
      <c r="U235" s="99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</row>
    <row r="236" spans="18:32">
      <c r="R236" s="99"/>
      <c r="S236" s="99"/>
      <c r="T236" s="99"/>
      <c r="U236" s="99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</row>
    <row r="237" spans="18:32">
      <c r="R237" s="99"/>
      <c r="S237" s="99"/>
      <c r="T237" s="99"/>
      <c r="U237" s="99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</row>
    <row r="238" spans="18:32">
      <c r="R238" s="99"/>
      <c r="S238" s="99"/>
      <c r="T238" s="99"/>
      <c r="U238" s="99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</row>
    <row r="239" spans="18:32">
      <c r="R239" s="99"/>
      <c r="S239" s="99"/>
      <c r="T239" s="99"/>
      <c r="U239" s="99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</row>
    <row r="240" spans="18:32">
      <c r="R240" s="99"/>
      <c r="S240" s="99"/>
      <c r="T240" s="99"/>
      <c r="U240" s="99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</row>
    <row r="241" spans="18:32">
      <c r="R241" s="99"/>
      <c r="S241" s="99"/>
      <c r="T241" s="99"/>
      <c r="U241" s="99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</row>
    <row r="242" spans="18:32">
      <c r="R242" s="99"/>
      <c r="S242" s="99"/>
      <c r="T242" s="99"/>
      <c r="U242" s="99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</row>
    <row r="243" spans="18:32">
      <c r="R243" s="99"/>
      <c r="S243" s="99"/>
      <c r="T243" s="99"/>
      <c r="U243" s="99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</row>
    <row r="244" spans="18:32">
      <c r="R244" s="99"/>
      <c r="S244" s="99"/>
      <c r="T244" s="99"/>
      <c r="U244" s="99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</row>
    <row r="245" spans="18:32">
      <c r="R245" s="99"/>
      <c r="S245" s="99"/>
      <c r="T245" s="99"/>
      <c r="U245" s="99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</row>
    <row r="246" spans="18:32">
      <c r="R246" s="99"/>
      <c r="S246" s="99"/>
      <c r="T246" s="99"/>
      <c r="U246" s="99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</row>
    <row r="247" spans="18:32">
      <c r="R247" s="99"/>
      <c r="S247" s="99"/>
      <c r="T247" s="99"/>
      <c r="U247" s="99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</row>
    <row r="248" spans="18:32">
      <c r="R248" s="99"/>
      <c r="S248" s="99"/>
      <c r="T248" s="99"/>
      <c r="U248" s="99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</row>
    <row r="249" spans="18:32">
      <c r="R249" s="99"/>
      <c r="S249" s="99"/>
      <c r="T249" s="99"/>
      <c r="U249" s="99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</row>
    <row r="250" spans="18:32">
      <c r="R250" s="99"/>
      <c r="S250" s="99"/>
      <c r="T250" s="99"/>
      <c r="U250" s="99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</row>
    <row r="251" spans="18:32">
      <c r="R251" s="99"/>
      <c r="S251" s="99"/>
      <c r="T251" s="99"/>
      <c r="U251" s="99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</row>
    <row r="252" spans="18:32">
      <c r="R252" s="99"/>
      <c r="S252" s="99"/>
      <c r="T252" s="99"/>
      <c r="U252" s="99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</row>
  </sheetData>
  <mergeCells count="6">
    <mergeCell ref="AD8:AG8"/>
    <mergeCell ref="A2:AC2"/>
    <mergeCell ref="A3:AC3"/>
    <mergeCell ref="O5:O7"/>
    <mergeCell ref="D6:M7"/>
    <mergeCell ref="P8:AB8"/>
  </mergeCells>
  <printOptions horizontalCentered="1"/>
  <pageMargins left="0" right="0" top="0.39370078740157483" bottom="0" header="0" footer="0.11811023622047245"/>
  <pageSetup scale="50" orientation="landscape" r:id="rId1"/>
  <headerFooter alignWithMargins="0"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organismos 2013</vt:lpstr>
      <vt:lpstr>'Plantilla organismos 2013'!Área_de_impresión</vt:lpstr>
      <vt:lpstr>'Plantilla organismos 2013'!PLANTILLA_PARA_REVISION_2001</vt:lpstr>
      <vt:lpstr>'Plantilla organismos 2013'!Títulos_a_imprimir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2016-05-11T18:22:13Z</dcterms:created>
  <dcterms:modified xsi:type="dcterms:W3CDTF">2016-05-11T20:26:49Z</dcterms:modified>
</cp:coreProperties>
</file>