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ADMIN\Dropbox\ECRO LILI (1)\1a SESIÓN 2019\PRESUPUESTO 2019\PRESUPUESTO A 1A SESION 2019\"/>
    </mc:Choice>
  </mc:AlternateContent>
  <bookViews>
    <workbookView xWindow="0" yWindow="0" windowWidth="20730" windowHeight="11760"/>
  </bookViews>
  <sheets>
    <sheet name="PLANTILLA 2019" sheetId="1" r:id="rId1"/>
  </sheets>
  <externalReferences>
    <externalReference r:id="rId2"/>
  </externalReferences>
  <definedNames>
    <definedName name="ANTERIOS" localSheetId="0">#REF!</definedName>
    <definedName name="ANTERIOS">#REF!</definedName>
    <definedName name="_xlnm.Print_Area" localSheetId="0">'PLANTILLA 2019'!$A$1:$AS$86</definedName>
    <definedName name="_xlnm.Database" localSheetId="0">#REF!</definedName>
    <definedName name="_xlnm.Database">#REF!</definedName>
    <definedName name="ESTATAL">#REF!</definedName>
    <definedName name="globalsej">#REF!</definedName>
    <definedName name="nada">#REF!</definedName>
    <definedName name="no" localSheetId="0">#REF!</definedName>
    <definedName name="no">#REF!</definedName>
    <definedName name="plataformaSEJ">#REF!</definedName>
    <definedName name="SI" localSheetId="0">#REF!</definedName>
    <definedName name="S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" i="1" l="1"/>
  <c r="AQ13" i="1"/>
  <c r="BD10" i="1" l="1"/>
  <c r="L11" i="1"/>
  <c r="U11" i="1"/>
  <c r="V11" i="1"/>
  <c r="AI11" i="1"/>
  <c r="AM11" i="1"/>
  <c r="AO11" i="1"/>
  <c r="AP11" i="1"/>
  <c r="BF11" i="1"/>
  <c r="B12" i="1"/>
  <c r="L12" i="1"/>
  <c r="U12" i="1"/>
  <c r="V12" i="1"/>
  <c r="W12" i="1" s="1"/>
  <c r="Z12" i="1"/>
  <c r="AA12" i="1" s="1"/>
  <c r="AB12" i="1"/>
  <c r="AC12" i="1" s="1"/>
  <c r="AI12" i="1"/>
  <c r="AM12" i="1"/>
  <c r="AO12" i="1"/>
  <c r="AP12" i="1"/>
  <c r="AF12" i="1" s="1"/>
  <c r="AG12" i="1" s="1"/>
  <c r="BF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1" i="1" s="1"/>
  <c r="L13" i="1"/>
  <c r="U13" i="1"/>
  <c r="V13" i="1"/>
  <c r="W13" i="1"/>
  <c r="AC13" i="1"/>
  <c r="AI13" i="1"/>
  <c r="AM13" i="1"/>
  <c r="AO13" i="1"/>
  <c r="BF13" i="1"/>
  <c r="L14" i="1"/>
  <c r="U14" i="1"/>
  <c r="V14" i="1"/>
  <c r="W14" i="1" s="1"/>
  <c r="AI14" i="1"/>
  <c r="AM14" i="1"/>
  <c r="AO14" i="1"/>
  <c r="AP14" i="1"/>
  <c r="AB14" i="1" s="1"/>
  <c r="AC14" i="1" s="1"/>
  <c r="BF14" i="1"/>
  <c r="L15" i="1"/>
  <c r="U15" i="1"/>
  <c r="V15" i="1"/>
  <c r="W15" i="1" s="1"/>
  <c r="AI15" i="1"/>
  <c r="AM15" i="1"/>
  <c r="AO15" i="1"/>
  <c r="AP15" i="1"/>
  <c r="BF15" i="1"/>
  <c r="L16" i="1"/>
  <c r="U16" i="1"/>
  <c r="V16" i="1"/>
  <c r="W16" i="1" s="1"/>
  <c r="Z16" i="1"/>
  <c r="AA16" i="1" s="1"/>
  <c r="AI16" i="1"/>
  <c r="AK16" i="1"/>
  <c r="AM16" i="1"/>
  <c r="AO16" i="1"/>
  <c r="AP16" i="1"/>
  <c r="AJ16" i="1" s="1"/>
  <c r="AQ16" i="1"/>
  <c r="BF16" i="1"/>
  <c r="L17" i="1"/>
  <c r="U17" i="1"/>
  <c r="V17" i="1"/>
  <c r="W17" i="1" s="1"/>
  <c r="AI17" i="1"/>
  <c r="AM17" i="1"/>
  <c r="AO17" i="1"/>
  <c r="AP17" i="1"/>
  <c r="AB17" i="1" s="1"/>
  <c r="AC17" i="1" s="1"/>
  <c r="AQ17" i="1"/>
  <c r="BF17" i="1"/>
  <c r="L18" i="1"/>
  <c r="U18" i="1"/>
  <c r="V18" i="1"/>
  <c r="AI18" i="1"/>
  <c r="AM18" i="1"/>
  <c r="AO18" i="1"/>
  <c r="AP18" i="1"/>
  <c r="BF18" i="1"/>
  <c r="L19" i="1"/>
  <c r="U19" i="1"/>
  <c r="V19" i="1"/>
  <c r="W19" i="1" s="1"/>
  <c r="AI19" i="1"/>
  <c r="AM19" i="1"/>
  <c r="AO19" i="1"/>
  <c r="AP19" i="1"/>
  <c r="Z19" i="1" s="1"/>
  <c r="AA19" i="1" s="1"/>
  <c r="BF19" i="1"/>
  <c r="L20" i="1"/>
  <c r="U20" i="1"/>
  <c r="V20" i="1"/>
  <c r="W20" i="1" s="1"/>
  <c r="AI20" i="1"/>
  <c r="AM20" i="1"/>
  <c r="AO20" i="1"/>
  <c r="AP20" i="1"/>
  <c r="X20" i="1" s="1"/>
  <c r="Y20" i="1" s="1"/>
  <c r="BF20" i="1"/>
  <c r="L21" i="1"/>
  <c r="U21" i="1"/>
  <c r="V21" i="1"/>
  <c r="AI21" i="1"/>
  <c r="AM21" i="1"/>
  <c r="AO21" i="1"/>
  <c r="AP21" i="1"/>
  <c r="X21" i="1" s="1"/>
  <c r="Y21" i="1" s="1"/>
  <c r="BF21" i="1"/>
  <c r="U22" i="1"/>
  <c r="V22" i="1"/>
  <c r="AI22" i="1"/>
  <c r="AM22" i="1"/>
  <c r="AO22" i="1"/>
  <c r="AP22" i="1"/>
  <c r="AD22" i="1" s="1"/>
  <c r="AE22" i="1" s="1"/>
  <c r="BF22" i="1"/>
  <c r="L23" i="1"/>
  <c r="U23" i="1"/>
  <c r="V23" i="1"/>
  <c r="W23" i="1" s="1"/>
  <c r="AI23" i="1"/>
  <c r="AM23" i="1"/>
  <c r="AO23" i="1"/>
  <c r="AP23" i="1"/>
  <c r="AJ23" i="1" s="1"/>
  <c r="AK23" i="1" s="1"/>
  <c r="BF23" i="1"/>
  <c r="L24" i="1"/>
  <c r="U24" i="1"/>
  <c r="V24" i="1"/>
  <c r="AI24" i="1"/>
  <c r="AM24" i="1"/>
  <c r="AO24" i="1"/>
  <c r="AP24" i="1"/>
  <c r="BF24" i="1"/>
  <c r="L25" i="1"/>
  <c r="U25" i="1"/>
  <c r="V25" i="1"/>
  <c r="W25" i="1"/>
  <c r="AI25" i="1"/>
  <c r="AM25" i="1"/>
  <c r="AO25" i="1"/>
  <c r="AP25" i="1"/>
  <c r="AB25" i="1" s="1"/>
  <c r="AC25" i="1" s="1"/>
  <c r="AQ25" i="1"/>
  <c r="BF25" i="1"/>
  <c r="L26" i="1"/>
  <c r="U26" i="1"/>
  <c r="V26" i="1"/>
  <c r="W26" i="1" s="1"/>
  <c r="AI26" i="1"/>
  <c r="AM26" i="1"/>
  <c r="AO26" i="1"/>
  <c r="AP26" i="1"/>
  <c r="BF26" i="1"/>
  <c r="L27" i="1"/>
  <c r="U27" i="1"/>
  <c r="V27" i="1"/>
  <c r="W27" i="1" s="1"/>
  <c r="AD27" i="1"/>
  <c r="AE27" i="1" s="1"/>
  <c r="AF27" i="1"/>
  <c r="AG27" i="1" s="1"/>
  <c r="AI27" i="1"/>
  <c r="AM27" i="1"/>
  <c r="AO27" i="1"/>
  <c r="AP27" i="1"/>
  <c r="AJ27" i="1" s="1"/>
  <c r="AK27" i="1" s="1"/>
  <c r="BF27" i="1"/>
  <c r="T29" i="1"/>
  <c r="AH29" i="1"/>
  <c r="AL29" i="1"/>
  <c r="AN29" i="1"/>
  <c r="L31" i="1"/>
  <c r="U31" i="1"/>
  <c r="V31" i="1"/>
  <c r="W31" i="1"/>
  <c r="AI31" i="1"/>
  <c r="AM31" i="1"/>
  <c r="AO31" i="1"/>
  <c r="AP31" i="1"/>
  <c r="AF31" i="1" s="1"/>
  <c r="AG31" i="1" s="1"/>
  <c r="BF31" i="1"/>
  <c r="L32" i="1"/>
  <c r="T32" i="1"/>
  <c r="V32" i="1"/>
  <c r="W32" i="1" s="1"/>
  <c r="AI32" i="1"/>
  <c r="BF32" i="1"/>
  <c r="BH32" i="1"/>
  <c r="AL70" i="1" s="1"/>
  <c r="AM70" i="1" s="1"/>
  <c r="BI32" i="1"/>
  <c r="AN32" i="1" s="1"/>
  <c r="L33" i="1"/>
  <c r="U33" i="1"/>
  <c r="V33" i="1"/>
  <c r="AI33" i="1"/>
  <c r="AM33" i="1"/>
  <c r="AO33" i="1"/>
  <c r="AP33" i="1"/>
  <c r="BF33" i="1"/>
  <c r="L34" i="1"/>
  <c r="U34" i="1"/>
  <c r="V34" i="1"/>
  <c r="W34" i="1" s="1"/>
  <c r="AI34" i="1"/>
  <c r="AJ34" i="1"/>
  <c r="AK34" i="1" s="1"/>
  <c r="AM34" i="1"/>
  <c r="AO34" i="1"/>
  <c r="AP34" i="1"/>
  <c r="BF34" i="1"/>
  <c r="L35" i="1"/>
  <c r="U35" i="1"/>
  <c r="V35" i="1"/>
  <c r="AI35" i="1"/>
  <c r="AM35" i="1"/>
  <c r="AO35" i="1"/>
  <c r="AP35" i="1"/>
  <c r="AJ35" i="1" s="1"/>
  <c r="AK35" i="1" s="1"/>
  <c r="BF35" i="1"/>
  <c r="L36" i="1"/>
  <c r="U36" i="1"/>
  <c r="V36" i="1"/>
  <c r="AI36" i="1"/>
  <c r="AM36" i="1"/>
  <c r="AO36" i="1"/>
  <c r="AP36" i="1"/>
  <c r="AB36" i="1" s="1"/>
  <c r="AC36" i="1" s="1"/>
  <c r="BF36" i="1"/>
  <c r="U37" i="1"/>
  <c r="V37" i="1"/>
  <c r="AI37" i="1"/>
  <c r="AM37" i="1"/>
  <c r="AO37" i="1"/>
  <c r="AP37" i="1"/>
  <c r="BF37" i="1"/>
  <c r="L38" i="1"/>
  <c r="U38" i="1"/>
  <c r="V38" i="1"/>
  <c r="W38" i="1" s="1"/>
  <c r="AI38" i="1"/>
  <c r="AM38" i="1"/>
  <c r="AO38" i="1"/>
  <c r="AP38" i="1"/>
  <c r="AQ38" i="1" s="1"/>
  <c r="BF38" i="1"/>
  <c r="U39" i="1"/>
  <c r="V39" i="1"/>
  <c r="W39" i="1" s="1"/>
  <c r="AI39" i="1"/>
  <c r="AJ39" i="1"/>
  <c r="AK39" i="1" s="1"/>
  <c r="AM39" i="1"/>
  <c r="AO39" i="1"/>
  <c r="AP39" i="1"/>
  <c r="BF39" i="1"/>
  <c r="L40" i="1"/>
  <c r="U40" i="1"/>
  <c r="V40" i="1"/>
  <c r="W40" i="1"/>
  <c r="AI40" i="1"/>
  <c r="AM40" i="1"/>
  <c r="AO40" i="1"/>
  <c r="AP40" i="1"/>
  <c r="AQ40" i="1"/>
  <c r="BF40" i="1"/>
  <c r="L41" i="1"/>
  <c r="U41" i="1"/>
  <c r="V41" i="1"/>
  <c r="W41" i="1" s="1"/>
  <c r="AI41" i="1"/>
  <c r="AM41" i="1"/>
  <c r="AO41" i="1"/>
  <c r="AP41" i="1"/>
  <c r="AB41" i="1" s="1"/>
  <c r="AC41" i="1" s="1"/>
  <c r="AQ41" i="1"/>
  <c r="BF41" i="1"/>
  <c r="L42" i="1"/>
  <c r="T42" i="1"/>
  <c r="V42" i="1"/>
  <c r="W42" i="1" s="1"/>
  <c r="AI42" i="1"/>
  <c r="AN42" i="1"/>
  <c r="AO42" i="1"/>
  <c r="BF42" i="1"/>
  <c r="L43" i="1"/>
  <c r="T43" i="1"/>
  <c r="V43" i="1"/>
  <c r="W43" i="1" s="1"/>
  <c r="AI43" i="1"/>
  <c r="AN43" i="1"/>
  <c r="AO43" i="1" s="1"/>
  <c r="BF43" i="1"/>
  <c r="L44" i="1"/>
  <c r="U44" i="1"/>
  <c r="V44" i="1"/>
  <c r="W44" i="1" s="1"/>
  <c r="AI44" i="1"/>
  <c r="AJ44" i="1"/>
  <c r="AK44" i="1" s="1"/>
  <c r="AM44" i="1"/>
  <c r="AO44" i="1"/>
  <c r="AP44" i="1"/>
  <c r="BF44" i="1"/>
  <c r="L45" i="1"/>
  <c r="U45" i="1"/>
  <c r="V45" i="1"/>
  <c r="W45" i="1"/>
  <c r="AI45" i="1"/>
  <c r="AM45" i="1"/>
  <c r="AO45" i="1"/>
  <c r="AP45" i="1"/>
  <c r="Z45" i="1" s="1"/>
  <c r="AA45" i="1" s="1"/>
  <c r="AQ45" i="1"/>
  <c r="BF45" i="1"/>
  <c r="L46" i="1"/>
  <c r="U46" i="1"/>
  <c r="V46" i="1"/>
  <c r="AI46" i="1"/>
  <c r="AM46" i="1"/>
  <c r="AO46" i="1"/>
  <c r="AP46" i="1"/>
  <c r="AJ46" i="1" s="1"/>
  <c r="AK46" i="1" s="1"/>
  <c r="BF46" i="1"/>
  <c r="L47" i="1"/>
  <c r="T47" i="1"/>
  <c r="U47" i="1" s="1"/>
  <c r="V47" i="1"/>
  <c r="W47" i="1"/>
  <c r="AI47" i="1"/>
  <c r="AN47" i="1"/>
  <c r="AO47" i="1" s="1"/>
  <c r="BF47" i="1"/>
  <c r="L48" i="1"/>
  <c r="U48" i="1"/>
  <c r="V48" i="1"/>
  <c r="W48" i="1" s="1"/>
  <c r="AI48" i="1"/>
  <c r="AM48" i="1"/>
  <c r="AO48" i="1"/>
  <c r="AP48" i="1"/>
  <c r="X48" i="1" s="1"/>
  <c r="Y48" i="1" s="1"/>
  <c r="BF48" i="1"/>
  <c r="L49" i="1"/>
  <c r="U49" i="1"/>
  <c r="V49" i="1"/>
  <c r="W49" i="1" s="1"/>
  <c r="AI49" i="1"/>
  <c r="AM49" i="1"/>
  <c r="AO49" i="1"/>
  <c r="AP49" i="1"/>
  <c r="AQ49" i="1" s="1"/>
  <c r="BF49" i="1"/>
  <c r="L50" i="1"/>
  <c r="U50" i="1"/>
  <c r="V50" i="1"/>
  <c r="W50" i="1"/>
  <c r="AI50" i="1"/>
  <c r="AM50" i="1"/>
  <c r="AO50" i="1"/>
  <c r="AP50" i="1"/>
  <c r="AQ50" i="1" s="1"/>
  <c r="BF50" i="1"/>
  <c r="L51" i="1"/>
  <c r="U51" i="1"/>
  <c r="V51" i="1"/>
  <c r="W51" i="1" s="1"/>
  <c r="AI51" i="1"/>
  <c r="AM51" i="1"/>
  <c r="AO51" i="1"/>
  <c r="AP51" i="1"/>
  <c r="AJ51" i="1" s="1"/>
  <c r="AK51" i="1" s="1"/>
  <c r="BF51" i="1"/>
  <c r="L52" i="1"/>
  <c r="U52" i="1"/>
  <c r="V52" i="1"/>
  <c r="AI52" i="1"/>
  <c r="AM52" i="1"/>
  <c r="AO52" i="1"/>
  <c r="AP52" i="1"/>
  <c r="BF52" i="1"/>
  <c r="L53" i="1"/>
  <c r="U53" i="1"/>
  <c r="V53" i="1"/>
  <c r="W53" i="1"/>
  <c r="X53" i="1"/>
  <c r="Y53" i="1" s="1"/>
  <c r="AB53" i="1"/>
  <c r="AC53" i="1" s="1"/>
  <c r="AI53" i="1"/>
  <c r="AJ53" i="1"/>
  <c r="AK53" i="1" s="1"/>
  <c r="AM53" i="1"/>
  <c r="AO53" i="1"/>
  <c r="AP53" i="1"/>
  <c r="L54" i="1"/>
  <c r="U54" i="1"/>
  <c r="V54" i="1"/>
  <c r="W54" i="1" s="1"/>
  <c r="AI54" i="1"/>
  <c r="AM54" i="1"/>
  <c r="AO54" i="1"/>
  <c r="AP54" i="1"/>
  <c r="L55" i="1"/>
  <c r="U55" i="1"/>
  <c r="V55" i="1"/>
  <c r="W55" i="1" s="1"/>
  <c r="AI55" i="1"/>
  <c r="AM55" i="1"/>
  <c r="AO55" i="1"/>
  <c r="AP55" i="1"/>
  <c r="L56" i="1"/>
  <c r="U56" i="1"/>
  <c r="V56" i="1"/>
  <c r="W56" i="1" s="1"/>
  <c r="AI56" i="1"/>
  <c r="AM56" i="1"/>
  <c r="AO56" i="1"/>
  <c r="AP56" i="1"/>
  <c r="AJ56" i="1" s="1"/>
  <c r="AK56" i="1" s="1"/>
  <c r="BF56" i="1"/>
  <c r="L57" i="1"/>
  <c r="U57" i="1"/>
  <c r="V57" i="1"/>
  <c r="AI57" i="1"/>
  <c r="AM57" i="1"/>
  <c r="AO57" i="1"/>
  <c r="AP57" i="1"/>
  <c r="AF57" i="1" s="1"/>
  <c r="AG57" i="1" s="1"/>
  <c r="AQ57" i="1"/>
  <c r="BF57" i="1"/>
  <c r="L58" i="1"/>
  <c r="U58" i="1"/>
  <c r="V58" i="1"/>
  <c r="AI58" i="1"/>
  <c r="AM58" i="1"/>
  <c r="AO58" i="1"/>
  <c r="AP58" i="1"/>
  <c r="AJ58" i="1" s="1"/>
  <c r="AK58" i="1" s="1"/>
  <c r="BF58" i="1"/>
  <c r="L59" i="1"/>
  <c r="U59" i="1"/>
  <c r="V59" i="1"/>
  <c r="W59" i="1" s="1"/>
  <c r="AI59" i="1"/>
  <c r="AM59" i="1"/>
  <c r="AO59" i="1"/>
  <c r="AP59" i="1"/>
  <c r="AB59" i="1" s="1"/>
  <c r="AC59" i="1" s="1"/>
  <c r="BF59" i="1"/>
  <c r="U60" i="1"/>
  <c r="V60" i="1"/>
  <c r="W60" i="1" s="1"/>
  <c r="AI60" i="1"/>
  <c r="AM60" i="1"/>
  <c r="AO60" i="1"/>
  <c r="AP60" i="1"/>
  <c r="U61" i="1"/>
  <c r="V61" i="1"/>
  <c r="W61" i="1" s="1"/>
  <c r="AI61" i="1"/>
  <c r="AM61" i="1"/>
  <c r="AO61" i="1"/>
  <c r="AP61" i="1"/>
  <c r="BF61" i="1"/>
  <c r="U62" i="1"/>
  <c r="V62" i="1"/>
  <c r="AI62" i="1"/>
  <c r="AJ62" i="1"/>
  <c r="AK62" i="1" s="1"/>
  <c r="AM62" i="1"/>
  <c r="AO62" i="1"/>
  <c r="AP62" i="1"/>
  <c r="AD62" i="1" s="1"/>
  <c r="AE62" i="1" s="1"/>
  <c r="BF62" i="1"/>
  <c r="U63" i="1"/>
  <c r="V63" i="1"/>
  <c r="W63" i="1" s="1"/>
  <c r="AI63" i="1"/>
  <c r="AM63" i="1"/>
  <c r="AO63" i="1"/>
  <c r="AP63" i="1"/>
  <c r="BF63" i="1"/>
  <c r="AH64" i="1"/>
  <c r="AH65" i="1" s="1"/>
  <c r="AH84" i="1" s="1"/>
  <c r="T68" i="1"/>
  <c r="W68" i="1"/>
  <c r="AC68" i="1"/>
  <c r="AE68" i="1"/>
  <c r="AG68" i="1"/>
  <c r="AG83" i="1" s="1"/>
  <c r="AI68" i="1"/>
  <c r="AK68" i="1"/>
  <c r="AN68" i="1"/>
  <c r="AO68" i="1"/>
  <c r="T69" i="1"/>
  <c r="U69" i="1"/>
  <c r="W69" i="1"/>
  <c r="AC69" i="1"/>
  <c r="AE69" i="1"/>
  <c r="AG69" i="1"/>
  <c r="AI69" i="1"/>
  <c r="AK69" i="1"/>
  <c r="AN69" i="1"/>
  <c r="AO69" i="1"/>
  <c r="AP69" i="1"/>
  <c r="Z69" i="1" s="1"/>
  <c r="AA69" i="1" s="1"/>
  <c r="T70" i="1"/>
  <c r="U70" i="1"/>
  <c r="W70" i="1"/>
  <c r="W83" i="1" s="1"/>
  <c r="AC70" i="1"/>
  <c r="AE70" i="1"/>
  <c r="AG70" i="1"/>
  <c r="AI70" i="1"/>
  <c r="AK70" i="1"/>
  <c r="AN70" i="1"/>
  <c r="AO70" i="1" s="1"/>
  <c r="T71" i="1"/>
  <c r="U71" i="1" s="1"/>
  <c r="W71" i="1"/>
  <c r="AC71" i="1"/>
  <c r="AE71" i="1"/>
  <c r="AG71" i="1"/>
  <c r="AI71" i="1"/>
  <c r="AK71" i="1"/>
  <c r="AL71" i="1"/>
  <c r="AM71" i="1" s="1"/>
  <c r="AN71" i="1"/>
  <c r="AO71" i="1" s="1"/>
  <c r="T72" i="1"/>
  <c r="U72" i="1" s="1"/>
  <c r="W72" i="1"/>
  <c r="AC72" i="1"/>
  <c r="AE72" i="1"/>
  <c r="AG72" i="1"/>
  <c r="AI72" i="1"/>
  <c r="AK72" i="1"/>
  <c r="AL72" i="1"/>
  <c r="AM72" i="1" s="1"/>
  <c r="AN72" i="1"/>
  <c r="AO72" i="1" s="1"/>
  <c r="T73" i="1"/>
  <c r="AP73" i="1" s="1"/>
  <c r="W73" i="1"/>
  <c r="AC73" i="1"/>
  <c r="AE73" i="1"/>
  <c r="AG73" i="1"/>
  <c r="AI73" i="1"/>
  <c r="AK73" i="1"/>
  <c r="AN73" i="1"/>
  <c r="AO73" i="1"/>
  <c r="T74" i="1"/>
  <c r="W74" i="1"/>
  <c r="AC74" i="1"/>
  <c r="AE74" i="1"/>
  <c r="AG74" i="1"/>
  <c r="AI74" i="1"/>
  <c r="AK74" i="1"/>
  <c r="AN74" i="1"/>
  <c r="AO74" i="1" s="1"/>
  <c r="T75" i="1"/>
  <c r="AP75" i="1" s="1"/>
  <c r="Z75" i="1" s="1"/>
  <c r="AA75" i="1" s="1"/>
  <c r="U75" i="1"/>
  <c r="W75" i="1"/>
  <c r="AC75" i="1"/>
  <c r="AE75" i="1"/>
  <c r="AG75" i="1"/>
  <c r="AI75" i="1"/>
  <c r="AK75" i="1"/>
  <c r="AN75" i="1"/>
  <c r="AO75" i="1" s="1"/>
  <c r="AQ75" i="1"/>
  <c r="T76" i="1"/>
  <c r="U76" i="1" s="1"/>
  <c r="W76" i="1"/>
  <c r="AC76" i="1"/>
  <c r="AE76" i="1"/>
  <c r="AG76" i="1"/>
  <c r="AI76" i="1"/>
  <c r="AK76" i="1"/>
  <c r="AN76" i="1"/>
  <c r="AO76" i="1" s="1"/>
  <c r="U77" i="1"/>
  <c r="W77" i="1"/>
  <c r="AC77" i="1"/>
  <c r="AE77" i="1"/>
  <c r="AG77" i="1"/>
  <c r="AI77" i="1"/>
  <c r="AK77" i="1"/>
  <c r="AM77" i="1"/>
  <c r="AO77" i="1"/>
  <c r="AP77" i="1"/>
  <c r="X77" i="1" s="1"/>
  <c r="Y77" i="1" s="1"/>
  <c r="AQ77" i="1"/>
  <c r="U78" i="1"/>
  <c r="W78" i="1"/>
  <c r="AC78" i="1"/>
  <c r="AE78" i="1"/>
  <c r="AG78" i="1"/>
  <c r="AI78" i="1"/>
  <c r="AK78" i="1"/>
  <c r="AM78" i="1"/>
  <c r="AO78" i="1"/>
  <c r="AP78" i="1"/>
  <c r="Z78" i="1" s="1"/>
  <c r="AA78" i="1" s="1"/>
  <c r="U79" i="1"/>
  <c r="W79" i="1"/>
  <c r="AC79" i="1"/>
  <c r="AE79" i="1"/>
  <c r="AG79" i="1"/>
  <c r="AI79" i="1"/>
  <c r="AK79" i="1"/>
  <c r="AM79" i="1"/>
  <c r="AO79" i="1"/>
  <c r="AP79" i="1"/>
  <c r="AQ79" i="1" s="1"/>
  <c r="U80" i="1"/>
  <c r="W80" i="1"/>
  <c r="AC80" i="1"/>
  <c r="AE80" i="1"/>
  <c r="AG80" i="1"/>
  <c r="AI80" i="1"/>
  <c r="AK80" i="1"/>
  <c r="AM80" i="1"/>
  <c r="AO80" i="1"/>
  <c r="AP80" i="1"/>
  <c r="Z80" i="1" s="1"/>
  <c r="AA80" i="1" s="1"/>
  <c r="AQ80" i="1"/>
  <c r="U81" i="1"/>
  <c r="W81" i="1"/>
  <c r="AC81" i="1"/>
  <c r="AE81" i="1"/>
  <c r="AG81" i="1"/>
  <c r="AI81" i="1"/>
  <c r="AK81" i="1"/>
  <c r="AM81" i="1"/>
  <c r="AO81" i="1"/>
  <c r="AP81" i="1"/>
  <c r="X81" i="1" s="1"/>
  <c r="Y81" i="1" s="1"/>
  <c r="V82" i="1"/>
  <c r="W82" i="1"/>
  <c r="AB82" i="1"/>
  <c r="AD82" i="1"/>
  <c r="AF82" i="1"/>
  <c r="AH82" i="1"/>
  <c r="AJ82" i="1"/>
  <c r="V83" i="1"/>
  <c r="AB83" i="1"/>
  <c r="AD83" i="1"/>
  <c r="AF83" i="1"/>
  <c r="AH83" i="1"/>
  <c r="AJ83" i="1"/>
  <c r="AP71" i="1" l="1"/>
  <c r="AQ71" i="1" s="1"/>
  <c r="AB49" i="1"/>
  <c r="AC49" i="1" s="1"/>
  <c r="AP47" i="1"/>
  <c r="AF47" i="1" s="1"/>
  <c r="AG47" i="1" s="1"/>
  <c r="AD41" i="1"/>
  <c r="AE41" i="1" s="1"/>
  <c r="AF17" i="1"/>
  <c r="AG17" i="1" s="1"/>
  <c r="X79" i="1"/>
  <c r="Y79" i="1" s="1"/>
  <c r="AQ69" i="1"/>
  <c r="AQ48" i="1"/>
  <c r="Z46" i="1"/>
  <c r="AA46" i="1" s="1"/>
  <c r="AQ36" i="1"/>
  <c r="AQ27" i="1"/>
  <c r="Z27" i="1"/>
  <c r="AA27" i="1" s="1"/>
  <c r="AS27" i="1" s="1"/>
  <c r="X17" i="1"/>
  <c r="Y17" i="1" s="1"/>
  <c r="AF16" i="1"/>
  <c r="AG16" i="1" s="1"/>
  <c r="X16" i="1"/>
  <c r="Y16" i="1" s="1"/>
  <c r="AQ31" i="1"/>
  <c r="X27" i="1"/>
  <c r="Y27" i="1" s="1"/>
  <c r="AD16" i="1"/>
  <c r="AE16" i="1" s="1"/>
  <c r="AD50" i="1"/>
  <c r="AE50" i="1" s="1"/>
  <c r="AD48" i="1"/>
  <c r="AE48" i="1" s="1"/>
  <c r="AS48" i="1" s="1"/>
  <c r="AK83" i="1"/>
  <c r="Z35" i="1"/>
  <c r="AA35" i="1" s="1"/>
  <c r="AQ73" i="1"/>
  <c r="X73" i="1"/>
  <c r="Y73" i="1" s="1"/>
  <c r="AO82" i="1"/>
  <c r="Z81" i="1"/>
  <c r="AA81" i="1" s="1"/>
  <c r="X78" i="1"/>
  <c r="AR78" i="1" s="1"/>
  <c r="AO83" i="1"/>
  <c r="AG82" i="1"/>
  <c r="AJ60" i="1"/>
  <c r="AK60" i="1" s="1"/>
  <c r="X60" i="1"/>
  <c r="Y60" i="1" s="1"/>
  <c r="AQ60" i="1"/>
  <c r="Z60" i="1"/>
  <c r="AA60" i="1" s="1"/>
  <c r="AJ52" i="1"/>
  <c r="AK52" i="1" s="1"/>
  <c r="X52" i="1"/>
  <c r="Y52" i="1" s="1"/>
  <c r="AQ52" i="1"/>
  <c r="AF52" i="1"/>
  <c r="AG52" i="1" s="1"/>
  <c r="AJ37" i="1"/>
  <c r="AK37" i="1" s="1"/>
  <c r="Z37" i="1"/>
  <c r="AA37" i="1" s="1"/>
  <c r="AF37" i="1"/>
  <c r="AG37" i="1" s="1"/>
  <c r="X37" i="1"/>
  <c r="Y37" i="1" s="1"/>
  <c r="AI64" i="1"/>
  <c r="AJ33" i="1"/>
  <c r="AK33" i="1" s="1"/>
  <c r="X33" i="1"/>
  <c r="Y33" i="1" s="1"/>
  <c r="AD33" i="1"/>
  <c r="AE33" i="1" s="1"/>
  <c r="AN64" i="1"/>
  <c r="AN65" i="1" s="1"/>
  <c r="AJ24" i="1"/>
  <c r="AK24" i="1" s="1"/>
  <c r="X24" i="1"/>
  <c r="Y24" i="1" s="1"/>
  <c r="AD24" i="1"/>
  <c r="AE24" i="1" s="1"/>
  <c r="AQ24" i="1"/>
  <c r="AB18" i="1"/>
  <c r="AC18" i="1" s="1"/>
  <c r="X18" i="1"/>
  <c r="Y18" i="1" s="1"/>
  <c r="AF18" i="1"/>
  <c r="AG18" i="1" s="1"/>
  <c r="Z13" i="1"/>
  <c r="AA13" i="1" s="1"/>
  <c r="X13" i="1"/>
  <c r="Y13" i="1" s="1"/>
  <c r="AF13" i="1"/>
  <c r="AG13" i="1" s="1"/>
  <c r="Z77" i="1"/>
  <c r="AA77" i="1" s="1"/>
  <c r="AS77" i="1" s="1"/>
  <c r="AF60" i="1"/>
  <c r="AG60" i="1" s="1"/>
  <c r="AJ59" i="1"/>
  <c r="AK59" i="1" s="1"/>
  <c r="X59" i="1"/>
  <c r="Y59" i="1" s="1"/>
  <c r="AQ59" i="1"/>
  <c r="Z59" i="1"/>
  <c r="AA59" i="1" s="1"/>
  <c r="AD56" i="1"/>
  <c r="AE56" i="1" s="1"/>
  <c r="AD52" i="1"/>
  <c r="AE52" i="1" s="1"/>
  <c r="AD51" i="1"/>
  <c r="AE51" i="1" s="1"/>
  <c r="X40" i="1"/>
  <c r="Y40" i="1" s="1"/>
  <c r="AB40" i="1"/>
  <c r="AC40" i="1" s="1"/>
  <c r="AF40" i="1"/>
  <c r="AG40" i="1" s="1"/>
  <c r="AD37" i="1"/>
  <c r="AE37" i="1" s="1"/>
  <c r="AJ36" i="1"/>
  <c r="AK36" i="1" s="1"/>
  <c r="X36" i="1"/>
  <c r="Y36" i="1" s="1"/>
  <c r="AD36" i="1"/>
  <c r="AE36" i="1" s="1"/>
  <c r="Z36" i="1"/>
  <c r="AA36" i="1" s="1"/>
  <c r="AF33" i="1"/>
  <c r="AG33" i="1" s="1"/>
  <c r="W33" i="1"/>
  <c r="AF24" i="1"/>
  <c r="AG24" i="1" s="1"/>
  <c r="AB20" i="1"/>
  <c r="AC20" i="1" s="1"/>
  <c r="AQ20" i="1"/>
  <c r="Z18" i="1"/>
  <c r="AA18" i="1" s="1"/>
  <c r="AD13" i="1"/>
  <c r="AE13" i="1" s="1"/>
  <c r="AS13" i="1" s="1"/>
  <c r="AL75" i="1"/>
  <c r="AM75" i="1" s="1"/>
  <c r="U74" i="1"/>
  <c r="AP74" i="1"/>
  <c r="AL73" i="1"/>
  <c r="AM73" i="1" s="1"/>
  <c r="AL68" i="1"/>
  <c r="AM68" i="1" s="1"/>
  <c r="AE83" i="1"/>
  <c r="AP68" i="1"/>
  <c r="T83" i="1"/>
  <c r="AD60" i="1"/>
  <c r="AE60" i="1" s="1"/>
  <c r="AF59" i="1"/>
  <c r="AG59" i="1" s="1"/>
  <c r="Z56" i="1"/>
  <c r="AA56" i="1" s="1"/>
  <c r="AB52" i="1"/>
  <c r="AC52" i="1" s="1"/>
  <c r="AJ48" i="1"/>
  <c r="AK48" i="1" s="1"/>
  <c r="Z48" i="1"/>
  <c r="AA48" i="1" s="1"/>
  <c r="AF48" i="1"/>
  <c r="AG48" i="1" s="1"/>
  <c r="AB48" i="1"/>
  <c r="AC48" i="1" s="1"/>
  <c r="X45" i="1"/>
  <c r="Y45" i="1" s="1"/>
  <c r="AB45" i="1"/>
  <c r="AC45" i="1" s="1"/>
  <c r="AF45" i="1"/>
  <c r="AG45" i="1" s="1"/>
  <c r="AJ41" i="1"/>
  <c r="AK41" i="1" s="1"/>
  <c r="AF41" i="1"/>
  <c r="AG41" i="1" s="1"/>
  <c r="Z41" i="1"/>
  <c r="AA41" i="1" s="1"/>
  <c r="AF36" i="1"/>
  <c r="AG36" i="1" s="1"/>
  <c r="AB33" i="1"/>
  <c r="AC33" i="1" s="1"/>
  <c r="AB24" i="1"/>
  <c r="AC24" i="1" s="1"/>
  <c r="AD23" i="1"/>
  <c r="AE23" i="1" s="1"/>
  <c r="AB21" i="1"/>
  <c r="AC21" i="1" s="1"/>
  <c r="AQ21" i="1"/>
  <c r="AF21" i="1"/>
  <c r="AG21" i="1" s="1"/>
  <c r="AF20" i="1"/>
  <c r="AG20" i="1" s="1"/>
  <c r="AQ81" i="1"/>
  <c r="AS81" i="1" s="1"/>
  <c r="Z79" i="1"/>
  <c r="AA79" i="1" s="1"/>
  <c r="AQ78" i="1"/>
  <c r="AL76" i="1"/>
  <c r="AM76" i="1" s="1"/>
  <c r="Z74" i="1"/>
  <c r="AA74" i="1" s="1"/>
  <c r="AI83" i="1"/>
  <c r="X69" i="1"/>
  <c r="Y69" i="1" s="1"/>
  <c r="AB60" i="1"/>
  <c r="AC60" i="1" s="1"/>
  <c r="AD59" i="1"/>
  <c r="AE59" i="1" s="1"/>
  <c r="AS59" i="1" s="1"/>
  <c r="AD58" i="1"/>
  <c r="AE58" i="1" s="1"/>
  <c r="BF64" i="1"/>
  <c r="Z52" i="1"/>
  <c r="AA52" i="1" s="1"/>
  <c r="AF49" i="1"/>
  <c r="AG49" i="1" s="1"/>
  <c r="AD46" i="1"/>
  <c r="AE46" i="1" s="1"/>
  <c r="X41" i="1"/>
  <c r="Y41" i="1" s="1"/>
  <c r="Z40" i="1"/>
  <c r="AA40" i="1" s="1"/>
  <c r="AQ37" i="1"/>
  <c r="AB37" i="1"/>
  <c r="AC37" i="1" s="1"/>
  <c r="AD35" i="1"/>
  <c r="AE35" i="1" s="1"/>
  <c r="AQ33" i="1"/>
  <c r="Z33" i="1"/>
  <c r="AA33" i="1" s="1"/>
  <c r="AO32" i="1"/>
  <c r="AO64" i="1" s="1"/>
  <c r="Z24" i="1"/>
  <c r="AA24" i="1" s="1"/>
  <c r="Z21" i="1"/>
  <c r="AA21" i="1" s="1"/>
  <c r="AQ18" i="1"/>
  <c r="AJ12" i="1"/>
  <c r="AK12" i="1" s="1"/>
  <c r="AQ12" i="1"/>
  <c r="X12" i="1"/>
  <c r="Y12" i="1" s="1"/>
  <c r="AD12" i="1"/>
  <c r="X80" i="1"/>
  <c r="Y80" i="1" s="1"/>
  <c r="AS80" i="1" s="1"/>
  <c r="AK82" i="1"/>
  <c r="AC82" i="1"/>
  <c r="AC83" i="1" s="1"/>
  <c r="AB27" i="1"/>
  <c r="AC27" i="1" s="1"/>
  <c r="AB16" i="1"/>
  <c r="AC16" i="1" s="1"/>
  <c r="V64" i="1"/>
  <c r="AS79" i="1"/>
  <c r="AR80" i="1"/>
  <c r="Y78" i="1"/>
  <c r="AS78" i="1" s="1"/>
  <c r="X71" i="1"/>
  <c r="Y71" i="1" s="1"/>
  <c r="X63" i="1"/>
  <c r="Y63" i="1" s="1"/>
  <c r="AB63" i="1"/>
  <c r="AC63" i="1" s="1"/>
  <c r="AF63" i="1"/>
  <c r="AG63" i="1" s="1"/>
  <c r="AQ63" i="1"/>
  <c r="X61" i="1"/>
  <c r="Y61" i="1" s="1"/>
  <c r="AB61" i="1"/>
  <c r="AC61" i="1" s="1"/>
  <c r="AF61" i="1"/>
  <c r="AG61" i="1" s="1"/>
  <c r="AQ61" i="1"/>
  <c r="X55" i="1"/>
  <c r="Y55" i="1" s="1"/>
  <c r="AB55" i="1"/>
  <c r="AC55" i="1" s="1"/>
  <c r="AF55" i="1"/>
  <c r="AG55" i="1" s="1"/>
  <c r="AQ55" i="1"/>
  <c r="Z55" i="1"/>
  <c r="AA55" i="1" s="1"/>
  <c r="AI82" i="1"/>
  <c r="AE82" i="1"/>
  <c r="AR60" i="1"/>
  <c r="AD55" i="1"/>
  <c r="X54" i="1"/>
  <c r="Y54" i="1" s="1"/>
  <c r="AB54" i="1"/>
  <c r="AC54" i="1" s="1"/>
  <c r="AF54" i="1"/>
  <c r="AG54" i="1" s="1"/>
  <c r="AQ54" i="1"/>
  <c r="AD54" i="1"/>
  <c r="AE54" i="1" s="1"/>
  <c r="AJ54" i="1"/>
  <c r="AK54" i="1" s="1"/>
  <c r="Z54" i="1"/>
  <c r="AA54" i="1" s="1"/>
  <c r="Z38" i="1"/>
  <c r="AA38" i="1" s="1"/>
  <c r="AD38" i="1"/>
  <c r="AB38" i="1"/>
  <c r="AC38" i="1" s="1"/>
  <c r="X38" i="1"/>
  <c r="Y38" i="1" s="1"/>
  <c r="AJ38" i="1"/>
  <c r="AK38" i="1" s="1"/>
  <c r="W37" i="1"/>
  <c r="W36" i="1"/>
  <c r="Z34" i="1"/>
  <c r="AA34" i="1" s="1"/>
  <c r="AD34" i="1"/>
  <c r="AF34" i="1"/>
  <c r="AG34" i="1" s="1"/>
  <c r="AQ34" i="1"/>
  <c r="AB34" i="1"/>
  <c r="AC34" i="1" s="1"/>
  <c r="X34" i="1"/>
  <c r="AF25" i="1"/>
  <c r="AG25" i="1" s="1"/>
  <c r="X25" i="1"/>
  <c r="Y25" i="1" s="1"/>
  <c r="Z25" i="1"/>
  <c r="AA25" i="1" s="1"/>
  <c r="AJ25" i="1"/>
  <c r="AK25" i="1" s="1"/>
  <c r="W22" i="1"/>
  <c r="BF29" i="1"/>
  <c r="BF65" i="1" s="1"/>
  <c r="V29" i="1"/>
  <c r="AN83" i="1"/>
  <c r="AP76" i="1"/>
  <c r="X76" i="1"/>
  <c r="Y76" i="1" s="1"/>
  <c r="U73" i="1"/>
  <c r="Z73" i="1"/>
  <c r="AP72" i="1"/>
  <c r="X72" i="1" s="1"/>
  <c r="Y72" i="1" s="1"/>
  <c r="Z71" i="1"/>
  <c r="AA71" i="1" s="1"/>
  <c r="U68" i="1"/>
  <c r="Z68" i="1"/>
  <c r="T82" i="1"/>
  <c r="AD63" i="1"/>
  <c r="AE63" i="1" s="1"/>
  <c r="X62" i="1"/>
  <c r="Y62" i="1" s="1"/>
  <c r="AB62" i="1"/>
  <c r="AC62" i="1" s="1"/>
  <c r="AF62" i="1"/>
  <c r="AG62" i="1" s="1"/>
  <c r="AQ62" i="1"/>
  <c r="Z62" i="1"/>
  <c r="AA62" i="1" s="1"/>
  <c r="AD61" i="1"/>
  <c r="AE61" i="1" s="1"/>
  <c r="X58" i="1"/>
  <c r="Y58" i="1" s="1"/>
  <c r="AB58" i="1"/>
  <c r="AC58" i="1" s="1"/>
  <c r="AF58" i="1"/>
  <c r="AG58" i="1" s="1"/>
  <c r="AQ58" i="1"/>
  <c r="Z58" i="1"/>
  <c r="AA58" i="1" s="1"/>
  <c r="X57" i="1"/>
  <c r="Y57" i="1" s="1"/>
  <c r="AD57" i="1"/>
  <c r="AE57" i="1" s="1"/>
  <c r="AJ57" i="1"/>
  <c r="AK57" i="1" s="1"/>
  <c r="AB57" i="1"/>
  <c r="AC57" i="1" s="1"/>
  <c r="Z53" i="1"/>
  <c r="AA53" i="1" s="1"/>
  <c r="AQ53" i="1"/>
  <c r="AF53" i="1"/>
  <c r="AR53" i="1" s="1"/>
  <c r="AF50" i="1"/>
  <c r="AG50" i="1" s="1"/>
  <c r="AB50" i="1"/>
  <c r="AC50" i="1" s="1"/>
  <c r="AJ50" i="1"/>
  <c r="AK50" i="1" s="1"/>
  <c r="Z50" i="1"/>
  <c r="AA50" i="1" s="1"/>
  <c r="Z39" i="1"/>
  <c r="AA39" i="1" s="1"/>
  <c r="AD39" i="1"/>
  <c r="AF39" i="1"/>
  <c r="AG39" i="1" s="1"/>
  <c r="AQ39" i="1"/>
  <c r="AB39" i="1"/>
  <c r="AC39" i="1" s="1"/>
  <c r="X39" i="1"/>
  <c r="Y39" i="1" s="1"/>
  <c r="AL32" i="1"/>
  <c r="AL42" i="1"/>
  <c r="AM42" i="1" s="1"/>
  <c r="AL43" i="1"/>
  <c r="AM43" i="1" s="1"/>
  <c r="AL47" i="1"/>
  <c r="AM47" i="1" s="1"/>
  <c r="AL69" i="1"/>
  <c r="AL74" i="1"/>
  <c r="AD14" i="1"/>
  <c r="AE14" i="1" s="1"/>
  <c r="X75" i="1"/>
  <c r="Y75" i="1" s="1"/>
  <c r="AP70" i="1"/>
  <c r="X70" i="1" s="1"/>
  <c r="AJ63" i="1"/>
  <c r="AK63" i="1" s="1"/>
  <c r="W62" i="1"/>
  <c r="AJ61" i="1"/>
  <c r="AK61" i="1" s="1"/>
  <c r="W58" i="1"/>
  <c r="Z57" i="1"/>
  <c r="AA57" i="1" s="1"/>
  <c r="AJ55" i="1"/>
  <c r="AK55" i="1" s="1"/>
  <c r="AD53" i="1"/>
  <c r="AE53" i="1" s="1"/>
  <c r="X51" i="1"/>
  <c r="Y51" i="1" s="1"/>
  <c r="AB51" i="1"/>
  <c r="AC51" i="1" s="1"/>
  <c r="AF51" i="1"/>
  <c r="AG51" i="1" s="1"/>
  <c r="AQ51" i="1"/>
  <c r="Z51" i="1"/>
  <c r="AA51" i="1" s="1"/>
  <c r="X50" i="1"/>
  <c r="Y50" i="1" s="1"/>
  <c r="W46" i="1"/>
  <c r="Z44" i="1"/>
  <c r="AA44" i="1" s="1"/>
  <c r="AD44" i="1"/>
  <c r="AF44" i="1"/>
  <c r="AG44" i="1" s="1"/>
  <c r="AQ44" i="1"/>
  <c r="AB44" i="1"/>
  <c r="AC44" i="1" s="1"/>
  <c r="X44" i="1"/>
  <c r="Y44" i="1" s="1"/>
  <c r="U42" i="1"/>
  <c r="AP42" i="1"/>
  <c r="AF42" i="1" s="1"/>
  <c r="AG42" i="1" s="1"/>
  <c r="AF38" i="1"/>
  <c r="AG38" i="1" s="1"/>
  <c r="AP29" i="1"/>
  <c r="AD25" i="1"/>
  <c r="AE25" i="1" s="1"/>
  <c r="AQ22" i="1"/>
  <c r="X19" i="1"/>
  <c r="AB19" i="1"/>
  <c r="AC19" i="1" s="1"/>
  <c r="AF19" i="1"/>
  <c r="AG19" i="1" s="1"/>
  <c r="AQ19" i="1"/>
  <c r="AJ19" i="1"/>
  <c r="AK19" i="1" s="1"/>
  <c r="AD19" i="1"/>
  <c r="X15" i="1"/>
  <c r="Y15" i="1" s="1"/>
  <c r="AB15" i="1"/>
  <c r="AC15" i="1" s="1"/>
  <c r="AF15" i="1"/>
  <c r="AG15" i="1" s="1"/>
  <c r="AQ15" i="1"/>
  <c r="Z15" i="1"/>
  <c r="AA15" i="1" s="1"/>
  <c r="AJ15" i="1"/>
  <c r="AK15" i="1" s="1"/>
  <c r="AD15" i="1"/>
  <c r="AQ14" i="1"/>
  <c r="AO29" i="1"/>
  <c r="AN82" i="1"/>
  <c r="Z63" i="1"/>
  <c r="AA63" i="1" s="1"/>
  <c r="Z61" i="1"/>
  <c r="AA61" i="1" s="1"/>
  <c r="W57" i="1"/>
  <c r="X47" i="1"/>
  <c r="Y47" i="1" s="1"/>
  <c r="AJ47" i="1"/>
  <c r="AK47" i="1" s="1"/>
  <c r="W35" i="1"/>
  <c r="U32" i="1"/>
  <c r="AP32" i="1"/>
  <c r="AD32" i="1" s="1"/>
  <c r="T64" i="1"/>
  <c r="T65" i="1" s="1"/>
  <c r="X26" i="1"/>
  <c r="Y26" i="1" s="1"/>
  <c r="AB26" i="1"/>
  <c r="AC26" i="1" s="1"/>
  <c r="AF26" i="1"/>
  <c r="AG26" i="1" s="1"/>
  <c r="AQ26" i="1"/>
  <c r="Z26" i="1"/>
  <c r="AA26" i="1" s="1"/>
  <c r="AJ26" i="1"/>
  <c r="AK26" i="1" s="1"/>
  <c r="AD26" i="1"/>
  <c r="W24" i="1"/>
  <c r="AB22" i="1"/>
  <c r="AC22" i="1" s="1"/>
  <c r="Z22" i="1"/>
  <c r="AA22" i="1" s="1"/>
  <c r="AF22" i="1"/>
  <c r="AG22" i="1" s="1"/>
  <c r="AJ22" i="1"/>
  <c r="AK22" i="1" s="1"/>
  <c r="X22" i="1"/>
  <c r="Y22" i="1" s="1"/>
  <c r="AS16" i="1"/>
  <c r="U29" i="1"/>
  <c r="AF14" i="1"/>
  <c r="AG14" i="1" s="1"/>
  <c r="X14" i="1"/>
  <c r="Y14" i="1" s="1"/>
  <c r="Z14" i="1"/>
  <c r="AA14" i="1" s="1"/>
  <c r="AJ14" i="1"/>
  <c r="AK14" i="1" s="1"/>
  <c r="AM29" i="1"/>
  <c r="W11" i="1"/>
  <c r="X56" i="1"/>
  <c r="Y56" i="1" s="1"/>
  <c r="AB56" i="1"/>
  <c r="AC56" i="1" s="1"/>
  <c r="AF56" i="1"/>
  <c r="AG56" i="1" s="1"/>
  <c r="AQ56" i="1"/>
  <c r="Z49" i="1"/>
  <c r="AA49" i="1" s="1"/>
  <c r="AD49" i="1"/>
  <c r="AJ49" i="1"/>
  <c r="AK49" i="1" s="1"/>
  <c r="Z47" i="1"/>
  <c r="AA47" i="1" s="1"/>
  <c r="AD47" i="1"/>
  <c r="AE47" i="1" s="1"/>
  <c r="U43" i="1"/>
  <c r="AP43" i="1"/>
  <c r="AD43" i="1" s="1"/>
  <c r="Z31" i="1"/>
  <c r="AD31" i="1"/>
  <c r="X31" i="1"/>
  <c r="AJ31" i="1"/>
  <c r="AJ18" i="1"/>
  <c r="AK18" i="1" s="1"/>
  <c r="AD18" i="1"/>
  <c r="AE18" i="1" s="1"/>
  <c r="W18" i="1"/>
  <c r="AI29" i="1"/>
  <c r="AI65" i="1" s="1"/>
  <c r="AI84" i="1" s="1"/>
  <c r="W52" i="1"/>
  <c r="X49" i="1"/>
  <c r="Y49" i="1" s="1"/>
  <c r="X46" i="1"/>
  <c r="Y46" i="1" s="1"/>
  <c r="AB46" i="1"/>
  <c r="AC46" i="1" s="1"/>
  <c r="AF46" i="1"/>
  <c r="AG46" i="1" s="1"/>
  <c r="AQ46" i="1"/>
  <c r="AJ45" i="1"/>
  <c r="AK45" i="1" s="1"/>
  <c r="AD45" i="1"/>
  <c r="AE45" i="1" s="1"/>
  <c r="AS45" i="1" s="1"/>
  <c r="AJ40" i="1"/>
  <c r="AK40" i="1" s="1"/>
  <c r="AD40" i="1"/>
  <c r="AE40" i="1" s="1"/>
  <c r="X35" i="1"/>
  <c r="Y35" i="1" s="1"/>
  <c r="AB35" i="1"/>
  <c r="AC35" i="1" s="1"/>
  <c r="AF35" i="1"/>
  <c r="AG35" i="1" s="1"/>
  <c r="AQ35" i="1"/>
  <c r="AB31" i="1"/>
  <c r="X23" i="1"/>
  <c r="Y23" i="1" s="1"/>
  <c r="AB23" i="1"/>
  <c r="AC23" i="1" s="1"/>
  <c r="AF23" i="1"/>
  <c r="AG23" i="1" s="1"/>
  <c r="AQ23" i="1"/>
  <c r="Z23" i="1"/>
  <c r="AA23" i="1" s="1"/>
  <c r="AJ21" i="1"/>
  <c r="AK21" i="1" s="1"/>
  <c r="AD21" i="1"/>
  <c r="AE21" i="1" s="1"/>
  <c r="W21" i="1"/>
  <c r="X11" i="1"/>
  <c r="AB11" i="1"/>
  <c r="AF11" i="1"/>
  <c r="AQ11" i="1"/>
  <c r="AD11" i="1"/>
  <c r="AJ11" i="1"/>
  <c r="Z11" i="1"/>
  <c r="Z20" i="1"/>
  <c r="AA20" i="1" s="1"/>
  <c r="AD20" i="1"/>
  <c r="AJ20" i="1"/>
  <c r="AK20" i="1" s="1"/>
  <c r="Z17" i="1"/>
  <c r="AA17" i="1" s="1"/>
  <c r="AD17" i="1"/>
  <c r="AJ17" i="1"/>
  <c r="AK17" i="1" s="1"/>
  <c r="AJ13" i="1"/>
  <c r="AK13" i="1" s="1"/>
  <c r="AR37" i="1" l="1"/>
  <c r="AB47" i="1"/>
  <c r="AC47" i="1" s="1"/>
  <c r="AQ47" i="1"/>
  <c r="AS47" i="1" s="1"/>
  <c r="AS51" i="1"/>
  <c r="AS41" i="1"/>
  <c r="AS60" i="1"/>
  <c r="AS75" i="1"/>
  <c r="AR18" i="1"/>
  <c r="AS56" i="1"/>
  <c r="AR24" i="1"/>
  <c r="AT24" i="1" s="1"/>
  <c r="AR16" i="1"/>
  <c r="AS25" i="1"/>
  <c r="AR81" i="1"/>
  <c r="AN84" i="1"/>
  <c r="AR25" i="1"/>
  <c r="AQ29" i="1"/>
  <c r="AS21" i="1"/>
  <c r="AR48" i="1"/>
  <c r="AS57" i="1"/>
  <c r="AB42" i="1"/>
  <c r="AC42" i="1" s="1"/>
  <c r="AS14" i="1"/>
  <c r="AS50" i="1"/>
  <c r="AR36" i="1"/>
  <c r="AS61" i="1"/>
  <c r="AS71" i="1"/>
  <c r="AE12" i="1"/>
  <c r="AS12" i="1" s="1"/>
  <c r="AR12" i="1"/>
  <c r="AQ68" i="1"/>
  <c r="X68" i="1"/>
  <c r="Y68" i="1" s="1"/>
  <c r="AQ74" i="1"/>
  <c r="X74" i="1"/>
  <c r="Y74" i="1" s="1"/>
  <c r="AS33" i="1"/>
  <c r="AR21" i="1"/>
  <c r="AR59" i="1"/>
  <c r="AR75" i="1"/>
  <c r="AR27" i="1"/>
  <c r="AR63" i="1"/>
  <c r="AS36" i="1"/>
  <c r="AR54" i="1"/>
  <c r="AS54" i="1"/>
  <c r="AR77" i="1"/>
  <c r="U64" i="1"/>
  <c r="U65" i="1" s="1"/>
  <c r="AS63" i="1"/>
  <c r="AR11" i="1"/>
  <c r="AS40" i="1"/>
  <c r="AR47" i="1"/>
  <c r="AS52" i="1"/>
  <c r="AS24" i="1"/>
  <c r="AB32" i="1"/>
  <c r="AC32" i="1" s="1"/>
  <c r="AR52" i="1"/>
  <c r="AT52" i="1" s="1"/>
  <c r="AR41" i="1"/>
  <c r="AR71" i="1"/>
  <c r="AS37" i="1"/>
  <c r="AR62" i="1"/>
  <c r="AR79" i="1"/>
  <c r="AR33" i="1"/>
  <c r="V65" i="1"/>
  <c r="V84" i="1" s="1"/>
  <c r="Y70" i="1"/>
  <c r="AE43" i="1"/>
  <c r="AE32" i="1"/>
  <c r="AK31" i="1"/>
  <c r="AR44" i="1"/>
  <c r="AE44" i="1"/>
  <c r="AS44" i="1" s="1"/>
  <c r="AM74" i="1"/>
  <c r="AR22" i="1"/>
  <c r="AE55" i="1"/>
  <c r="AS55" i="1" s="1"/>
  <c r="AR55" i="1"/>
  <c r="AL83" i="1"/>
  <c r="Z29" i="1"/>
  <c r="AA11" i="1"/>
  <c r="AA29" i="1" s="1"/>
  <c r="AG11" i="1"/>
  <c r="AG29" i="1" s="1"/>
  <c r="AF29" i="1"/>
  <c r="AC31" i="1"/>
  <c r="Y31" i="1"/>
  <c r="W29" i="1"/>
  <c r="T84" i="1"/>
  <c r="AR23" i="1"/>
  <c r="AG53" i="1"/>
  <c r="AS53" i="1" s="1"/>
  <c r="AT53" i="1"/>
  <c r="AR61" i="1"/>
  <c r="AA68" i="1"/>
  <c r="AQ72" i="1"/>
  <c r="Z72" i="1"/>
  <c r="AA72" i="1" s="1"/>
  <c r="Y34" i="1"/>
  <c r="AR34" i="1"/>
  <c r="AT34" i="1" s="1"/>
  <c r="AE34" i="1"/>
  <c r="AR56" i="1"/>
  <c r="AE17" i="1"/>
  <c r="AS17" i="1" s="1"/>
  <c r="AR17" i="1"/>
  <c r="AE20" i="1"/>
  <c r="AS20" i="1" s="1"/>
  <c r="AR20" i="1"/>
  <c r="AK11" i="1"/>
  <c r="AK29" i="1" s="1"/>
  <c r="AJ29" i="1"/>
  <c r="AB29" i="1"/>
  <c r="AC11" i="1"/>
  <c r="AC29" i="1" s="1"/>
  <c r="AS23" i="1"/>
  <c r="AR50" i="1"/>
  <c r="AE31" i="1"/>
  <c r="AR31" i="1"/>
  <c r="AE49" i="1"/>
  <c r="AS49" i="1" s="1"/>
  <c r="AR49" i="1"/>
  <c r="AR19" i="1"/>
  <c r="AT19" i="1" s="1"/>
  <c r="AE19" i="1"/>
  <c r="X42" i="1"/>
  <c r="Y42" i="1" s="1"/>
  <c r="Z42" i="1"/>
  <c r="AA42" i="1" s="1"/>
  <c r="AJ42" i="1"/>
  <c r="AK42" i="1" s="1"/>
  <c r="AQ42" i="1"/>
  <c r="AD42" i="1"/>
  <c r="AD64" i="1" s="1"/>
  <c r="AR46" i="1"/>
  <c r="AS62" i="1"/>
  <c r="AR39" i="1"/>
  <c r="AE39" i="1"/>
  <c r="AS39" i="1" s="1"/>
  <c r="U83" i="1"/>
  <c r="U82" i="1"/>
  <c r="AA73" i="1"/>
  <c r="AR73" i="1"/>
  <c r="AQ76" i="1"/>
  <c r="Z76" i="1"/>
  <c r="AA76" i="1" s="1"/>
  <c r="AR40" i="1"/>
  <c r="AT40" i="1" s="1"/>
  <c r="Z43" i="1"/>
  <c r="AA43" i="1" s="1"/>
  <c r="AQ43" i="1"/>
  <c r="AB43" i="1"/>
  <c r="AC43" i="1" s="1"/>
  <c r="AF43" i="1"/>
  <c r="AG43" i="1" s="1"/>
  <c r="Z32" i="1"/>
  <c r="AA32" i="1" s="1"/>
  <c r="AJ32" i="1"/>
  <c r="AK32" i="1" s="1"/>
  <c r="AQ32" i="1"/>
  <c r="AP64" i="1"/>
  <c r="AP65" i="1" s="1"/>
  <c r="AS35" i="1"/>
  <c r="W64" i="1"/>
  <c r="X43" i="1"/>
  <c r="Y43" i="1" s="1"/>
  <c r="AO65" i="1"/>
  <c r="AO84" i="1" s="1"/>
  <c r="AQ70" i="1"/>
  <c r="Z70" i="1"/>
  <c r="AA70" i="1" s="1"/>
  <c r="AP82" i="1"/>
  <c r="AP83" i="1" s="1"/>
  <c r="AM69" i="1"/>
  <c r="AS69" i="1" s="1"/>
  <c r="AR69" i="1"/>
  <c r="AM32" i="1"/>
  <c r="AM64" i="1" s="1"/>
  <c r="AM65" i="1" s="1"/>
  <c r="AL64" i="1"/>
  <c r="AL65" i="1" s="1"/>
  <c r="AL84" i="1" s="1"/>
  <c r="AR45" i="1"/>
  <c r="AR14" i="1"/>
  <c r="AE11" i="1"/>
  <c r="AD29" i="1"/>
  <c r="Y11" i="1"/>
  <c r="X29" i="1"/>
  <c r="AJ43" i="1"/>
  <c r="AK43" i="1" s="1"/>
  <c r="AS18" i="1"/>
  <c r="AA31" i="1"/>
  <c r="AE26" i="1"/>
  <c r="AS26" i="1" s="1"/>
  <c r="AR26" i="1"/>
  <c r="AF32" i="1"/>
  <c r="AR35" i="1"/>
  <c r="AR57" i="1"/>
  <c r="AE15" i="1"/>
  <c r="AS15" i="1" s="1"/>
  <c r="AR15" i="1"/>
  <c r="Y19" i="1"/>
  <c r="AS46" i="1"/>
  <c r="AS58" i="1"/>
  <c r="AR13" i="1"/>
  <c r="AT13" i="1" s="1"/>
  <c r="AR51" i="1"/>
  <c r="AR68" i="1"/>
  <c r="AS73" i="1"/>
  <c r="AL82" i="1"/>
  <c r="AS22" i="1"/>
  <c r="X32" i="1"/>
  <c r="AR38" i="1"/>
  <c r="AE38" i="1"/>
  <c r="AS38" i="1" s="1"/>
  <c r="AR58" i="1"/>
  <c r="Y82" i="1" l="1"/>
  <c r="Y83" i="1" s="1"/>
  <c r="X64" i="1"/>
  <c r="X65" i="1" s="1"/>
  <c r="AR74" i="1"/>
  <c r="AS72" i="1"/>
  <c r="AS74" i="1"/>
  <c r="AR76" i="1"/>
  <c r="AS76" i="1"/>
  <c r="AB64" i="1"/>
  <c r="AB65" i="1" s="1"/>
  <c r="AB84" i="1" s="1"/>
  <c r="AD65" i="1"/>
  <c r="AD84" i="1" s="1"/>
  <c r="W65" i="1"/>
  <c r="W84" i="1" s="1"/>
  <c r="AR72" i="1"/>
  <c r="AS43" i="1"/>
  <c r="Z82" i="1"/>
  <c r="Z83" i="1" s="1"/>
  <c r="X82" i="1"/>
  <c r="X83" i="1" s="1"/>
  <c r="X84" i="1" s="1"/>
  <c r="AS11" i="1"/>
  <c r="AR32" i="1"/>
  <c r="AT32" i="1" s="1"/>
  <c r="AE29" i="1"/>
  <c r="AP84" i="1"/>
  <c r="U84" i="1"/>
  <c r="AS34" i="1"/>
  <c r="AA82" i="1"/>
  <c r="AA83" i="1" s="1"/>
  <c r="AK64" i="1"/>
  <c r="AK65" i="1" s="1"/>
  <c r="AK84" i="1" s="1"/>
  <c r="AR70" i="1"/>
  <c r="AR82" i="1" s="1"/>
  <c r="Z64" i="1"/>
  <c r="Z65" i="1" s="1"/>
  <c r="Z84" i="1" s="1"/>
  <c r="AQ82" i="1"/>
  <c r="AQ83" i="1" s="1"/>
  <c r="AQ64" i="1"/>
  <c r="AQ65" i="1" s="1"/>
  <c r="AQ84" i="1" s="1"/>
  <c r="AE42" i="1"/>
  <c r="AS42" i="1" s="1"/>
  <c r="AR42" i="1"/>
  <c r="AR64" i="1" s="1"/>
  <c r="AS31" i="1"/>
  <c r="AM82" i="1"/>
  <c r="AC64" i="1"/>
  <c r="AC65" i="1" s="1"/>
  <c r="AC84" i="1" s="1"/>
  <c r="AJ64" i="1"/>
  <c r="AJ65" i="1" s="1"/>
  <c r="AJ84" i="1" s="1"/>
  <c r="AR43" i="1"/>
  <c r="AS70" i="1"/>
  <c r="AR83" i="1"/>
  <c r="Y32" i="1"/>
  <c r="Y64" i="1" s="1"/>
  <c r="AG32" i="1"/>
  <c r="AF64" i="1"/>
  <c r="AF65" i="1" s="1"/>
  <c r="AF84" i="1" s="1"/>
  <c r="AA64" i="1"/>
  <c r="AA65" i="1" s="1"/>
  <c r="AA84" i="1" s="1"/>
  <c r="Y29" i="1"/>
  <c r="AS68" i="1"/>
  <c r="AS19" i="1"/>
  <c r="AM83" i="1"/>
  <c r="AM84" i="1" s="1"/>
  <c r="AR29" i="1"/>
  <c r="AS82" i="1" l="1"/>
  <c r="Y65" i="1"/>
  <c r="Y84" i="1" s="1"/>
  <c r="AE64" i="1"/>
  <c r="AE65" i="1" s="1"/>
  <c r="AE84" i="1" s="1"/>
  <c r="AS83" i="1"/>
  <c r="AS29" i="1"/>
  <c r="AU29" i="1" s="1"/>
  <c r="AG64" i="1"/>
  <c r="AG65" i="1" s="1"/>
  <c r="AG84" i="1" s="1"/>
  <c r="AS32" i="1"/>
  <c r="AS64" i="1" s="1"/>
  <c r="AR65" i="1"/>
  <c r="AR84" i="1" s="1"/>
  <c r="AS65" i="1" l="1"/>
  <c r="AS84" i="1" s="1"/>
</calcChain>
</file>

<file path=xl/sharedStrings.xml><?xml version="1.0" encoding="utf-8"?>
<sst xmlns="http://schemas.openxmlformats.org/spreadsheetml/2006/main" count="453" uniqueCount="264">
  <si>
    <t>Salario Mínimo 2019</t>
  </si>
  <si>
    <t>PLANTILLA TOTAL ANUAL ==&gt;&gt;</t>
  </si>
  <si>
    <t>TABULADOR DE SUELDOS</t>
  </si>
  <si>
    <t>POR ASIGNATURA ANUAL ==&gt;&gt;</t>
  </si>
  <si>
    <t>SUMA  ACADEMIICO POR ASIGNATURA POR PERIODOS ==&gt;&gt;</t>
  </si>
  <si>
    <t>DIRECCION ACADEMICA</t>
  </si>
  <si>
    <t>PROFESOR ASIGNATURA MAESTRIA</t>
  </si>
  <si>
    <t>B</t>
  </si>
  <si>
    <t>1er periodo</t>
  </si>
  <si>
    <t xml:space="preserve">SIN TITULAR  </t>
  </si>
  <si>
    <t>AC-058</t>
  </si>
  <si>
    <t>PROFESOR ASIGNATURA LICENCIATURA</t>
  </si>
  <si>
    <t>SIN TITULAR</t>
  </si>
  <si>
    <t>AC-050</t>
  </si>
  <si>
    <t>2do periodo</t>
  </si>
  <si>
    <t>AC-046</t>
  </si>
  <si>
    <t>PROFESOR ASIGNATURA DOCTORADO</t>
  </si>
  <si>
    <t>AC-045</t>
  </si>
  <si>
    <t>AMBOS</t>
  </si>
  <si>
    <t>AC-053</t>
  </si>
  <si>
    <t>IACM-710815-RNA</t>
  </si>
  <si>
    <t>INSAURRALDE CABALLERO MIRTA ASUNCION</t>
  </si>
  <si>
    <t>AC-056</t>
  </si>
  <si>
    <t>AEPG-5512035-P8</t>
  </si>
  <si>
    <t>ACEVES PIÑA GUTIERRE ALVAR ALONSO</t>
  </si>
  <si>
    <t>AC-055</t>
  </si>
  <si>
    <t>GAAA-680731-BN7</t>
  </si>
  <si>
    <t>GARCIA ABAJO ANGEL ERNESTO</t>
  </si>
  <si>
    <t>AC-051</t>
  </si>
  <si>
    <t>PROFESOR ASIGNATURA PASANTE</t>
  </si>
  <si>
    <t>HEMJ-631201-QGA</t>
  </si>
  <si>
    <t>HERRERA MARMOLEJO JUAN ARMANDO</t>
  </si>
  <si>
    <t>AC-049</t>
  </si>
  <si>
    <t>2do. periodo</t>
  </si>
  <si>
    <t>PILL-541220-IRA</t>
  </si>
  <si>
    <t>PINTOR LUNA JOSE LUIS</t>
  </si>
  <si>
    <t>IACA-660317-8W7</t>
  </si>
  <si>
    <t>IBARRA CORONA ABRAHAM</t>
  </si>
  <si>
    <t>AC-054</t>
  </si>
  <si>
    <t>SORR-800109-8B5</t>
  </si>
  <si>
    <t>SOLIS ROSALES JOSE RICARDO</t>
  </si>
  <si>
    <t>AC-048</t>
  </si>
  <si>
    <t>TAGL-740225-TD6</t>
  </si>
  <si>
    <t>TAPIA GALVEZ LUISA HERENA</t>
  </si>
  <si>
    <t>AC-047</t>
  </si>
  <si>
    <t>MOEM-761218-AM9</t>
  </si>
  <si>
    <t>MONTEJANO ESQUIVIAS MARISOL DEL CARMEN</t>
  </si>
  <si>
    <t>AC-044</t>
  </si>
  <si>
    <t>TOTAL ANUAL ==&gt;&gt;</t>
  </si>
  <si>
    <t>SUB TOTAL ACADEMICOS  ==&gt;&gt;</t>
  </si>
  <si>
    <t>PROFESOR TIEMPO COMPLETO LICENCIATURA</t>
  </si>
  <si>
    <t>SIN TITULAR INTERINATO</t>
  </si>
  <si>
    <t>AC-039</t>
  </si>
  <si>
    <t>SIN TITULAR LICENCIATURA</t>
  </si>
  <si>
    <t>AC-034</t>
  </si>
  <si>
    <t>AC-026</t>
  </si>
  <si>
    <t>PROFESOR TIEMPO COMPLETO DOCTORADO</t>
  </si>
  <si>
    <t>VACANTE DOCTORADO</t>
  </si>
  <si>
    <t>AC-031</t>
  </si>
  <si>
    <t>PROFESOR TIEMPO COMPLETO MAESTRIA</t>
  </si>
  <si>
    <t>QUGD-750722-NTA</t>
  </si>
  <si>
    <t>QUINTERO GONZALEZ DIANA</t>
  </si>
  <si>
    <t>AC-021</t>
  </si>
  <si>
    <t>JEFA ASUNTOS ESCOLARES</t>
  </si>
  <si>
    <t>MIMA-840614-UV4</t>
  </si>
  <si>
    <t>MINAKATA MONTAÑO MARIA AMPARO</t>
  </si>
  <si>
    <t>AC-006</t>
  </si>
  <si>
    <t>GUCC-860622-6T5</t>
  </si>
  <si>
    <t>GUTIERREZ CRUZ CYNTHIA DANIELA</t>
  </si>
  <si>
    <t>AC-029</t>
  </si>
  <si>
    <t>GOSA-890912-8W4</t>
  </si>
  <si>
    <t>GOMEZ SEPULVEDA ALMA MONTSERRAT</t>
  </si>
  <si>
    <t>AC-028</t>
  </si>
  <si>
    <t>PISM-850626-MJ7</t>
  </si>
  <si>
    <t>PIMIENTA SOSA MARA ESTHELA</t>
  </si>
  <si>
    <t>AC-025</t>
  </si>
  <si>
    <t>MENS-771001-HG0</t>
  </si>
  <si>
    <t>MEDINA NAVARRO SILVIA</t>
  </si>
  <si>
    <t>AC-038</t>
  </si>
  <si>
    <t>DIRECCION GENERAL</t>
  </si>
  <si>
    <t>DIRECTOR ACADEMICO</t>
  </si>
  <si>
    <t>C</t>
  </si>
  <si>
    <t>ZARA-760319-GPA</t>
  </si>
  <si>
    <t>ZARATE RAMIREZ JOSE ALVARO</t>
  </si>
  <si>
    <t>AC-003</t>
  </si>
  <si>
    <t>ENCARGADO DE DIFUSION</t>
  </si>
  <si>
    <t>LAGD-871117-2B1</t>
  </si>
  <si>
    <t>LAMAS GUTIERREZ DAVID GERADO</t>
  </si>
  <si>
    <t>AC-013</t>
  </si>
  <si>
    <t>VEKL-721110-973</t>
  </si>
  <si>
    <t>VELEZ KAISER LUCRECIA ERNESTINA</t>
  </si>
  <si>
    <t>AC-037</t>
  </si>
  <si>
    <t>SABR-751003-II1</t>
  </si>
  <si>
    <t>SANCHEZ BECERRA RIGOBERTO</t>
  </si>
  <si>
    <t>AC-035</t>
  </si>
  <si>
    <t>ROXA-570101-RW9</t>
  </si>
  <si>
    <t>ROUSSEAU  XAVIER</t>
  </si>
  <si>
    <t>AC-027</t>
  </si>
  <si>
    <t>RAPN-570714-AS2</t>
  </si>
  <si>
    <t>RAMOS PONCE NORA BEATRIZ</t>
  </si>
  <si>
    <t>AC-019</t>
  </si>
  <si>
    <t>PROFESOR ASIGNATURA MESTRIA</t>
  </si>
  <si>
    <t>RARA-610828-B79</t>
  </si>
  <si>
    <t>RAMIREZ RUIZ JOSE ANTONIO</t>
  </si>
  <si>
    <t>AC-043</t>
  </si>
  <si>
    <t>PASG-800918-J76</t>
  </si>
  <si>
    <t>PASCO SALDAÑA GILDA MARIA</t>
  </si>
  <si>
    <t>AC-036</t>
  </si>
  <si>
    <t>PAKR-581105-UY2</t>
  </si>
  <si>
    <t>PAEZ KANO JOSE RUBEN</t>
  </si>
  <si>
    <t>AC-018</t>
  </si>
  <si>
    <t>PACE-820527-2U3</t>
  </si>
  <si>
    <t xml:space="preserve">PADILLA  CASILLAS EDUARDO </t>
  </si>
  <si>
    <t>AC-033</t>
  </si>
  <si>
    <t>LUNA-740506-PC5</t>
  </si>
  <si>
    <t>LUDEVID MARIA NATALIA</t>
  </si>
  <si>
    <t>AC-042</t>
  </si>
  <si>
    <t>LOCM-671226-419</t>
  </si>
  <si>
    <t>LOPEZ MESTAS CAMBEROS MARTHA LORENZA</t>
  </si>
  <si>
    <t>AC-041</t>
  </si>
  <si>
    <t>LIGM-800513-GY0</t>
  </si>
  <si>
    <t>LIMON GALLEGOS MIRIAM</t>
  </si>
  <si>
    <t>AC-032</t>
  </si>
  <si>
    <t>LAME-790518-BR1</t>
  </si>
  <si>
    <t>LARIOS MORONES MARIA ELENA</t>
  </si>
  <si>
    <t>AC-024</t>
  </si>
  <si>
    <t>VACANTE LICENCIATURA</t>
  </si>
  <si>
    <t>AC-023</t>
  </si>
  <si>
    <t>HERG-620912-JQ6</t>
  </si>
  <si>
    <t>HERNANDEZ ROSALES GERARDO</t>
  </si>
  <si>
    <t>AC-030</t>
  </si>
  <si>
    <t>ASISTENTE BILIOTECA</t>
  </si>
  <si>
    <t>VACANTE</t>
  </si>
  <si>
    <t>AC-017</t>
  </si>
  <si>
    <t>GOLM-701109-AP2</t>
  </si>
  <si>
    <t>GONZALEZ LOPEZ MARTHA CECILIA</t>
  </si>
  <si>
    <t>AC-022</t>
  </si>
  <si>
    <t>COORDINADORA DE CARRERA</t>
  </si>
  <si>
    <t>GACG-651108-8I6</t>
  </si>
  <si>
    <t>GARCIA CORREA GISELA</t>
  </si>
  <si>
    <t>AC-004</t>
  </si>
  <si>
    <t>SECRETARIA DIRECCION ACADEMICA</t>
  </si>
  <si>
    <t>FOSC-730731-RT6</t>
  </si>
  <si>
    <t>FLORES SANDOVAL CAROLINA</t>
  </si>
  <si>
    <t>AC-016</t>
  </si>
  <si>
    <t>JEFA DE BIBLIOTECA</t>
  </si>
  <si>
    <t>GULM-760101-SJA</t>
  </si>
  <si>
    <t>GUERRERO LARA MIRNA</t>
  </si>
  <si>
    <t>AC-007</t>
  </si>
  <si>
    <t>HIOT-660830-3G3</t>
  </si>
  <si>
    <t>DE HIJAR ORNELAS TOMAS</t>
  </si>
  <si>
    <t>AC-040</t>
  </si>
  <si>
    <t>Costo hr TRANSPORTE</t>
  </si>
  <si>
    <t>Costo hr DESPENSA</t>
  </si>
  <si>
    <t>AECG-691105-IT6</t>
  </si>
  <si>
    <t>ALEMAN CASTAÑEDA GUSTAVO</t>
  </si>
  <si>
    <t>AC-020</t>
  </si>
  <si>
    <t>SUB TOTAL ADMINISTRATIVOS =&gt;&gt;</t>
  </si>
  <si>
    <t>JEFE JURIDICO</t>
  </si>
  <si>
    <t>AM-005</t>
  </si>
  <si>
    <t>DIRECCION ADMINISTRATIVA</t>
  </si>
  <si>
    <t>VIGILANTE</t>
  </si>
  <si>
    <t>PEGJ-821222-V4A</t>
  </si>
  <si>
    <t>PEREZ GARCIA JAVIER DEMETRIO</t>
  </si>
  <si>
    <t>AM-060</t>
  </si>
  <si>
    <t>ASISTENTE DIRECCION ADMINISTRATIVA</t>
  </si>
  <si>
    <t>PADC-820122-S63</t>
  </si>
  <si>
    <t>PARDO DANIEL CARLO AUGUSTO</t>
  </si>
  <si>
    <t>AM-015</t>
  </si>
  <si>
    <t>CHOFER MENSAJERO</t>
  </si>
  <si>
    <t>VEGJ-831226-UC5</t>
  </si>
  <si>
    <t>VELADOR GARCIA JESUS CARLOS</t>
  </si>
  <si>
    <t>AM-059</t>
  </si>
  <si>
    <t>TOCR-740118-JG2</t>
  </si>
  <si>
    <t>TORAL CHAVEZ RODOLFO</t>
  </si>
  <si>
    <t>AM-065</t>
  </si>
  <si>
    <t>AUXILIAR DE INTENDENCIA</t>
  </si>
  <si>
    <t>VEDJ731020PD8</t>
  </si>
  <si>
    <t>VENTURA DIAZ JOSE</t>
  </si>
  <si>
    <t>AM-064</t>
  </si>
  <si>
    <t>JEFE MATTO E INTENDENCIA</t>
  </si>
  <si>
    <t>ROCN-760724-R84</t>
  </si>
  <si>
    <t>ROBLES COVARRUBIAS NESTOR ISRAEL</t>
  </si>
  <si>
    <t>AM-008</t>
  </si>
  <si>
    <t>ROEN-4702123-V5</t>
  </si>
  <si>
    <t>ROBLEDO ENRIQUE</t>
  </si>
  <si>
    <t>AM-062</t>
  </si>
  <si>
    <t>REGC-670628-4L8</t>
  </si>
  <si>
    <t>REYES GARCIA CATALINA</t>
  </si>
  <si>
    <t>AM-063</t>
  </si>
  <si>
    <t>ENCARGADA RECURSOS HUMANOS</t>
  </si>
  <si>
    <t>NIBI-690427-5G5</t>
  </si>
  <si>
    <t>NIEVES BARBOZA MARIA ISABEL</t>
  </si>
  <si>
    <t>AM-009</t>
  </si>
  <si>
    <t>MEVE-690628-L16</t>
  </si>
  <si>
    <t>MENDEZ VAZQUEZ MARIA ELENA</t>
  </si>
  <si>
    <t>AM-061</t>
  </si>
  <si>
    <t>ENCARGADA SERVICIOS EXTERNOS</t>
  </si>
  <si>
    <t>MAMC-590616-6Z5</t>
  </si>
  <si>
    <t>MAURICIO MALCA CELESTINA ISABEL</t>
  </si>
  <si>
    <t>AM-012</t>
  </si>
  <si>
    <t>DIRECTORA ADMINISTRATIVA</t>
  </si>
  <si>
    <t>EAME-761230-DW1</t>
  </si>
  <si>
    <t>ESPARZA MERCADO ELIZABETH</t>
  </si>
  <si>
    <t>AM-002</t>
  </si>
  <si>
    <t>ENCARGADO RECURSOS MATERIALES</t>
  </si>
  <si>
    <t>DIAM-770415-UN1</t>
  </si>
  <si>
    <t>DIAZ ALDERETE MANUEL ARMANDO</t>
  </si>
  <si>
    <t>AM-011</t>
  </si>
  <si>
    <t>DIRECTORA GENERAL</t>
  </si>
  <si>
    <t>CUSA670505J45</t>
  </si>
  <si>
    <t>CRUZ LARA SILVA ADRIANA</t>
  </si>
  <si>
    <t>AM-001</t>
  </si>
  <si>
    <t>SECRETARIA DIRECCION GENERAL</t>
  </si>
  <si>
    <t>BENL-721127-R10</t>
  </si>
  <si>
    <t>BENAVIDES NUÑEZ LILIANA</t>
  </si>
  <si>
    <t>AM-014</t>
  </si>
  <si>
    <t>ENCARGADA RECURSOS FINANCIEROS</t>
  </si>
  <si>
    <t>AAPM-760831-KQ8</t>
  </si>
  <si>
    <t>ALVAREZ PEREZ MARCELA</t>
  </si>
  <si>
    <t>AM-010</t>
  </si>
  <si>
    <t>IMPACTO AL
SALARIO
1611</t>
  </si>
  <si>
    <t>Pensiones 2015</t>
  </si>
  <si>
    <t xml:space="preserve">TOTAL
ANUAL </t>
  </si>
  <si>
    <t>TOTAL
ANUAL</t>
  </si>
  <si>
    <t>PASAJES
1713</t>
  </si>
  <si>
    <t>DESPENSA
1712</t>
  </si>
  <si>
    <t>CUOTAS A SEDAR       1432</t>
  </si>
  <si>
    <t>CUOTAS 
AL IMSS
1411</t>
  </si>
  <si>
    <t>CUOTAS PARA
LA VIVIENDA
1421</t>
  </si>
  <si>
    <t>CUOTAS A
PENSIONES
1431</t>
  </si>
  <si>
    <t>ESTIMULO DEL DIA SERVIDOR PUBLICO         1715</t>
  </si>
  <si>
    <t>AGUINALDO
1322</t>
  </si>
  <si>
    <t>PRIMA
VACACIONAL
1321</t>
  </si>
  <si>
    <t>QUINQUENIO
1311</t>
  </si>
  <si>
    <t>SUELDO
1131</t>
  </si>
  <si>
    <t>ADSCRIPCIÓN</t>
  </si>
  <si>
    <t>ZONA
ECONÓMICA</t>
  </si>
  <si>
    <t>CATEGORÍA</t>
  </si>
  <si>
    <t>CATEG</t>
  </si>
  <si>
    <t>JOR</t>
  </si>
  <si>
    <t>NIVEL</t>
  </si>
  <si>
    <t>dias de quinquenio</t>
  </si>
  <si>
    <t>año de ingreso</t>
  </si>
  <si>
    <t>F-ING</t>
  </si>
  <si>
    <t>R.F.C.</t>
  </si>
  <si>
    <t>NOMBRE DEL BENEFICIARIO</t>
  </si>
  <si>
    <t>PLAZA</t>
  </si>
  <si>
    <t>UEG</t>
  </si>
  <si>
    <t>UP</t>
  </si>
  <si>
    <t>No. Cons</t>
  </si>
  <si>
    <t>COSTO ANUAL</t>
  </si>
  <si>
    <t>total</t>
  </si>
  <si>
    <t>adicional</t>
  </si>
  <si>
    <t>vivienda</t>
  </si>
  <si>
    <t>regular</t>
  </si>
  <si>
    <t>trabajador</t>
  </si>
  <si>
    <t>Factor IMSS</t>
  </si>
  <si>
    <t>COSTO MENSUAL</t>
  </si>
  <si>
    <t>NOMBRE DEL ORGANISMO:</t>
  </si>
  <si>
    <t>PLANTILLA DE PERSONAL PRESUPUESTO 2019</t>
  </si>
  <si>
    <t>ESCUELA DE CONSERVACIÓN Y RESTAURACIÓN DE OCCIDENTE</t>
  </si>
  <si>
    <t>UR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</si>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</sst>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[Red]\-#,##0.00\ "/>
    <numFmt numFmtId="168" formatCode="&quot;$&quot;#,##0.00"/>
    <numFmt numFmtId="169" formatCode="_(* #,##0.00_);_(* \(#,##0.00\);_(* &quot;-&quot;??_);_(@_)"/>
    <numFmt numFmtId="170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b/>
      <sz val="10"/>
      <color theme="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3" applyFont="1" applyAlignment="1">
      <alignment vertical="center"/>
    </xf>
    <xf numFmtId="0" fontId="3" fillId="2" borderId="0" xfId="4" applyFont="1" applyFill="1"/>
    <xf numFmtId="4" fontId="3" fillId="0" borderId="0" xfId="3" applyNumberFormat="1" applyFont="1" applyAlignment="1">
      <alignment horizontal="center" vertical="center"/>
    </xf>
    <xf numFmtId="4" fontId="3" fillId="3" borderId="0" xfId="3" applyNumberFormat="1" applyFont="1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4" borderId="0" xfId="3" applyNumberFormat="1" applyFont="1" applyFill="1" applyAlignment="1">
      <alignment horizontal="center" vertical="center"/>
    </xf>
    <xf numFmtId="15" fontId="3" fillId="0" borderId="0" xfId="3" applyNumberFormat="1" applyFont="1" applyAlignment="1">
      <alignment horizontal="center" vertical="center"/>
    </xf>
    <xf numFmtId="4" fontId="3" fillId="0" borderId="0" xfId="3" applyNumberFormat="1" applyFont="1" applyAlignment="1">
      <alignment vertical="center"/>
    </xf>
    <xf numFmtId="0" fontId="4" fillId="0" borderId="0" xfId="3" applyFont="1" applyAlignment="1">
      <alignment horizontal="center" vertical="center"/>
    </xf>
    <xf numFmtId="15" fontId="4" fillId="0" borderId="0" xfId="3" applyNumberFormat="1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4" fontId="4" fillId="0" borderId="0" xfId="3" applyNumberFormat="1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4" borderId="0" xfId="3" applyNumberFormat="1" applyFont="1" applyFill="1" applyAlignment="1">
      <alignment horizontal="center" vertical="center"/>
    </xf>
    <xf numFmtId="0" fontId="3" fillId="0" borderId="0" xfId="3" applyFont="1" applyAlignment="1">
      <alignment horizontal="left" vertical="center"/>
    </xf>
    <xf numFmtId="4" fontId="3" fillId="0" borderId="0" xfId="3" applyNumberFormat="1" applyFont="1" applyAlignment="1">
      <alignment horizontal="left" vertical="center"/>
    </xf>
    <xf numFmtId="0" fontId="3" fillId="4" borderId="0" xfId="3" applyNumberFormat="1" applyFont="1" applyFill="1" applyAlignment="1">
      <alignment horizontal="left" vertical="center"/>
    </xf>
    <xf numFmtId="15" fontId="3" fillId="0" borderId="0" xfId="3" applyNumberFormat="1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15" fontId="5" fillId="0" borderId="0" xfId="3" applyNumberFormat="1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4" fontId="5" fillId="0" borderId="0" xfId="3" applyNumberFormat="1" applyFont="1" applyAlignment="1">
      <alignment horizontal="left" vertical="center"/>
    </xf>
    <xf numFmtId="0" fontId="5" fillId="4" borderId="0" xfId="3" applyNumberFormat="1" applyFont="1" applyFill="1" applyAlignment="1">
      <alignment vertical="center"/>
    </xf>
    <xf numFmtId="0" fontId="5" fillId="0" borderId="0" xfId="3" applyFont="1" applyAlignment="1">
      <alignment vertical="center"/>
    </xf>
    <xf numFmtId="4" fontId="3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4" fontId="8" fillId="0" borderId="0" xfId="3" applyNumberFormat="1" applyFont="1" applyAlignment="1">
      <alignment horizontal="left" vertical="center"/>
    </xf>
    <xf numFmtId="4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164" fontId="6" fillId="5" borderId="0" xfId="0" applyNumberFormat="1" applyFont="1" applyFill="1" applyAlignment="1"/>
    <xf numFmtId="164" fontId="6" fillId="5" borderId="0" xfId="0" applyNumberFormat="1" applyFont="1" applyFill="1" applyAlignment="1">
      <alignment horizontal="center"/>
    </xf>
    <xf numFmtId="0" fontId="7" fillId="0" borderId="0" xfId="3" applyFont="1" applyFill="1" applyAlignment="1">
      <alignment horizontal="left" vertical="center"/>
    </xf>
    <xf numFmtId="0" fontId="3" fillId="2" borderId="0" xfId="3" applyFont="1" applyFill="1" applyAlignment="1">
      <alignment vertical="center"/>
    </xf>
    <xf numFmtId="167" fontId="6" fillId="5" borderId="0" xfId="0" applyNumberFormat="1" applyFont="1" applyFill="1" applyAlignment="1"/>
    <xf numFmtId="167" fontId="6" fillId="5" borderId="0" xfId="0" applyNumberFormat="1" applyFont="1" applyFill="1" applyAlignment="1">
      <alignment horizontal="center"/>
    </xf>
    <xf numFmtId="167" fontId="3" fillId="0" borderId="0" xfId="3" applyNumberFormat="1" applyFont="1" applyAlignment="1">
      <alignment vertical="center"/>
    </xf>
    <xf numFmtId="0" fontId="7" fillId="0" borderId="0" xfId="3" quotePrefix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4" fontId="10" fillId="0" borderId="0" xfId="3" applyNumberFormat="1" applyFont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3" fillId="4" borderId="0" xfId="3" applyNumberFormat="1" applyFont="1" applyFill="1" applyBorder="1" applyAlignment="1">
      <alignment horizontal="center" vertical="center"/>
    </xf>
    <xf numFmtId="15" fontId="3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4" fontId="3" fillId="0" borderId="0" xfId="3" applyNumberFormat="1" applyFont="1" applyBorder="1" applyAlignment="1">
      <alignment horizontal="left" vertical="center"/>
    </xf>
    <xf numFmtId="167" fontId="3" fillId="6" borderId="0" xfId="3" applyNumberFormat="1" applyFont="1" applyFill="1" applyAlignment="1">
      <alignment vertical="center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Border="1" applyAlignment="1">
      <alignment vertical="center"/>
    </xf>
    <xf numFmtId="4" fontId="10" fillId="0" borderId="0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1" fontId="8" fillId="0" borderId="0" xfId="3" applyNumberFormat="1" applyFont="1" applyBorder="1" applyAlignment="1">
      <alignment horizontal="center" vertical="center"/>
    </xf>
    <xf numFmtId="166" fontId="3" fillId="0" borderId="0" xfId="5" applyFont="1" applyFill="1" applyAlignment="1">
      <alignment horizontal="center" vertical="center"/>
    </xf>
    <xf numFmtId="15" fontId="3" fillId="0" borderId="0" xfId="3" applyNumberFormat="1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4" fontId="11" fillId="0" borderId="0" xfId="3" applyNumberFormat="1" applyFont="1" applyFill="1" applyAlignment="1">
      <alignment vertical="center"/>
    </xf>
    <xf numFmtId="4" fontId="10" fillId="0" borderId="0" xfId="3" applyNumberFormat="1" applyFont="1" applyFill="1" applyAlignment="1">
      <alignment vertical="center"/>
    </xf>
    <xf numFmtId="1" fontId="8" fillId="0" borderId="0" xfId="3" applyNumberFormat="1" applyFont="1" applyAlignment="1">
      <alignment horizontal="center" vertical="center"/>
    </xf>
    <xf numFmtId="165" fontId="12" fillId="0" borderId="0" xfId="2" applyNumberFormat="1" applyFont="1" applyFill="1" applyAlignment="1">
      <alignment vertical="center"/>
    </xf>
    <xf numFmtId="165" fontId="12" fillId="0" borderId="0" xfId="2" applyFont="1" applyFill="1" applyAlignment="1">
      <alignment vertical="center"/>
    </xf>
    <xf numFmtId="166" fontId="3" fillId="0" borderId="0" xfId="1" applyFont="1" applyAlignment="1">
      <alignment vertical="center"/>
    </xf>
    <xf numFmtId="4" fontId="3" fillId="0" borderId="0" xfId="3" applyNumberFormat="1" applyFont="1" applyFill="1" applyBorder="1" applyAlignment="1">
      <alignment vertical="center"/>
    </xf>
    <xf numFmtId="165" fontId="13" fillId="0" borderId="0" xfId="2" applyFont="1" applyFill="1" applyAlignment="1">
      <alignment vertical="center"/>
    </xf>
    <xf numFmtId="4" fontId="14" fillId="0" borderId="1" xfId="3" applyNumberFormat="1" applyFont="1" applyFill="1" applyBorder="1" applyAlignment="1">
      <alignment vertical="center"/>
    </xf>
    <xf numFmtId="4" fontId="14" fillId="7" borderId="1" xfId="3" applyNumberFormat="1" applyFont="1" applyFill="1" applyBorder="1" applyAlignment="1">
      <alignment vertical="center"/>
    </xf>
    <xf numFmtId="0" fontId="14" fillId="7" borderId="1" xfId="3" applyFont="1" applyFill="1" applyBorder="1" applyAlignment="1">
      <alignment horizontal="right" vertical="center"/>
    </xf>
    <xf numFmtId="0" fontId="3" fillId="7" borderId="2" xfId="3" applyFont="1" applyFill="1" applyBorder="1" applyAlignment="1">
      <alignment horizontal="center" vertical="center"/>
    </xf>
    <xf numFmtId="0" fontId="3" fillId="7" borderId="3" xfId="3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left" vertical="center"/>
    </xf>
    <xf numFmtId="168" fontId="3" fillId="0" borderId="0" xfId="3" applyNumberFormat="1" applyFont="1" applyFill="1" applyAlignment="1">
      <alignment vertical="center"/>
    </xf>
    <xf numFmtId="167" fontId="8" fillId="3" borderId="1" xfId="3" applyNumberFormat="1" applyFont="1" applyFill="1" applyBorder="1" applyAlignment="1">
      <alignment vertical="center"/>
    </xf>
    <xf numFmtId="4" fontId="8" fillId="0" borderId="0" xfId="3" applyNumberFormat="1" applyFont="1" applyFill="1" applyAlignment="1">
      <alignment vertical="center"/>
    </xf>
    <xf numFmtId="0" fontId="8" fillId="0" borderId="0" xfId="4" applyFont="1" applyFill="1"/>
    <xf numFmtId="167" fontId="8" fillId="0" borderId="1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4" fontId="8" fillId="0" borderId="0" xfId="3" applyNumberFormat="1" applyFont="1" applyFill="1" applyBorder="1" applyAlignment="1">
      <alignment vertical="center"/>
    </xf>
    <xf numFmtId="0" fontId="8" fillId="2" borderId="0" xfId="4" applyFont="1" applyFill="1"/>
    <xf numFmtId="167" fontId="8" fillId="0" borderId="4" xfId="3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vertical="center"/>
    </xf>
    <xf numFmtId="167" fontId="3" fillId="0" borderId="4" xfId="3" applyNumberFormat="1" applyFont="1" applyFill="1" applyBorder="1" applyAlignment="1">
      <alignment vertical="center"/>
    </xf>
    <xf numFmtId="167" fontId="3" fillId="2" borderId="4" xfId="3" applyNumberFormat="1" applyFont="1" applyFill="1" applyBorder="1" applyAlignment="1">
      <alignment vertical="center"/>
    </xf>
    <xf numFmtId="4" fontId="3" fillId="0" borderId="4" xfId="3" applyNumberFormat="1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4" borderId="1" xfId="3" quotePrefix="1" applyNumberFormat="1" applyFont="1" applyFill="1" applyBorder="1" applyAlignment="1">
      <alignment horizontal="center" vertical="center"/>
    </xf>
    <xf numFmtId="15" fontId="3" fillId="2" borderId="1" xfId="3" quotePrefix="1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167" fontId="3" fillId="3" borderId="1" xfId="3" applyNumberFormat="1" applyFont="1" applyFill="1" applyBorder="1" applyAlignment="1">
      <alignment vertical="center"/>
    </xf>
    <xf numFmtId="167" fontId="3" fillId="2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>
      <alignment horizontal="center" vertical="center"/>
    </xf>
    <xf numFmtId="4" fontId="3" fillId="2" borderId="0" xfId="3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0" xfId="3" applyNumberFormat="1" applyFont="1" applyFill="1" applyAlignment="1">
      <alignment vertical="center"/>
    </xf>
    <xf numFmtId="4" fontId="3" fillId="2" borderId="4" xfId="3" applyNumberFormat="1" applyFont="1" applyFill="1" applyBorder="1" applyAlignment="1">
      <alignment vertical="center"/>
    </xf>
    <xf numFmtId="0" fontId="3" fillId="2" borderId="1" xfId="3" quotePrefix="1" applyNumberFormat="1" applyFont="1" applyFill="1" applyBorder="1" applyAlignment="1">
      <alignment horizontal="center" vertical="center"/>
    </xf>
    <xf numFmtId="167" fontId="3" fillId="0" borderId="6" xfId="3" applyNumberFormat="1" applyFont="1" applyFill="1" applyBorder="1" applyAlignment="1">
      <alignment vertical="center"/>
    </xf>
    <xf numFmtId="4" fontId="3" fillId="0" borderId="6" xfId="3" applyNumberFormat="1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4" borderId="6" xfId="3" quotePrefix="1" applyNumberFormat="1" applyFont="1" applyFill="1" applyBorder="1" applyAlignment="1">
      <alignment horizontal="center" vertical="center"/>
    </xf>
    <xf numFmtId="15" fontId="3" fillId="2" borderId="6" xfId="3" quotePrefix="1" applyNumberFormat="1" applyFont="1" applyFill="1" applyBorder="1" applyAlignment="1">
      <alignment horizontal="center" vertical="center"/>
    </xf>
    <xf numFmtId="167" fontId="3" fillId="0" borderId="10" xfId="3" applyNumberFormat="1" applyFont="1" applyFill="1" applyBorder="1" applyAlignment="1">
      <alignment vertical="center"/>
    </xf>
    <xf numFmtId="4" fontId="3" fillId="0" borderId="10" xfId="3" applyNumberFormat="1" applyFont="1" applyFill="1" applyBorder="1" applyAlignment="1">
      <alignment vertical="center"/>
    </xf>
    <xf numFmtId="0" fontId="3" fillId="2" borderId="10" xfId="3" applyFont="1" applyFill="1" applyBorder="1" applyAlignment="1">
      <alignment vertical="center"/>
    </xf>
    <xf numFmtId="0" fontId="3" fillId="2" borderId="10" xfId="3" applyFont="1" applyFill="1" applyBorder="1" applyAlignment="1">
      <alignment horizontal="center" vertical="center"/>
    </xf>
    <xf numFmtId="0" fontId="3" fillId="4" borderId="10" xfId="3" quotePrefix="1" applyNumberFormat="1" applyFont="1" applyFill="1" applyBorder="1" applyAlignment="1">
      <alignment horizontal="center" vertical="center"/>
    </xf>
    <xf numFmtId="15" fontId="3" fillId="2" borderId="10" xfId="3" quotePrefix="1" applyNumberFormat="1" applyFont="1" applyFill="1" applyBorder="1" applyAlignment="1">
      <alignment horizontal="center" vertical="center"/>
    </xf>
    <xf numFmtId="0" fontId="3" fillId="2" borderId="6" xfId="3" applyNumberFormat="1" applyFont="1" applyFill="1" applyBorder="1" applyAlignment="1">
      <alignment horizontal="center" vertical="center"/>
    </xf>
    <xf numFmtId="0" fontId="3" fillId="2" borderId="13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0" fontId="3" fillId="2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>
      <alignment vertical="center"/>
    </xf>
    <xf numFmtId="4" fontId="6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15" fontId="3" fillId="2" borderId="0" xfId="3" applyNumberFormat="1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" vertical="center"/>
    </xf>
    <xf numFmtId="0" fontId="3" fillId="8" borderId="0" xfId="3" applyNumberFormat="1" applyFont="1" applyFill="1" applyBorder="1" applyAlignment="1">
      <alignment horizontal="center" vertical="center"/>
    </xf>
    <xf numFmtId="0" fontId="15" fillId="0" borderId="0" xfId="6" applyFont="1"/>
    <xf numFmtId="0" fontId="15" fillId="4" borderId="0" xfId="6" applyNumberFormat="1" applyFont="1" applyFill="1"/>
    <xf numFmtId="0" fontId="3" fillId="2" borderId="0" xfId="3" applyNumberFormat="1" applyFont="1" applyFill="1" applyBorder="1" applyAlignment="1">
      <alignment horizontal="left" vertical="center"/>
    </xf>
    <xf numFmtId="0" fontId="15" fillId="0" borderId="0" xfId="6" applyFont="1" applyBorder="1"/>
    <xf numFmtId="0" fontId="15" fillId="4" borderId="3" xfId="6" applyNumberFormat="1" applyFont="1" applyFill="1" applyBorder="1"/>
    <xf numFmtId="0" fontId="15" fillId="4" borderId="1" xfId="6" applyNumberFormat="1" applyFont="1" applyFill="1" applyBorder="1"/>
    <xf numFmtId="0" fontId="3" fillId="0" borderId="0" xfId="3" applyNumberFormat="1" applyFont="1" applyFill="1" applyBorder="1" applyAlignment="1">
      <alignment horizontal="left" vertical="center"/>
    </xf>
    <xf numFmtId="167" fontId="3" fillId="0" borderId="0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/>
    </xf>
    <xf numFmtId="10" fontId="8" fillId="0" borderId="0" xfId="7" applyNumberFormat="1" applyFont="1" applyFill="1" applyAlignment="1">
      <alignment vertical="center"/>
    </xf>
    <xf numFmtId="167" fontId="8" fillId="0" borderId="0" xfId="3" applyNumberFormat="1" applyFont="1" applyFill="1" applyAlignment="1">
      <alignment vertical="center"/>
    </xf>
    <xf numFmtId="4" fontId="3" fillId="0" borderId="0" xfId="4" applyNumberFormat="1" applyFont="1" applyFill="1"/>
    <xf numFmtId="0" fontId="3" fillId="4" borderId="1" xfId="3" applyNumberFormat="1" applyFont="1" applyFill="1" applyBorder="1" applyAlignment="1">
      <alignment horizontal="center" vertical="center"/>
    </xf>
    <xf numFmtId="15" fontId="3" fillId="2" borderId="3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/>
    </xf>
    <xf numFmtId="15" fontId="3" fillId="0" borderId="3" xfId="3" applyNumberFormat="1" applyFont="1" applyFill="1" applyBorder="1" applyAlignment="1">
      <alignment horizontal="center" vertical="center"/>
    </xf>
    <xf numFmtId="10" fontId="3" fillId="0" borderId="0" xfId="7" applyNumberFormat="1" applyFont="1" applyFill="1" applyAlignment="1">
      <alignment vertical="center"/>
    </xf>
    <xf numFmtId="0" fontId="3" fillId="0" borderId="0" xfId="4" applyFont="1" applyFill="1"/>
    <xf numFmtId="167" fontId="3" fillId="3" borderId="4" xfId="3" applyNumberFormat="1" applyFont="1" applyFill="1" applyBorder="1" applyAlignment="1">
      <alignment vertical="center"/>
    </xf>
    <xf numFmtId="4" fontId="3" fillId="2" borderId="0" xfId="4" applyNumberFormat="1" applyFont="1" applyFill="1"/>
    <xf numFmtId="0" fontId="3" fillId="0" borderId="1" xfId="3" applyFont="1" applyFill="1" applyBorder="1" applyAlignment="1">
      <alignment vertical="center" wrapText="1"/>
    </xf>
    <xf numFmtId="167" fontId="3" fillId="0" borderId="0" xfId="3" applyNumberFormat="1" applyFont="1" applyFill="1" applyAlignment="1">
      <alignment vertical="center"/>
    </xf>
    <xf numFmtId="168" fontId="6" fillId="3" borderId="4" xfId="3" applyNumberFormat="1" applyFont="1" applyFill="1" applyBorder="1" applyAlignment="1">
      <alignment horizontal="center" vertical="center"/>
    </xf>
    <xf numFmtId="168" fontId="6" fillId="4" borderId="4" xfId="3" applyNumberFormat="1" applyFont="1" applyFill="1" applyBorder="1" applyAlignment="1">
      <alignment horizontal="center" vertical="center"/>
    </xf>
    <xf numFmtId="10" fontId="3" fillId="3" borderId="0" xfId="7" applyNumberFormat="1" applyFont="1" applyFill="1" applyAlignment="1">
      <alignment vertical="center"/>
    </xf>
    <xf numFmtId="10" fontId="3" fillId="4" borderId="0" xfId="7" applyNumberFormat="1" applyFont="1" applyFill="1" applyAlignment="1">
      <alignment vertical="center"/>
    </xf>
    <xf numFmtId="167" fontId="3" fillId="0" borderId="11" xfId="3" applyNumberFormat="1" applyFont="1" applyFill="1" applyBorder="1" applyAlignment="1">
      <alignment vertical="center"/>
    </xf>
    <xf numFmtId="4" fontId="3" fillId="0" borderId="11" xfId="3" applyNumberFormat="1" applyFont="1" applyFill="1" applyBorder="1" applyAlignment="1">
      <alignment vertical="center"/>
    </xf>
    <xf numFmtId="4" fontId="3" fillId="2" borderId="10" xfId="3" applyNumberFormat="1" applyFont="1" applyFill="1" applyBorder="1" applyAlignment="1">
      <alignment vertical="center"/>
    </xf>
    <xf numFmtId="0" fontId="3" fillId="4" borderId="10" xfId="3" applyNumberFormat="1" applyFont="1" applyFill="1" applyBorder="1" applyAlignment="1">
      <alignment horizontal="center" vertical="center"/>
    </xf>
    <xf numFmtId="15" fontId="3" fillId="2" borderId="10" xfId="3" applyNumberFormat="1" applyFont="1" applyFill="1" applyBorder="1" applyAlignment="1">
      <alignment horizontal="center" vertical="center"/>
    </xf>
    <xf numFmtId="0" fontId="3" fillId="0" borderId="10" xfId="3" applyNumberFormat="1" applyFont="1" applyFill="1" applyBorder="1" applyAlignment="1">
      <alignment horizontal="center" vertical="center"/>
    </xf>
    <xf numFmtId="0" fontId="3" fillId="9" borderId="0" xfId="3" applyFont="1" applyFill="1" applyAlignment="1">
      <alignment vertical="center"/>
    </xf>
    <xf numFmtId="167" fontId="3" fillId="0" borderId="0" xfId="3" applyNumberFormat="1" applyFont="1" applyFill="1" applyBorder="1" applyAlignment="1">
      <alignment vertical="center"/>
    </xf>
    <xf numFmtId="0" fontId="14" fillId="7" borderId="15" xfId="3" applyFont="1" applyFill="1" applyBorder="1" applyAlignment="1">
      <alignment horizontal="right" vertical="center"/>
    </xf>
    <xf numFmtId="0" fontId="3" fillId="7" borderId="3" xfId="3" applyFont="1" applyFill="1" applyBorder="1" applyAlignment="1">
      <alignment horizontal="center" vertical="center"/>
    </xf>
    <xf numFmtId="4" fontId="14" fillId="2" borderId="0" xfId="3" applyNumberFormat="1" applyFont="1" applyFill="1" applyBorder="1" applyAlignment="1">
      <alignment vertical="center"/>
    </xf>
    <xf numFmtId="0" fontId="14" fillId="4" borderId="0" xfId="3" applyNumberFormat="1" applyFont="1" applyFill="1" applyBorder="1" applyAlignment="1">
      <alignment vertical="center"/>
    </xf>
    <xf numFmtId="15" fontId="3" fillId="0" borderId="1" xfId="3" applyNumberFormat="1" applyFont="1" applyFill="1" applyBorder="1" applyAlignment="1">
      <alignment horizontal="center" vertical="center"/>
    </xf>
    <xf numFmtId="169" fontId="3" fillId="0" borderId="0" xfId="8" applyFont="1" applyFill="1" applyAlignment="1">
      <alignment vertical="center"/>
    </xf>
    <xf numFmtId="0" fontId="3" fillId="0" borderId="4" xfId="3" applyFont="1" applyFill="1" applyBorder="1" applyAlignment="1">
      <alignment vertical="center"/>
    </xf>
    <xf numFmtId="0" fontId="3" fillId="0" borderId="4" xfId="3" applyFont="1" applyFill="1" applyBorder="1" applyAlignment="1">
      <alignment horizontal="center" vertical="center"/>
    </xf>
    <xf numFmtId="0" fontId="3" fillId="4" borderId="4" xfId="3" applyNumberFormat="1" applyFont="1" applyFill="1" applyBorder="1" applyAlignment="1">
      <alignment horizontal="center" vertical="center"/>
    </xf>
    <xf numFmtId="15" fontId="3" fillId="0" borderId="4" xfId="3" applyNumberFormat="1" applyFont="1" applyFill="1" applyBorder="1" applyAlignment="1">
      <alignment horizontal="center" vertical="center"/>
    </xf>
    <xf numFmtId="17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4" fontId="6" fillId="0" borderId="0" xfId="3" applyNumberFormat="1" applyFont="1" applyFill="1" applyBorder="1" applyAlignment="1">
      <alignment horizontal="center" vertical="center" wrapText="1"/>
    </xf>
    <xf numFmtId="0" fontId="16" fillId="10" borderId="1" xfId="3" applyNumberFormat="1" applyFont="1" applyFill="1" applyBorder="1" applyAlignment="1">
      <alignment horizontal="center" vertical="center" wrapText="1"/>
    </xf>
    <xf numFmtId="0" fontId="6" fillId="11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16" xfId="3" applyFont="1" applyFill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vertical="center"/>
    </xf>
    <xf numFmtId="0" fontId="3" fillId="0" borderId="0" xfId="4" applyFont="1" applyBorder="1" applyAlignment="1">
      <alignment horizontal="left" vertical="center"/>
    </xf>
    <xf numFmtId="4" fontId="3" fillId="0" borderId="13" xfId="3" applyNumberFormat="1" applyFont="1" applyFill="1" applyBorder="1" applyAlignment="1">
      <alignment vertical="center"/>
    </xf>
    <xf numFmtId="4" fontId="3" fillId="0" borderId="13" xfId="3" applyNumberFormat="1" applyFont="1" applyFill="1" applyBorder="1" applyAlignment="1">
      <alignment horizontal="center" vertical="center"/>
    </xf>
    <xf numFmtId="167" fontId="3" fillId="0" borderId="13" xfId="3" applyNumberFormat="1" applyFont="1" applyFill="1" applyBorder="1" applyAlignment="1">
      <alignment vertical="center"/>
    </xf>
    <xf numFmtId="167" fontId="3" fillId="0" borderId="14" xfId="3" applyNumberFormat="1" applyFont="1" applyFill="1" applyBorder="1" applyAlignment="1">
      <alignment vertical="center"/>
    </xf>
    <xf numFmtId="4" fontId="3" fillId="0" borderId="10" xfId="3" applyNumberFormat="1" applyFont="1" applyFill="1" applyBorder="1" applyAlignment="1">
      <alignment horizontal="center" vertical="center"/>
    </xf>
    <xf numFmtId="167" fontId="3" fillId="0" borderId="9" xfId="3" applyNumberFormat="1" applyFont="1" applyFill="1" applyBorder="1" applyAlignment="1">
      <alignment vertical="center"/>
    </xf>
    <xf numFmtId="4" fontId="3" fillId="0" borderId="6" xfId="3" applyNumberFormat="1" applyFont="1" applyFill="1" applyBorder="1" applyAlignment="1">
      <alignment horizontal="center" vertical="center"/>
    </xf>
    <xf numFmtId="167" fontId="3" fillId="0" borderId="7" xfId="3" applyNumberFormat="1" applyFont="1" applyFill="1" applyBorder="1" applyAlignment="1">
      <alignment vertical="center"/>
    </xf>
    <xf numFmtId="167" fontId="3" fillId="0" borderId="5" xfId="3" applyNumberFormat="1" applyFont="1" applyFill="1" applyBorder="1" applyAlignment="1">
      <alignment vertical="center"/>
    </xf>
    <xf numFmtId="4" fontId="3" fillId="0" borderId="4" xfId="3" applyNumberFormat="1" applyFont="1" applyFill="1" applyBorder="1" applyAlignment="1">
      <alignment horizontal="center" vertical="center"/>
    </xf>
    <xf numFmtId="15" fontId="3" fillId="0" borderId="1" xfId="3" quotePrefix="1" applyNumberFormat="1" applyFont="1" applyFill="1" applyBorder="1" applyAlignment="1">
      <alignment horizontal="center" vertical="center"/>
    </xf>
    <xf numFmtId="0" fontId="3" fillId="0" borderId="1" xfId="3" quotePrefix="1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4" fontId="7" fillId="0" borderId="0" xfId="3" applyNumberFormat="1" applyFont="1" applyAlignment="1">
      <alignment vertical="center"/>
    </xf>
    <xf numFmtId="0" fontId="20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15" fontId="7" fillId="0" borderId="0" xfId="3" applyNumberFormat="1" applyFont="1" applyAlignment="1">
      <alignment horizontal="center" vertical="center"/>
    </xf>
    <xf numFmtId="0" fontId="7" fillId="4" borderId="0" xfId="3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6" fillId="12" borderId="1" xfId="3" applyNumberFormat="1" applyFont="1" applyFill="1" applyBorder="1" applyAlignment="1">
      <alignment horizontal="center" vertical="center" wrapText="1"/>
    </xf>
    <xf numFmtId="15" fontId="6" fillId="12" borderId="1" xfId="3" applyNumberFormat="1" applyFont="1" applyFill="1" applyBorder="1" applyAlignment="1">
      <alignment horizontal="center" vertical="center" wrapText="1"/>
    </xf>
    <xf numFmtId="4" fontId="6" fillId="12" borderId="1" xfId="3" applyNumberFormat="1" applyFont="1" applyFill="1" applyBorder="1" applyAlignment="1">
      <alignment horizontal="center" vertical="center" wrapText="1"/>
    </xf>
    <xf numFmtId="4" fontId="12" fillId="12" borderId="1" xfId="3" applyNumberFormat="1" applyFont="1" applyFill="1" applyBorder="1" applyAlignment="1">
      <alignment horizontal="center" vertical="center" wrapText="1"/>
    </xf>
    <xf numFmtId="0" fontId="6" fillId="13" borderId="3" xfId="3" applyFont="1" applyFill="1" applyBorder="1" applyAlignment="1">
      <alignment horizontal="center" vertical="center"/>
    </xf>
    <xf numFmtId="0" fontId="6" fillId="13" borderId="2" xfId="3" applyFont="1" applyFill="1" applyBorder="1" applyAlignment="1">
      <alignment horizontal="center" vertical="center"/>
    </xf>
    <xf numFmtId="0" fontId="6" fillId="13" borderId="15" xfId="3" applyFont="1" applyFill="1" applyBorder="1" applyAlignment="1">
      <alignment horizontal="center" vertical="center"/>
    </xf>
    <xf numFmtId="4" fontId="6" fillId="13" borderId="3" xfId="3" applyNumberFormat="1" applyFont="1" applyFill="1" applyBorder="1" applyAlignment="1">
      <alignment horizontal="center" vertical="center"/>
    </xf>
    <xf numFmtId="4" fontId="6" fillId="13" borderId="2" xfId="3" applyNumberFormat="1" applyFont="1" applyFill="1" applyBorder="1" applyAlignment="1">
      <alignment horizontal="center" vertical="center"/>
    </xf>
    <xf numFmtId="4" fontId="6" fillId="13" borderId="15" xfId="3" applyNumberFormat="1" applyFont="1" applyFill="1" applyBorder="1" applyAlignment="1">
      <alignment horizontal="center" vertical="center"/>
    </xf>
    <xf numFmtId="0" fontId="6" fillId="13" borderId="3" xfId="3" applyFont="1" applyFill="1" applyBorder="1" applyAlignment="1">
      <alignment horizontal="center" vertical="center"/>
    </xf>
    <xf numFmtId="0" fontId="6" fillId="13" borderId="2" xfId="3" applyFont="1" applyFill="1" applyBorder="1" applyAlignment="1">
      <alignment horizontal="center" vertical="center"/>
    </xf>
    <xf numFmtId="0" fontId="6" fillId="13" borderId="15" xfId="3" applyFont="1" applyFill="1" applyBorder="1" applyAlignment="1">
      <alignment horizontal="center" vertical="center"/>
    </xf>
    <xf numFmtId="0" fontId="14" fillId="7" borderId="3" xfId="3" applyFont="1" applyFill="1" applyBorder="1" applyAlignment="1">
      <alignment horizontal="center" vertical="center"/>
    </xf>
    <xf numFmtId="0" fontId="14" fillId="7" borderId="15" xfId="3" applyFont="1" applyFill="1" applyBorder="1" applyAlignment="1">
      <alignment horizontal="center" vertical="center"/>
    </xf>
    <xf numFmtId="0" fontId="3" fillId="2" borderId="11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4" fontId="6" fillId="13" borderId="3" xfId="3" applyNumberFormat="1" applyFont="1" applyFill="1" applyBorder="1" applyAlignment="1">
      <alignment horizontal="center" vertical="center"/>
    </xf>
    <xf numFmtId="4" fontId="6" fillId="13" borderId="2" xfId="3" applyNumberFormat="1" applyFont="1" applyFill="1" applyBorder="1" applyAlignment="1">
      <alignment horizontal="center" vertical="center"/>
    </xf>
    <xf numFmtId="4" fontId="6" fillId="13" borderId="15" xfId="3" applyNumberFormat="1" applyFont="1" applyFill="1" applyBorder="1" applyAlignment="1">
      <alignment horizontal="center" vertical="center"/>
    </xf>
  </cellXfs>
  <cellStyles count="9">
    <cellStyle name="Millares" xfId="1" builtinId="3"/>
    <cellStyle name="Millares 2 2" xfId="5"/>
    <cellStyle name="Millares_~9885111" xfId="8"/>
    <cellStyle name="Moneda" xfId="2" builtinId="4"/>
    <cellStyle name="Normal" xfId="0" builtinId="0"/>
    <cellStyle name="Normal 3" xfId="4"/>
    <cellStyle name="Normal 6" xfId="6"/>
    <cellStyle name="Normal_~9885111 2" xfId="3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1676594</xdr:colOff>
      <xdr:row>81</xdr:row>
      <xdr:rowOff>17225</xdr:rowOff>
    </xdr:from>
    <xdr:ext cx="2333432" cy="863276"/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844" y="13383975"/>
          <a:ext cx="2333432" cy="863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ADMIN/Desktop/A%20EJERCICIO%202018/Anteproyecto%202019/Plantilla%20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operativa"/>
      <sheetName val="plantilla completa "/>
      <sheetName val="Hoja1"/>
    </sheetNames>
    <sheetDataSet>
      <sheetData sheetId="0"/>
      <sheetData sheetId="1">
        <row r="24">
          <cell r="AS24">
            <v>4599000.25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269"/>
  <sheetViews>
    <sheetView tabSelected="1" view="pageBreakPreview" topLeftCell="Q3" zoomScale="110" zoomScaleNormal="100" zoomScaleSheetLayoutView="110" workbookViewId="0">
      <selection activeCell="AQ10" sqref="AQ10"/>
    </sheetView>
  </sheetViews>
  <sheetFormatPr baseColWidth="10" defaultColWidth="9.140625" defaultRowHeight="12.75" x14ac:dyDescent="0.2"/>
  <cols>
    <col min="1" max="1" width="4.28515625" style="1" customWidth="1"/>
    <col min="2" max="2" width="5.42578125" style="8" customWidth="1"/>
    <col min="3" max="3" width="8.140625" style="8" customWidth="1"/>
    <col min="4" max="4" width="5.140625" style="8" bestFit="1" customWidth="1"/>
    <col min="5" max="5" width="4" style="8" bestFit="1" customWidth="1"/>
    <col min="6" max="6" width="5.5703125" style="8" customWidth="1"/>
    <col min="7" max="7" width="8.7109375" style="8" bestFit="1" customWidth="1"/>
    <col min="8" max="8" width="46.140625" style="1" customWidth="1"/>
    <col min="9" max="9" width="20.7109375" style="1" customWidth="1"/>
    <col min="10" max="10" width="13" style="7" customWidth="1"/>
    <col min="11" max="13" width="13" style="6" hidden="1" customWidth="1"/>
    <col min="14" max="14" width="6.140625" style="5" customWidth="1"/>
    <col min="15" max="15" width="6" style="5" customWidth="1"/>
    <col min="16" max="16" width="5.85546875" style="5" customWidth="1"/>
    <col min="17" max="17" width="40" style="1" customWidth="1"/>
    <col min="18" max="18" width="6.140625" style="1" customWidth="1"/>
    <col min="19" max="19" width="29.85546875" style="5" customWidth="1"/>
    <col min="20" max="20" width="13" style="5" hidden="1" customWidth="1"/>
    <col min="21" max="21" width="13" style="5" customWidth="1"/>
    <col min="22" max="22" width="12.7109375" style="3" hidden="1" customWidth="1"/>
    <col min="23" max="23" width="12.7109375" style="3" bestFit="1" customWidth="1"/>
    <col min="24" max="24" width="13.140625" style="4" hidden="1" customWidth="1"/>
    <col min="25" max="25" width="13.140625" style="4" bestFit="1" customWidth="1"/>
    <col min="26" max="26" width="13" style="3" hidden="1" customWidth="1"/>
    <col min="27" max="27" width="13" style="3" bestFit="1" customWidth="1"/>
    <col min="28" max="28" width="15.7109375" style="3" hidden="1" customWidth="1"/>
    <col min="29" max="29" width="12.140625" style="3" bestFit="1" customWidth="1"/>
    <col min="30" max="30" width="13" style="1" hidden="1" customWidth="1"/>
    <col min="31" max="31" width="13" style="1" bestFit="1" customWidth="1"/>
    <col min="32" max="32" width="12.7109375" style="1" hidden="1" customWidth="1"/>
    <col min="33" max="33" width="13" style="1" customWidth="1"/>
    <col min="34" max="34" width="11.28515625" style="1" hidden="1" customWidth="1"/>
    <col min="35" max="35" width="11.28515625" style="1" bestFit="1" customWidth="1"/>
    <col min="36" max="36" width="15" style="1" hidden="1" customWidth="1"/>
    <col min="37" max="37" width="12.28515625" style="1" customWidth="1"/>
    <col min="38" max="38" width="11.28515625" style="1" hidden="1" customWidth="1"/>
    <col min="39" max="39" width="11.28515625" style="1" bestFit="1" customWidth="1"/>
    <col min="40" max="40" width="11.28515625" style="1" hidden="1" customWidth="1"/>
    <col min="41" max="41" width="11.28515625" style="1" bestFit="1" customWidth="1"/>
    <col min="42" max="42" width="12.7109375" style="1" hidden="1" customWidth="1"/>
    <col min="43" max="43" width="12.5703125" style="1" bestFit="1" customWidth="1"/>
    <col min="44" max="44" width="14.140625" style="1" hidden="1" customWidth="1"/>
    <col min="45" max="45" width="14.140625" style="1" bestFit="1" customWidth="1"/>
    <col min="46" max="46" width="1.7109375" style="2" hidden="1" customWidth="1"/>
    <col min="47" max="47" width="16.140625" style="1" hidden="1" customWidth="1"/>
    <col min="48" max="48" width="20.7109375" style="1" hidden="1" customWidth="1"/>
    <col min="49" max="50" width="12.28515625" style="1" hidden="1" customWidth="1"/>
    <col min="51" max="51" width="13.28515625" style="1" hidden="1" customWidth="1"/>
    <col min="52" max="52" width="12.28515625" style="1" hidden="1" customWidth="1"/>
    <col min="53" max="57" width="10.7109375" style="1" hidden="1" customWidth="1"/>
    <col min="58" max="58" width="15.140625" style="1" hidden="1" customWidth="1"/>
    <col min="59" max="59" width="14.28515625" style="1" hidden="1" customWidth="1"/>
    <col min="60" max="60" width="19.5703125" style="1" hidden="1" customWidth="1"/>
    <col min="61" max="61" width="22" style="1" hidden="1" customWidth="1"/>
    <col min="62" max="62" width="9.140625" style="1" hidden="1" customWidth="1"/>
    <col min="63" max="63" width="0.140625" style="1" customWidth="1"/>
    <col min="64" max="64" width="12.5703125" style="1" hidden="1" customWidth="1"/>
    <col min="65" max="16384" width="9.140625" style="1"/>
  </cols>
  <sheetData>
    <row r="1" spans="2:59" ht="3" customHeight="1" x14ac:dyDescent="0.25">
      <c r="B1" s="191"/>
      <c r="C1" s="191"/>
      <c r="D1" s="191"/>
      <c r="E1" s="191"/>
      <c r="F1" s="191"/>
      <c r="G1" s="5"/>
      <c r="H1" s="190"/>
      <c r="I1" s="5"/>
      <c r="J1" s="5"/>
      <c r="N1" s="189"/>
      <c r="O1" s="187"/>
      <c r="P1" s="187"/>
      <c r="Q1" s="187"/>
      <c r="R1" s="187"/>
      <c r="S1" s="187"/>
      <c r="T1" s="187"/>
      <c r="U1" s="187"/>
      <c r="V1" s="187"/>
      <c r="W1" s="184"/>
      <c r="X1" s="184"/>
      <c r="Y1" s="184"/>
      <c r="Z1" s="1"/>
      <c r="AA1" s="1"/>
      <c r="AB1" s="5"/>
      <c r="AC1" s="5"/>
      <c r="AD1" s="5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T1" s="38"/>
    </row>
    <row r="2" spans="2:59" ht="12.75" customHeight="1" x14ac:dyDescent="0.25">
      <c r="B2" s="191"/>
      <c r="C2" s="191"/>
      <c r="D2" s="191"/>
      <c r="E2" s="191"/>
      <c r="F2" s="191"/>
      <c r="G2" s="5"/>
      <c r="H2" s="190"/>
      <c r="I2" s="5"/>
      <c r="J2" s="5"/>
      <c r="N2" s="189"/>
      <c r="O2" s="230" t="s">
        <v>260</v>
      </c>
      <c r="P2" s="230"/>
      <c r="Q2" s="230"/>
      <c r="R2" s="230"/>
      <c r="S2" s="230"/>
      <c r="T2" s="187"/>
      <c r="U2" s="187"/>
      <c r="V2" s="187"/>
      <c r="W2" s="184"/>
      <c r="X2" s="184"/>
      <c r="Y2" s="184"/>
      <c r="Z2" s="1"/>
      <c r="AA2" s="1"/>
      <c r="AB2" s="5"/>
      <c r="AC2" s="5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T2" s="38"/>
    </row>
    <row r="3" spans="2:59" ht="9" customHeight="1" x14ac:dyDescent="0.25">
      <c r="B3" s="191"/>
      <c r="C3" s="191"/>
      <c r="D3" s="191"/>
      <c r="E3" s="191"/>
      <c r="F3" s="191"/>
      <c r="G3" s="5"/>
      <c r="H3" s="190"/>
      <c r="I3" s="5"/>
      <c r="J3" s="5"/>
      <c r="N3" s="189"/>
      <c r="O3" s="188"/>
      <c r="P3" s="187"/>
      <c r="Q3" s="187"/>
      <c r="R3" s="187"/>
      <c r="S3" s="187"/>
      <c r="T3" s="187"/>
      <c r="U3" s="187"/>
      <c r="V3" s="187"/>
      <c r="W3" s="184"/>
      <c r="X3" s="184"/>
      <c r="Y3" s="184"/>
      <c r="Z3" s="1"/>
      <c r="AA3" s="1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T3" s="38"/>
    </row>
    <row r="4" spans="2:59" ht="9" customHeight="1" x14ac:dyDescent="0.25">
      <c r="B4" s="191"/>
      <c r="C4" s="191"/>
      <c r="D4" s="191"/>
      <c r="E4" s="191"/>
      <c r="F4" s="191"/>
      <c r="G4" s="5"/>
      <c r="H4" s="190"/>
      <c r="I4" s="5"/>
      <c r="J4" s="5"/>
      <c r="N4" s="189"/>
      <c r="O4" s="188"/>
      <c r="P4" s="187"/>
      <c r="Q4" s="187"/>
      <c r="R4" s="187"/>
      <c r="S4" s="187"/>
      <c r="T4" s="187"/>
      <c r="U4" s="187"/>
      <c r="V4" s="187"/>
      <c r="W4" s="187"/>
      <c r="X4" s="187"/>
      <c r="Y4" s="184"/>
      <c r="Z4" s="1"/>
      <c r="AA4" s="1"/>
      <c r="AB4" s="5"/>
      <c r="AC4" s="5"/>
      <c r="AD4" s="5"/>
      <c r="AE4" s="5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T4" s="38"/>
    </row>
    <row r="5" spans="2:59" ht="9" customHeight="1" x14ac:dyDescent="0.25">
      <c r="B5" s="191"/>
      <c r="C5" s="191"/>
      <c r="D5" s="191"/>
      <c r="E5" s="191"/>
      <c r="F5" s="191"/>
      <c r="G5" s="5"/>
      <c r="H5" s="190"/>
      <c r="I5" s="5"/>
      <c r="J5" s="5"/>
      <c r="N5" s="189"/>
      <c r="O5" s="188"/>
      <c r="P5" s="187"/>
      <c r="Q5" s="187"/>
      <c r="R5" s="187"/>
      <c r="S5" s="187"/>
      <c r="T5" s="186"/>
      <c r="U5" s="186"/>
      <c r="V5" s="186"/>
      <c r="W5" s="186"/>
      <c r="X5" s="185"/>
      <c r="Y5" s="184"/>
      <c r="Z5" s="1"/>
      <c r="AA5" s="1"/>
      <c r="AB5" s="5"/>
      <c r="AC5" s="5"/>
      <c r="AD5" s="5"/>
      <c r="AE5" s="5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T5" s="38"/>
    </row>
    <row r="6" spans="2:59" ht="15.75" x14ac:dyDescent="0.25">
      <c r="B6" s="205"/>
      <c r="C6" s="205"/>
      <c r="D6" s="205"/>
      <c r="E6" s="205"/>
      <c r="F6" s="205"/>
      <c r="G6" s="206" t="s">
        <v>259</v>
      </c>
      <c r="H6" s="207" t="s">
        <v>261</v>
      </c>
      <c r="I6" s="207"/>
      <c r="J6" s="208"/>
      <c r="K6" s="209"/>
      <c r="L6" s="209"/>
      <c r="M6" s="209"/>
      <c r="N6" s="210"/>
      <c r="O6" s="210"/>
      <c r="T6" s="221" t="s">
        <v>258</v>
      </c>
      <c r="U6" s="222"/>
      <c r="V6" s="222"/>
      <c r="W6" s="223"/>
      <c r="X6" s="231" t="s">
        <v>251</v>
      </c>
      <c r="Y6" s="232"/>
      <c r="Z6" s="232"/>
      <c r="AA6" s="232"/>
      <c r="AB6" s="232"/>
      <c r="AC6" s="233"/>
      <c r="AD6" s="221" t="s">
        <v>258</v>
      </c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3"/>
      <c r="AP6"/>
      <c r="AQ6"/>
      <c r="AV6" s="182" t="s">
        <v>257</v>
      </c>
      <c r="AW6" s="1">
        <v>9.9723999999999993E-2</v>
      </c>
      <c r="AZ6" s="1" t="s">
        <v>256</v>
      </c>
      <c r="BA6" s="1" t="s">
        <v>255</v>
      </c>
      <c r="BB6" s="1" t="s">
        <v>254</v>
      </c>
      <c r="BC6" s="1" t="s">
        <v>253</v>
      </c>
      <c r="BD6" s="1" t="s">
        <v>252</v>
      </c>
      <c r="BF6" s="1" t="s">
        <v>251</v>
      </c>
    </row>
    <row r="7" spans="2:59" ht="15" hidden="1" x14ac:dyDescent="0.25">
      <c r="G7" s="204"/>
      <c r="H7" s="183"/>
      <c r="T7" s="215"/>
      <c r="U7" s="216"/>
      <c r="V7" s="216"/>
      <c r="W7" s="217"/>
      <c r="X7" s="218"/>
      <c r="Y7" s="219"/>
      <c r="Z7" s="219"/>
      <c r="AA7" s="219"/>
      <c r="AB7" s="219"/>
      <c r="AC7" s="220"/>
      <c r="AD7" s="215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/>
      <c r="AQ7"/>
      <c r="AV7" s="182"/>
    </row>
    <row r="8" spans="2:59" ht="15" hidden="1" x14ac:dyDescent="0.25">
      <c r="G8" s="204"/>
      <c r="H8" s="183"/>
      <c r="T8" s="215"/>
      <c r="U8" s="216"/>
      <c r="V8" s="216"/>
      <c r="W8" s="217"/>
      <c r="X8" s="218"/>
      <c r="Y8" s="219"/>
      <c r="Z8" s="219"/>
      <c r="AA8" s="219"/>
      <c r="AB8" s="219"/>
      <c r="AC8" s="220"/>
      <c r="AD8" s="215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7"/>
      <c r="AP8"/>
      <c r="AQ8"/>
      <c r="AV8" s="182"/>
    </row>
    <row r="9" spans="2:59" ht="15" hidden="1" x14ac:dyDescent="0.25">
      <c r="G9" s="204"/>
      <c r="H9" s="183"/>
      <c r="T9" s="215"/>
      <c r="U9" s="216"/>
      <c r="V9" s="216"/>
      <c r="W9" s="217"/>
      <c r="X9" s="218"/>
      <c r="Y9" s="219"/>
      <c r="Z9" s="219"/>
      <c r="AA9" s="219"/>
      <c r="AB9" s="219"/>
      <c r="AC9" s="220"/>
      <c r="AD9" s="215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7"/>
      <c r="AP9"/>
      <c r="AQ9"/>
      <c r="AV9" s="182"/>
    </row>
    <row r="10" spans="2:59" s="179" customFormat="1" ht="51" x14ac:dyDescent="0.2">
      <c r="B10" s="181" t="s">
        <v>250</v>
      </c>
      <c r="C10" s="211" t="s">
        <v>249</v>
      </c>
      <c r="D10" s="211" t="s">
        <v>262</v>
      </c>
      <c r="E10" s="211" t="s">
        <v>248</v>
      </c>
      <c r="F10" s="211" t="s">
        <v>263</v>
      </c>
      <c r="G10" s="211" t="s">
        <v>247</v>
      </c>
      <c r="H10" s="211" t="s">
        <v>246</v>
      </c>
      <c r="I10" s="211" t="s">
        <v>245</v>
      </c>
      <c r="J10" s="212" t="s">
        <v>244</v>
      </c>
      <c r="K10" s="211" t="s">
        <v>243</v>
      </c>
      <c r="L10" s="211">
        <v>2019</v>
      </c>
      <c r="M10" s="211" t="s">
        <v>242</v>
      </c>
      <c r="N10" s="211" t="s">
        <v>241</v>
      </c>
      <c r="O10" s="211" t="s">
        <v>240</v>
      </c>
      <c r="P10" s="211" t="s">
        <v>239</v>
      </c>
      <c r="Q10" s="211" t="s">
        <v>238</v>
      </c>
      <c r="R10" s="211" t="s">
        <v>237</v>
      </c>
      <c r="S10" s="211" t="s">
        <v>236</v>
      </c>
      <c r="T10" s="211" t="s">
        <v>235</v>
      </c>
      <c r="U10" s="211" t="s">
        <v>235</v>
      </c>
      <c r="V10" s="213" t="s">
        <v>234</v>
      </c>
      <c r="W10" s="213" t="s">
        <v>234</v>
      </c>
      <c r="X10" s="213" t="s">
        <v>233</v>
      </c>
      <c r="Y10" s="213" t="s">
        <v>233</v>
      </c>
      <c r="Z10" s="213" t="s">
        <v>232</v>
      </c>
      <c r="AA10" s="213" t="s">
        <v>232</v>
      </c>
      <c r="AB10" s="214" t="s">
        <v>231</v>
      </c>
      <c r="AC10" s="214" t="s">
        <v>231</v>
      </c>
      <c r="AD10" s="213" t="s">
        <v>230</v>
      </c>
      <c r="AE10" s="213" t="s">
        <v>230</v>
      </c>
      <c r="AF10" s="213" t="s">
        <v>229</v>
      </c>
      <c r="AG10" s="213" t="s">
        <v>229</v>
      </c>
      <c r="AH10" s="213" t="s">
        <v>228</v>
      </c>
      <c r="AI10" s="213" t="s">
        <v>228</v>
      </c>
      <c r="AJ10" s="213" t="s">
        <v>227</v>
      </c>
      <c r="AK10" s="213" t="s">
        <v>227</v>
      </c>
      <c r="AL10" s="213" t="s">
        <v>226</v>
      </c>
      <c r="AM10" s="213" t="s">
        <v>226</v>
      </c>
      <c r="AN10" s="213" t="s">
        <v>225</v>
      </c>
      <c r="AO10" s="213" t="s">
        <v>225</v>
      </c>
      <c r="AP10" s="213" t="s">
        <v>221</v>
      </c>
      <c r="AQ10" s="213" t="s">
        <v>221</v>
      </c>
      <c r="AR10" s="213" t="s">
        <v>224</v>
      </c>
      <c r="AS10" s="213" t="s">
        <v>223</v>
      </c>
      <c r="AT10" s="2"/>
      <c r="AU10" s="180"/>
      <c r="AV10" s="28"/>
      <c r="AY10" s="179" t="s">
        <v>222</v>
      </c>
      <c r="AZ10" s="179">
        <v>0.105</v>
      </c>
      <c r="BA10" s="179">
        <v>0.105</v>
      </c>
      <c r="BB10" s="179">
        <v>0.03</v>
      </c>
      <c r="BC10" s="179">
        <v>0.03</v>
      </c>
      <c r="BD10" s="179">
        <f>SUM(AZ10:BC10)</f>
        <v>0.27</v>
      </c>
      <c r="BF10" s="179" t="s">
        <v>221</v>
      </c>
    </row>
    <row r="11" spans="2:59" s="28" customFormat="1" ht="13.5" customHeight="1" x14ac:dyDescent="0.2">
      <c r="B11" s="98">
        <v>1</v>
      </c>
      <c r="C11" s="98">
        <v>13</v>
      </c>
      <c r="D11" s="98">
        <v>56</v>
      </c>
      <c r="E11" s="98">
        <v>266</v>
      </c>
      <c r="F11" s="98">
        <v>795</v>
      </c>
      <c r="G11" s="98" t="s">
        <v>220</v>
      </c>
      <c r="H11" s="174" t="s">
        <v>219</v>
      </c>
      <c r="I11" s="174" t="s">
        <v>218</v>
      </c>
      <c r="J11" s="177">
        <v>39217</v>
      </c>
      <c r="K11" s="176">
        <v>2007</v>
      </c>
      <c r="L11" s="176">
        <f t="shared" ref="L11:L21" si="0">+$L$10-K11</f>
        <v>12</v>
      </c>
      <c r="M11" s="176">
        <v>3</v>
      </c>
      <c r="N11" s="175">
        <v>12</v>
      </c>
      <c r="O11" s="175">
        <v>40</v>
      </c>
      <c r="P11" s="175" t="s">
        <v>7</v>
      </c>
      <c r="Q11" s="174" t="s">
        <v>217</v>
      </c>
      <c r="R11" s="175">
        <v>1</v>
      </c>
      <c r="S11" s="174" t="s">
        <v>160</v>
      </c>
      <c r="T11" s="91">
        <v>13195.5</v>
      </c>
      <c r="U11" s="91">
        <f t="shared" ref="U11:U27" si="1">ROUND(T11,2)</f>
        <v>13195.5</v>
      </c>
      <c r="V11" s="91">
        <f t="shared" ref="V11:V27" si="2">+$H$94*M11</f>
        <v>308.04000000000002</v>
      </c>
      <c r="W11" s="91">
        <f t="shared" ref="W11:W27" si="3">ROUND(V11,2)</f>
        <v>308.04000000000002</v>
      </c>
      <c r="X11" s="91">
        <f t="shared" ref="X11:X27" si="4">+((T11+AP11/12)/30)*20*25%</f>
        <v>2287.2200000000003</v>
      </c>
      <c r="Y11" s="91">
        <f t="shared" ref="Y11:Y27" si="5">ROUND(X11,2)</f>
        <v>2287.2199999999998</v>
      </c>
      <c r="Z11" s="91">
        <f t="shared" ref="Z11:Z27" si="6">(T11+(AP11/12))/30*50</f>
        <v>22872.2</v>
      </c>
      <c r="AA11" s="91">
        <f t="shared" ref="AA11:AA27" si="7">ROUND(Z11,2)</f>
        <v>22872.2</v>
      </c>
      <c r="AB11" s="91">
        <f>(T11+(AP11/12))/30*15</f>
        <v>6861.66</v>
      </c>
      <c r="AC11" s="91">
        <f t="shared" ref="AC11:AC27" si="8">ROUND(AB11,2)</f>
        <v>6861.66</v>
      </c>
      <c r="AD11" s="89">
        <f t="shared" ref="AD11:AD27" si="9">(T11+(AP11/12))*17.5%</f>
        <v>2401.5809999999997</v>
      </c>
      <c r="AE11" s="89">
        <f t="shared" ref="AE11:AE27" si="10">ROUND(AD11,2)</f>
        <v>2401.58</v>
      </c>
      <c r="AF11" s="89">
        <f t="shared" ref="AF11:AF27" si="11">(T11+(AP11/12))*3%</f>
        <v>411.69959999999998</v>
      </c>
      <c r="AG11" s="89">
        <f t="shared" ref="AG11:AG27" si="12">ROUND(AF11,2)</f>
        <v>411.7</v>
      </c>
      <c r="AH11" s="89">
        <v>813.79</v>
      </c>
      <c r="AI11" s="89">
        <f t="shared" ref="AI11:AI27" si="13">ROUND(AH11,2)</f>
        <v>813.79</v>
      </c>
      <c r="AJ11" s="89">
        <f t="shared" ref="AJ11:AJ27" si="14">(T11+(AP11/12))*2%</f>
        <v>274.46640000000002</v>
      </c>
      <c r="AK11" s="89">
        <f t="shared" ref="AK11:AK27" si="15">ROUND(AJ11,2)</f>
        <v>274.47000000000003</v>
      </c>
      <c r="AL11" s="89">
        <v>650</v>
      </c>
      <c r="AM11" s="89">
        <f t="shared" ref="AM11:AM27" si="16">ROUND(AL11,2)</f>
        <v>650</v>
      </c>
      <c r="AN11" s="89">
        <v>350</v>
      </c>
      <c r="AO11" s="89">
        <f t="shared" ref="AO11:AO27" si="17">ROUND(AN11,2)</f>
        <v>350</v>
      </c>
      <c r="AP11" s="89">
        <f t="shared" ref="AP11:AP27" si="18">T11*0.04*12</f>
        <v>6333.84</v>
      </c>
      <c r="AQ11" s="89">
        <f t="shared" ref="AQ11:AQ27" si="19">ROUND(AP11,2)</f>
        <v>6333.84</v>
      </c>
      <c r="AR11" s="89">
        <f t="shared" ref="AR11:AR27" si="20">+(T11+V11+AD11+AF11+AH11+AJ11+AL11+AN11)*12+X11+Z11+AB11+AP11</f>
        <v>259215.84400000001</v>
      </c>
      <c r="AS11" s="89">
        <f t="shared" ref="AS11:AS27" si="21">+(U11+W11+AE11+AG11+AI11+AK11+AM11+AO11)*12+Y11+AA11+AC11+AQ11</f>
        <v>259215.88000000003</v>
      </c>
      <c r="AT11" s="153"/>
      <c r="AU11" s="178"/>
      <c r="AV11" s="29"/>
      <c r="BF11" s="89">
        <f>400*12</f>
        <v>4800</v>
      </c>
    </row>
    <row r="12" spans="2:59" s="155" customFormat="1" ht="13.5" customHeight="1" x14ac:dyDescent="0.2">
      <c r="B12" s="98">
        <f t="shared" ref="B12:B27" si="22">+B11+1</f>
        <v>2</v>
      </c>
      <c r="C12" s="98">
        <v>13</v>
      </c>
      <c r="D12" s="98">
        <v>56</v>
      </c>
      <c r="E12" s="98">
        <v>266</v>
      </c>
      <c r="F12" s="98">
        <v>795</v>
      </c>
      <c r="G12" s="98" t="s">
        <v>216</v>
      </c>
      <c r="H12" s="174" t="s">
        <v>215</v>
      </c>
      <c r="I12" s="174" t="s">
        <v>214</v>
      </c>
      <c r="J12" s="177">
        <v>38883</v>
      </c>
      <c r="K12" s="176">
        <v>2006</v>
      </c>
      <c r="L12" s="176">
        <f t="shared" si="0"/>
        <v>13</v>
      </c>
      <c r="M12" s="176">
        <v>3</v>
      </c>
      <c r="N12" s="175">
        <v>9</v>
      </c>
      <c r="O12" s="175">
        <v>40</v>
      </c>
      <c r="P12" s="175" t="s">
        <v>7</v>
      </c>
      <c r="Q12" s="147" t="s">
        <v>213</v>
      </c>
      <c r="R12" s="175">
        <v>1</v>
      </c>
      <c r="S12" s="174" t="s">
        <v>79</v>
      </c>
      <c r="T12" s="91">
        <v>12162</v>
      </c>
      <c r="U12" s="91">
        <f t="shared" si="1"/>
        <v>12162</v>
      </c>
      <c r="V12" s="91">
        <f t="shared" si="2"/>
        <v>308.04000000000002</v>
      </c>
      <c r="W12" s="91">
        <f t="shared" si="3"/>
        <v>308.04000000000002</v>
      </c>
      <c r="X12" s="91">
        <f t="shared" si="4"/>
        <v>2108.08</v>
      </c>
      <c r="Y12" s="91">
        <f t="shared" si="5"/>
        <v>2108.08</v>
      </c>
      <c r="Z12" s="91">
        <f t="shared" si="6"/>
        <v>21080.799999999999</v>
      </c>
      <c r="AA12" s="91">
        <f t="shared" si="7"/>
        <v>21080.799999999999</v>
      </c>
      <c r="AB12" s="91">
        <f>(T12+(AP12/12))/30*15</f>
        <v>6324.24</v>
      </c>
      <c r="AC12" s="91">
        <f t="shared" si="8"/>
        <v>6324.24</v>
      </c>
      <c r="AD12" s="89">
        <f t="shared" si="9"/>
        <v>2213.4839999999999</v>
      </c>
      <c r="AE12" s="89">
        <f t="shared" si="10"/>
        <v>2213.48</v>
      </c>
      <c r="AF12" s="89">
        <f t="shared" si="11"/>
        <v>379.45439999999996</v>
      </c>
      <c r="AG12" s="89">
        <f t="shared" si="12"/>
        <v>379.45</v>
      </c>
      <c r="AH12" s="89">
        <v>783.87</v>
      </c>
      <c r="AI12" s="89">
        <f t="shared" si="13"/>
        <v>783.87</v>
      </c>
      <c r="AJ12" s="89">
        <f t="shared" si="14"/>
        <v>252.96959999999999</v>
      </c>
      <c r="AK12" s="89">
        <f t="shared" si="15"/>
        <v>252.97</v>
      </c>
      <c r="AL12" s="89">
        <v>650</v>
      </c>
      <c r="AM12" s="89">
        <f t="shared" si="16"/>
        <v>650</v>
      </c>
      <c r="AN12" s="89">
        <v>350</v>
      </c>
      <c r="AO12" s="89">
        <f t="shared" si="17"/>
        <v>350</v>
      </c>
      <c r="AP12" s="89">
        <f t="shared" si="18"/>
        <v>5837.76</v>
      </c>
      <c r="AQ12" s="89">
        <f t="shared" si="19"/>
        <v>5837.76</v>
      </c>
      <c r="AR12" s="89">
        <f t="shared" si="20"/>
        <v>240548.69600000003</v>
      </c>
      <c r="AS12" s="89">
        <f t="shared" si="21"/>
        <v>240548.6</v>
      </c>
      <c r="AT12" s="153"/>
      <c r="AU12" s="29"/>
      <c r="AV12" s="29"/>
      <c r="BF12" s="89">
        <f>450*12</f>
        <v>5400</v>
      </c>
      <c r="BG12" s="173"/>
    </row>
    <row r="13" spans="2:59" s="28" customFormat="1" ht="13.5" customHeight="1" x14ac:dyDescent="0.25">
      <c r="B13" s="98">
        <f t="shared" si="22"/>
        <v>3</v>
      </c>
      <c r="C13" s="98">
        <v>13</v>
      </c>
      <c r="D13" s="98">
        <v>56</v>
      </c>
      <c r="E13" s="98">
        <v>266</v>
      </c>
      <c r="F13" s="98">
        <v>795</v>
      </c>
      <c r="G13" s="98" t="s">
        <v>212</v>
      </c>
      <c r="H13" s="147" t="s">
        <v>211</v>
      </c>
      <c r="I13" s="147" t="s">
        <v>210</v>
      </c>
      <c r="J13" s="172">
        <v>43447</v>
      </c>
      <c r="K13" s="145">
        <v>2018</v>
      </c>
      <c r="L13" s="145">
        <f t="shared" si="0"/>
        <v>1</v>
      </c>
      <c r="M13" s="145">
        <v>0</v>
      </c>
      <c r="N13" s="148">
        <v>25</v>
      </c>
      <c r="O13" s="148">
        <v>40</v>
      </c>
      <c r="P13" s="148" t="s">
        <v>81</v>
      </c>
      <c r="Q13" s="147" t="s">
        <v>209</v>
      </c>
      <c r="R13" s="148">
        <v>1</v>
      </c>
      <c r="S13" s="147" t="s">
        <v>79</v>
      </c>
      <c r="T13" s="91">
        <v>47106</v>
      </c>
      <c r="U13" s="91">
        <f t="shared" si="1"/>
        <v>47106</v>
      </c>
      <c r="V13" s="91">
        <f t="shared" si="2"/>
        <v>0</v>
      </c>
      <c r="W13" s="91">
        <f t="shared" si="3"/>
        <v>0</v>
      </c>
      <c r="X13" s="91">
        <f t="shared" si="4"/>
        <v>8165.04</v>
      </c>
      <c r="Y13" s="91">
        <f t="shared" si="5"/>
        <v>8165.04</v>
      </c>
      <c r="Z13" s="91">
        <f t="shared" si="6"/>
        <v>81650.400000000009</v>
      </c>
      <c r="AA13" s="91">
        <f t="shared" si="7"/>
        <v>81650.399999999994</v>
      </c>
      <c r="AB13" s="91">
        <v>0</v>
      </c>
      <c r="AC13" s="91">
        <f t="shared" si="8"/>
        <v>0</v>
      </c>
      <c r="AD13" s="89">
        <f t="shared" si="9"/>
        <v>8573.2919999999995</v>
      </c>
      <c r="AE13" s="89">
        <f t="shared" si="10"/>
        <v>8573.2900000000009</v>
      </c>
      <c r="AF13" s="89">
        <f t="shared" si="11"/>
        <v>1469.7071999999998</v>
      </c>
      <c r="AG13" s="89">
        <f t="shared" si="12"/>
        <v>1469.71</v>
      </c>
      <c r="AH13" s="89">
        <v>1741.17</v>
      </c>
      <c r="AI13" s="89">
        <f t="shared" si="13"/>
        <v>1741.17</v>
      </c>
      <c r="AJ13" s="89">
        <f t="shared" si="14"/>
        <v>979.8048</v>
      </c>
      <c r="AK13" s="89">
        <f t="shared" si="15"/>
        <v>979.8</v>
      </c>
      <c r="AL13" s="89">
        <v>650</v>
      </c>
      <c r="AM13" s="89">
        <f t="shared" si="16"/>
        <v>650</v>
      </c>
      <c r="AN13" s="89">
        <v>350</v>
      </c>
      <c r="AO13" s="89">
        <f t="shared" si="17"/>
        <v>350</v>
      </c>
      <c r="AP13" s="89">
        <f>T13*0.04*12</f>
        <v>22610.880000000001</v>
      </c>
      <c r="AQ13" s="89">
        <f>ROUND(AP13,2)</f>
        <v>22610.880000000001</v>
      </c>
      <c r="AR13" s="89">
        <f t="shared" si="20"/>
        <v>842866.00800000003</v>
      </c>
      <c r="AS13" s="89">
        <f t="shared" si="21"/>
        <v>842865.96000000008</v>
      </c>
      <c r="AT13" s="89">
        <f>+(V13+X13+AF13+AH13+AJ13+AL13+AN13+AP13)*12+Z13+AB13+AD13+AR13</f>
        <v>1364688.9240000001</v>
      </c>
      <c r="AU13" s="29"/>
      <c r="AV13" s="29"/>
      <c r="AW13" s="150"/>
      <c r="AX13" s="150"/>
      <c r="AY13" s="150"/>
      <c r="BF13" s="89">
        <f>400*12</f>
        <v>4800</v>
      </c>
    </row>
    <row r="14" spans="2:59" s="28" customFormat="1" ht="13.5" customHeight="1" x14ac:dyDescent="0.25">
      <c r="B14" s="98">
        <f t="shared" si="22"/>
        <v>4</v>
      </c>
      <c r="C14" s="98">
        <v>13</v>
      </c>
      <c r="D14" s="98">
        <v>56</v>
      </c>
      <c r="E14" s="98">
        <v>266</v>
      </c>
      <c r="F14" s="98">
        <v>795</v>
      </c>
      <c r="G14" s="98" t="s">
        <v>208</v>
      </c>
      <c r="H14" s="147" t="s">
        <v>207</v>
      </c>
      <c r="I14" s="147" t="s">
        <v>206</v>
      </c>
      <c r="J14" s="172">
        <v>38798</v>
      </c>
      <c r="K14" s="145">
        <v>2006</v>
      </c>
      <c r="L14" s="145">
        <f t="shared" si="0"/>
        <v>13</v>
      </c>
      <c r="M14" s="145">
        <v>3</v>
      </c>
      <c r="N14" s="148">
        <v>12</v>
      </c>
      <c r="O14" s="148">
        <v>40</v>
      </c>
      <c r="P14" s="148" t="s">
        <v>7</v>
      </c>
      <c r="Q14" s="147" t="s">
        <v>205</v>
      </c>
      <c r="R14" s="148">
        <v>1</v>
      </c>
      <c r="S14" s="147" t="s">
        <v>160</v>
      </c>
      <c r="T14" s="91">
        <v>13195.5</v>
      </c>
      <c r="U14" s="91">
        <f t="shared" si="1"/>
        <v>13195.5</v>
      </c>
      <c r="V14" s="91">
        <f t="shared" si="2"/>
        <v>308.04000000000002</v>
      </c>
      <c r="W14" s="91">
        <f t="shared" si="3"/>
        <v>308.04000000000002</v>
      </c>
      <c r="X14" s="91">
        <f t="shared" si="4"/>
        <v>2287.2200000000003</v>
      </c>
      <c r="Y14" s="91">
        <f t="shared" si="5"/>
        <v>2287.2199999999998</v>
      </c>
      <c r="Z14" s="91">
        <f t="shared" si="6"/>
        <v>22872.2</v>
      </c>
      <c r="AA14" s="91">
        <f t="shared" si="7"/>
        <v>22872.2</v>
      </c>
      <c r="AB14" s="91">
        <f t="shared" ref="AB14:AB27" si="23">(T14+(AP14/12))/30*15</f>
        <v>6861.66</v>
      </c>
      <c r="AC14" s="91">
        <f t="shared" si="8"/>
        <v>6861.66</v>
      </c>
      <c r="AD14" s="89">
        <f t="shared" si="9"/>
        <v>2401.5809999999997</v>
      </c>
      <c r="AE14" s="89">
        <f t="shared" si="10"/>
        <v>2401.58</v>
      </c>
      <c r="AF14" s="89">
        <f t="shared" si="11"/>
        <v>411.69959999999998</v>
      </c>
      <c r="AG14" s="89">
        <f t="shared" si="12"/>
        <v>411.7</v>
      </c>
      <c r="AH14" s="89">
        <v>813.79</v>
      </c>
      <c r="AI14" s="89">
        <f t="shared" si="13"/>
        <v>813.79</v>
      </c>
      <c r="AJ14" s="89">
        <f t="shared" si="14"/>
        <v>274.46640000000002</v>
      </c>
      <c r="AK14" s="89">
        <f t="shared" si="15"/>
        <v>274.47000000000003</v>
      </c>
      <c r="AL14" s="89">
        <v>650</v>
      </c>
      <c r="AM14" s="89">
        <f t="shared" si="16"/>
        <v>650</v>
      </c>
      <c r="AN14" s="89">
        <v>350</v>
      </c>
      <c r="AO14" s="89">
        <f t="shared" si="17"/>
        <v>350</v>
      </c>
      <c r="AP14" s="89">
        <f t="shared" si="18"/>
        <v>6333.84</v>
      </c>
      <c r="AQ14" s="89">
        <f t="shared" si="19"/>
        <v>6333.84</v>
      </c>
      <c r="AR14" s="89">
        <f t="shared" si="20"/>
        <v>259215.84400000001</v>
      </c>
      <c r="AS14" s="89">
        <f t="shared" si="21"/>
        <v>259215.88000000003</v>
      </c>
      <c r="AT14" s="89"/>
      <c r="AU14" s="29"/>
      <c r="AV14" s="29"/>
      <c r="AW14" s="150"/>
      <c r="AX14" s="150"/>
      <c r="AY14" s="150"/>
      <c r="BF14" s="89">
        <f>400*12</f>
        <v>4800</v>
      </c>
    </row>
    <row r="15" spans="2:59" s="28" customFormat="1" ht="13.5" customHeight="1" x14ac:dyDescent="0.25">
      <c r="B15" s="98">
        <f t="shared" si="22"/>
        <v>5</v>
      </c>
      <c r="C15" s="98">
        <v>13</v>
      </c>
      <c r="D15" s="98">
        <v>56</v>
      </c>
      <c r="E15" s="98">
        <v>266</v>
      </c>
      <c r="F15" s="98">
        <v>795</v>
      </c>
      <c r="G15" s="98" t="s">
        <v>204</v>
      </c>
      <c r="H15" s="147" t="s">
        <v>203</v>
      </c>
      <c r="I15" s="147" t="s">
        <v>202</v>
      </c>
      <c r="J15" s="172">
        <v>39651</v>
      </c>
      <c r="K15" s="145">
        <v>2008</v>
      </c>
      <c r="L15" s="145">
        <f t="shared" si="0"/>
        <v>11</v>
      </c>
      <c r="M15" s="145">
        <v>3</v>
      </c>
      <c r="N15" s="148">
        <v>19</v>
      </c>
      <c r="O15" s="148">
        <v>40</v>
      </c>
      <c r="P15" s="148" t="s">
        <v>81</v>
      </c>
      <c r="Q15" s="147" t="s">
        <v>201</v>
      </c>
      <c r="R15" s="148">
        <v>1</v>
      </c>
      <c r="S15" s="147" t="s">
        <v>79</v>
      </c>
      <c r="T15" s="91">
        <v>24533.1</v>
      </c>
      <c r="U15" s="91">
        <f t="shared" si="1"/>
        <v>24533.1</v>
      </c>
      <c r="V15" s="91">
        <f t="shared" si="2"/>
        <v>308.04000000000002</v>
      </c>
      <c r="W15" s="91">
        <f t="shared" si="3"/>
        <v>308.04000000000002</v>
      </c>
      <c r="X15" s="91">
        <f t="shared" si="4"/>
        <v>4252.4039999999995</v>
      </c>
      <c r="Y15" s="91">
        <f t="shared" si="5"/>
        <v>4252.3999999999996</v>
      </c>
      <c r="Z15" s="91">
        <f t="shared" si="6"/>
        <v>42524.039999999994</v>
      </c>
      <c r="AA15" s="91">
        <f t="shared" si="7"/>
        <v>42524.04</v>
      </c>
      <c r="AB15" s="91">
        <f t="shared" si="23"/>
        <v>12757.212</v>
      </c>
      <c r="AC15" s="91">
        <f t="shared" si="8"/>
        <v>12757.21</v>
      </c>
      <c r="AD15" s="89">
        <f t="shared" si="9"/>
        <v>4465.0241999999998</v>
      </c>
      <c r="AE15" s="89">
        <f t="shared" si="10"/>
        <v>4465.0200000000004</v>
      </c>
      <c r="AF15" s="89">
        <f t="shared" si="11"/>
        <v>765.4327199999999</v>
      </c>
      <c r="AG15" s="89">
        <f t="shared" si="12"/>
        <v>765.43</v>
      </c>
      <c r="AH15" s="89">
        <v>1141.97</v>
      </c>
      <c r="AI15" s="89">
        <f t="shared" si="13"/>
        <v>1141.97</v>
      </c>
      <c r="AJ15" s="89">
        <f t="shared" si="14"/>
        <v>510.28847999999999</v>
      </c>
      <c r="AK15" s="89">
        <f t="shared" si="15"/>
        <v>510.29</v>
      </c>
      <c r="AL15" s="89">
        <v>650</v>
      </c>
      <c r="AM15" s="89">
        <f t="shared" si="16"/>
        <v>650</v>
      </c>
      <c r="AN15" s="89">
        <v>350</v>
      </c>
      <c r="AO15" s="89">
        <f t="shared" si="17"/>
        <v>350</v>
      </c>
      <c r="AP15" s="89">
        <f t="shared" si="18"/>
        <v>11775.887999999999</v>
      </c>
      <c r="AQ15" s="89">
        <f t="shared" si="19"/>
        <v>11775.89</v>
      </c>
      <c r="AR15" s="89">
        <f t="shared" si="20"/>
        <v>463995.80879999994</v>
      </c>
      <c r="AS15" s="89">
        <f t="shared" si="21"/>
        <v>463995.74000000005</v>
      </c>
      <c r="AT15" s="89"/>
      <c r="AU15" s="29"/>
      <c r="AV15" s="29"/>
      <c r="AW15" s="150"/>
      <c r="AX15" s="150"/>
      <c r="AY15" s="150"/>
      <c r="BF15" s="89">
        <f>400*12</f>
        <v>4800</v>
      </c>
    </row>
    <row r="16" spans="2:59" s="28" customFormat="1" ht="13.5" customHeight="1" x14ac:dyDescent="0.25">
      <c r="B16" s="98">
        <f t="shared" si="22"/>
        <v>6</v>
      </c>
      <c r="C16" s="98">
        <v>13</v>
      </c>
      <c r="D16" s="98">
        <v>56</v>
      </c>
      <c r="E16" s="98">
        <v>266</v>
      </c>
      <c r="F16" s="98">
        <v>795</v>
      </c>
      <c r="G16" s="98" t="s">
        <v>200</v>
      </c>
      <c r="H16" s="147" t="s">
        <v>199</v>
      </c>
      <c r="I16" s="147" t="s">
        <v>198</v>
      </c>
      <c r="J16" s="172">
        <v>37949</v>
      </c>
      <c r="K16" s="145">
        <v>2003</v>
      </c>
      <c r="L16" s="145">
        <f t="shared" si="0"/>
        <v>16</v>
      </c>
      <c r="M16" s="145">
        <v>4</v>
      </c>
      <c r="N16" s="148">
        <v>11</v>
      </c>
      <c r="O16" s="148">
        <v>40</v>
      </c>
      <c r="P16" s="148" t="s">
        <v>7</v>
      </c>
      <c r="Q16" s="147" t="s">
        <v>197</v>
      </c>
      <c r="R16" s="148">
        <v>1</v>
      </c>
      <c r="S16" s="147" t="s">
        <v>79</v>
      </c>
      <c r="T16" s="91">
        <v>13133.1</v>
      </c>
      <c r="U16" s="91">
        <f t="shared" si="1"/>
        <v>13133.1</v>
      </c>
      <c r="V16" s="91">
        <f t="shared" si="2"/>
        <v>410.72</v>
      </c>
      <c r="W16" s="91">
        <f t="shared" si="3"/>
        <v>410.72</v>
      </c>
      <c r="X16" s="91">
        <f t="shared" si="4"/>
        <v>2276.4040000000005</v>
      </c>
      <c r="Y16" s="91">
        <f t="shared" si="5"/>
        <v>2276.4</v>
      </c>
      <c r="Z16" s="91">
        <f t="shared" si="6"/>
        <v>22764.040000000005</v>
      </c>
      <c r="AA16" s="91">
        <f t="shared" si="7"/>
        <v>22764.04</v>
      </c>
      <c r="AB16" s="91">
        <f t="shared" si="23"/>
        <v>6829.2120000000004</v>
      </c>
      <c r="AC16" s="91">
        <f t="shared" si="8"/>
        <v>6829.21</v>
      </c>
      <c r="AD16" s="89">
        <f t="shared" si="9"/>
        <v>2390.2242000000001</v>
      </c>
      <c r="AE16" s="89">
        <f t="shared" si="10"/>
        <v>2390.2199999999998</v>
      </c>
      <c r="AF16" s="89">
        <f t="shared" si="11"/>
        <v>409.75272000000001</v>
      </c>
      <c r="AG16" s="89">
        <f t="shared" si="12"/>
        <v>409.75</v>
      </c>
      <c r="AH16" s="89">
        <v>814.38</v>
      </c>
      <c r="AI16" s="89">
        <f t="shared" si="13"/>
        <v>814.38</v>
      </c>
      <c r="AJ16" s="89">
        <f t="shared" si="14"/>
        <v>273.16848000000005</v>
      </c>
      <c r="AK16" s="89">
        <f t="shared" si="15"/>
        <v>273.17</v>
      </c>
      <c r="AL16" s="89">
        <v>650</v>
      </c>
      <c r="AM16" s="89">
        <f t="shared" si="16"/>
        <v>650</v>
      </c>
      <c r="AN16" s="89">
        <v>350</v>
      </c>
      <c r="AO16" s="89">
        <f t="shared" si="17"/>
        <v>350</v>
      </c>
      <c r="AP16" s="89">
        <f t="shared" si="18"/>
        <v>6303.8880000000008</v>
      </c>
      <c r="AQ16" s="89">
        <f t="shared" si="19"/>
        <v>6303.89</v>
      </c>
      <c r="AR16" s="89">
        <f t="shared" si="20"/>
        <v>259349.68880000003</v>
      </c>
      <c r="AS16" s="89">
        <f t="shared" si="21"/>
        <v>259349.61999999997</v>
      </c>
      <c r="AT16" s="89"/>
      <c r="AU16" s="29"/>
      <c r="AV16" s="29"/>
      <c r="AW16" s="150"/>
      <c r="AX16" s="150"/>
      <c r="AY16" s="150"/>
      <c r="BF16" s="89">
        <f>400*12</f>
        <v>4800</v>
      </c>
    </row>
    <row r="17" spans="2:61" s="28" customFormat="1" ht="13.5" customHeight="1" x14ac:dyDescent="0.25">
      <c r="B17" s="98">
        <f t="shared" si="22"/>
        <v>7</v>
      </c>
      <c r="C17" s="98">
        <v>13</v>
      </c>
      <c r="D17" s="98">
        <v>56</v>
      </c>
      <c r="E17" s="98">
        <v>266</v>
      </c>
      <c r="F17" s="98">
        <v>795</v>
      </c>
      <c r="G17" s="98" t="s">
        <v>196</v>
      </c>
      <c r="H17" s="147" t="s">
        <v>195</v>
      </c>
      <c r="I17" s="147" t="s">
        <v>194</v>
      </c>
      <c r="J17" s="172">
        <v>37196</v>
      </c>
      <c r="K17" s="145">
        <v>2001</v>
      </c>
      <c r="L17" s="145">
        <f t="shared" si="0"/>
        <v>18</v>
      </c>
      <c r="M17" s="145">
        <v>4</v>
      </c>
      <c r="N17" s="148">
        <v>1</v>
      </c>
      <c r="O17" s="148">
        <v>40</v>
      </c>
      <c r="P17" s="148" t="s">
        <v>7</v>
      </c>
      <c r="Q17" s="147" t="s">
        <v>176</v>
      </c>
      <c r="R17" s="148">
        <v>1</v>
      </c>
      <c r="S17" s="147" t="s">
        <v>160</v>
      </c>
      <c r="T17" s="91">
        <v>8651.4</v>
      </c>
      <c r="U17" s="91">
        <f t="shared" si="1"/>
        <v>8651.4</v>
      </c>
      <c r="V17" s="91">
        <f t="shared" si="2"/>
        <v>410.72</v>
      </c>
      <c r="W17" s="91">
        <f t="shared" si="3"/>
        <v>410.72</v>
      </c>
      <c r="X17" s="91">
        <f t="shared" si="4"/>
        <v>1499.576</v>
      </c>
      <c r="Y17" s="91">
        <f t="shared" si="5"/>
        <v>1499.58</v>
      </c>
      <c r="Z17" s="91">
        <f t="shared" si="6"/>
        <v>14995.760000000002</v>
      </c>
      <c r="AA17" s="91">
        <f t="shared" si="7"/>
        <v>14995.76</v>
      </c>
      <c r="AB17" s="91">
        <f t="shared" si="23"/>
        <v>4498.7280000000001</v>
      </c>
      <c r="AC17" s="91">
        <f t="shared" si="8"/>
        <v>4498.7299999999996</v>
      </c>
      <c r="AD17" s="89">
        <f t="shared" si="9"/>
        <v>1574.5547999999999</v>
      </c>
      <c r="AE17" s="89">
        <f t="shared" si="10"/>
        <v>1574.55</v>
      </c>
      <c r="AF17" s="89">
        <f t="shared" si="11"/>
        <v>269.92367999999999</v>
      </c>
      <c r="AG17" s="89">
        <f t="shared" si="12"/>
        <v>269.92</v>
      </c>
      <c r="AH17" s="89">
        <v>684.65</v>
      </c>
      <c r="AI17" s="89">
        <f t="shared" si="13"/>
        <v>684.65</v>
      </c>
      <c r="AJ17" s="89">
        <f t="shared" si="14"/>
        <v>179.94911999999999</v>
      </c>
      <c r="AK17" s="89">
        <f t="shared" si="15"/>
        <v>179.95</v>
      </c>
      <c r="AL17" s="89">
        <v>650</v>
      </c>
      <c r="AM17" s="89">
        <f t="shared" si="16"/>
        <v>650</v>
      </c>
      <c r="AN17" s="89">
        <v>350</v>
      </c>
      <c r="AO17" s="89">
        <f t="shared" si="17"/>
        <v>350</v>
      </c>
      <c r="AP17" s="89">
        <f t="shared" si="18"/>
        <v>4152.6719999999996</v>
      </c>
      <c r="AQ17" s="89">
        <f t="shared" si="19"/>
        <v>4152.67</v>
      </c>
      <c r="AR17" s="89">
        <f t="shared" si="20"/>
        <v>178401.10719999997</v>
      </c>
      <c r="AS17" s="89">
        <f t="shared" si="21"/>
        <v>178401.02</v>
      </c>
      <c r="AT17" s="89"/>
      <c r="AU17" s="29"/>
      <c r="AV17" s="29"/>
      <c r="AW17" s="150"/>
      <c r="AX17" s="150"/>
      <c r="AY17" s="150"/>
      <c r="BF17" s="89">
        <f>250*12</f>
        <v>3000</v>
      </c>
    </row>
    <row r="18" spans="2:61" s="28" customFormat="1" ht="13.5" customHeight="1" x14ac:dyDescent="0.25">
      <c r="B18" s="98">
        <f t="shared" si="22"/>
        <v>8</v>
      </c>
      <c r="C18" s="98">
        <v>13</v>
      </c>
      <c r="D18" s="98">
        <v>56</v>
      </c>
      <c r="E18" s="98">
        <v>266</v>
      </c>
      <c r="F18" s="98">
        <v>795</v>
      </c>
      <c r="G18" s="98" t="s">
        <v>193</v>
      </c>
      <c r="H18" s="147" t="s">
        <v>192</v>
      </c>
      <c r="I18" s="147" t="s">
        <v>191</v>
      </c>
      <c r="J18" s="172">
        <v>37333</v>
      </c>
      <c r="K18" s="145">
        <v>2002</v>
      </c>
      <c r="L18" s="145">
        <f t="shared" si="0"/>
        <v>17</v>
      </c>
      <c r="M18" s="145">
        <v>4</v>
      </c>
      <c r="N18" s="148">
        <v>12</v>
      </c>
      <c r="O18" s="148">
        <v>40</v>
      </c>
      <c r="P18" s="148" t="s">
        <v>7</v>
      </c>
      <c r="Q18" s="147" t="s">
        <v>190</v>
      </c>
      <c r="R18" s="148">
        <v>1</v>
      </c>
      <c r="S18" s="147" t="s">
        <v>160</v>
      </c>
      <c r="T18" s="91">
        <v>13195.5</v>
      </c>
      <c r="U18" s="91">
        <f t="shared" si="1"/>
        <v>13195.5</v>
      </c>
      <c r="V18" s="91">
        <f t="shared" si="2"/>
        <v>410.72</v>
      </c>
      <c r="W18" s="91">
        <f t="shared" si="3"/>
        <v>410.72</v>
      </c>
      <c r="X18" s="91">
        <f t="shared" si="4"/>
        <v>2287.2200000000003</v>
      </c>
      <c r="Y18" s="91">
        <f t="shared" si="5"/>
        <v>2287.2199999999998</v>
      </c>
      <c r="Z18" s="91">
        <f t="shared" si="6"/>
        <v>22872.2</v>
      </c>
      <c r="AA18" s="91">
        <f t="shared" si="7"/>
        <v>22872.2</v>
      </c>
      <c r="AB18" s="91">
        <f t="shared" si="23"/>
        <v>6861.66</v>
      </c>
      <c r="AC18" s="91">
        <f t="shared" si="8"/>
        <v>6861.66</v>
      </c>
      <c r="AD18" s="89">
        <f t="shared" si="9"/>
        <v>2401.5809999999997</v>
      </c>
      <c r="AE18" s="89">
        <f t="shared" si="10"/>
        <v>2401.58</v>
      </c>
      <c r="AF18" s="89">
        <f t="shared" si="11"/>
        <v>411.69959999999998</v>
      </c>
      <c r="AG18" s="89">
        <f t="shared" si="12"/>
        <v>411.7</v>
      </c>
      <c r="AH18" s="89">
        <v>816.18</v>
      </c>
      <c r="AI18" s="89">
        <f t="shared" si="13"/>
        <v>816.18</v>
      </c>
      <c r="AJ18" s="89">
        <f t="shared" si="14"/>
        <v>274.46640000000002</v>
      </c>
      <c r="AK18" s="89">
        <f t="shared" si="15"/>
        <v>274.47000000000003</v>
      </c>
      <c r="AL18" s="89">
        <v>650</v>
      </c>
      <c r="AM18" s="89">
        <f t="shared" si="16"/>
        <v>650</v>
      </c>
      <c r="AN18" s="89">
        <v>350</v>
      </c>
      <c r="AO18" s="89">
        <f t="shared" si="17"/>
        <v>350</v>
      </c>
      <c r="AP18" s="89">
        <f t="shared" si="18"/>
        <v>6333.84</v>
      </c>
      <c r="AQ18" s="89">
        <f t="shared" si="19"/>
        <v>6333.84</v>
      </c>
      <c r="AR18" s="89">
        <f t="shared" si="20"/>
        <v>260476.68400000004</v>
      </c>
      <c r="AS18" s="89">
        <f t="shared" si="21"/>
        <v>260476.72000000003</v>
      </c>
      <c r="AT18" s="89"/>
      <c r="AU18" s="29"/>
      <c r="AV18" s="29"/>
      <c r="AW18" s="150"/>
      <c r="AX18" s="150"/>
      <c r="AY18" s="150"/>
      <c r="BF18" s="89">
        <f>400*12</f>
        <v>4800</v>
      </c>
    </row>
    <row r="19" spans="2:61" s="28" customFormat="1" ht="13.5" customHeight="1" x14ac:dyDescent="0.25">
      <c r="B19" s="98">
        <f t="shared" si="22"/>
        <v>9</v>
      </c>
      <c r="C19" s="98">
        <v>13</v>
      </c>
      <c r="D19" s="98">
        <v>56</v>
      </c>
      <c r="E19" s="98">
        <v>266</v>
      </c>
      <c r="F19" s="98">
        <v>795</v>
      </c>
      <c r="G19" s="98" t="s">
        <v>189</v>
      </c>
      <c r="H19" s="147" t="s">
        <v>188</v>
      </c>
      <c r="I19" s="147" t="s">
        <v>187</v>
      </c>
      <c r="J19" s="172">
        <v>38252</v>
      </c>
      <c r="K19" s="145">
        <v>2004</v>
      </c>
      <c r="L19" s="145">
        <f t="shared" si="0"/>
        <v>15</v>
      </c>
      <c r="M19" s="145">
        <v>4</v>
      </c>
      <c r="N19" s="148">
        <v>1</v>
      </c>
      <c r="O19" s="148">
        <v>40</v>
      </c>
      <c r="P19" s="148" t="s">
        <v>7</v>
      </c>
      <c r="Q19" s="147" t="s">
        <v>176</v>
      </c>
      <c r="R19" s="148">
        <v>1</v>
      </c>
      <c r="S19" s="147" t="s">
        <v>160</v>
      </c>
      <c r="T19" s="91">
        <v>8651.4</v>
      </c>
      <c r="U19" s="91">
        <f t="shared" si="1"/>
        <v>8651.4</v>
      </c>
      <c r="V19" s="91">
        <f t="shared" si="2"/>
        <v>410.72</v>
      </c>
      <c r="W19" s="91">
        <f t="shared" si="3"/>
        <v>410.72</v>
      </c>
      <c r="X19" s="91">
        <f t="shared" si="4"/>
        <v>1499.576</v>
      </c>
      <c r="Y19" s="91">
        <f t="shared" si="5"/>
        <v>1499.58</v>
      </c>
      <c r="Z19" s="91">
        <f t="shared" si="6"/>
        <v>14995.760000000002</v>
      </c>
      <c r="AA19" s="91">
        <f t="shared" si="7"/>
        <v>14995.76</v>
      </c>
      <c r="AB19" s="91">
        <f t="shared" si="23"/>
        <v>4498.7280000000001</v>
      </c>
      <c r="AC19" s="91">
        <f t="shared" si="8"/>
        <v>4498.7299999999996</v>
      </c>
      <c r="AD19" s="89">
        <f t="shared" si="9"/>
        <v>1574.5547999999999</v>
      </c>
      <c r="AE19" s="89">
        <f t="shared" si="10"/>
        <v>1574.55</v>
      </c>
      <c r="AF19" s="89">
        <f t="shared" si="11"/>
        <v>269.92367999999999</v>
      </c>
      <c r="AG19" s="89">
        <f t="shared" si="12"/>
        <v>269.92</v>
      </c>
      <c r="AH19" s="89">
        <v>684.65</v>
      </c>
      <c r="AI19" s="89">
        <f t="shared" si="13"/>
        <v>684.65</v>
      </c>
      <c r="AJ19" s="89">
        <f t="shared" si="14"/>
        <v>179.94911999999999</v>
      </c>
      <c r="AK19" s="89">
        <f t="shared" si="15"/>
        <v>179.95</v>
      </c>
      <c r="AL19" s="89">
        <v>650</v>
      </c>
      <c r="AM19" s="89">
        <f t="shared" si="16"/>
        <v>650</v>
      </c>
      <c r="AN19" s="89">
        <v>350</v>
      </c>
      <c r="AO19" s="89">
        <f t="shared" si="17"/>
        <v>350</v>
      </c>
      <c r="AP19" s="89">
        <f t="shared" si="18"/>
        <v>4152.6719999999996</v>
      </c>
      <c r="AQ19" s="89">
        <f t="shared" si="19"/>
        <v>4152.67</v>
      </c>
      <c r="AR19" s="89">
        <f t="shared" si="20"/>
        <v>178401.10719999997</v>
      </c>
      <c r="AS19" s="89">
        <f t="shared" si="21"/>
        <v>178401.02</v>
      </c>
      <c r="AT19" s="89">
        <f>+(V19+X19+AF19+AH19+AJ19+AL19+AN19+AP19)*12+Z19+AB19+AD19+AR19</f>
        <v>297840.03959999996</v>
      </c>
      <c r="AU19" s="29"/>
      <c r="AV19" s="29"/>
      <c r="AW19" s="150"/>
      <c r="AX19" s="150"/>
      <c r="AY19" s="150"/>
      <c r="BF19" s="89">
        <f>500*12</f>
        <v>6000</v>
      </c>
    </row>
    <row r="20" spans="2:61" s="28" customFormat="1" ht="13.5" customHeight="1" x14ac:dyDescent="0.25">
      <c r="B20" s="98">
        <f t="shared" si="22"/>
        <v>10</v>
      </c>
      <c r="C20" s="98">
        <v>13</v>
      </c>
      <c r="D20" s="98">
        <v>56</v>
      </c>
      <c r="E20" s="98">
        <v>266</v>
      </c>
      <c r="F20" s="98">
        <v>795</v>
      </c>
      <c r="G20" s="98" t="s">
        <v>186</v>
      </c>
      <c r="H20" s="147" t="s">
        <v>185</v>
      </c>
      <c r="I20" s="147" t="s">
        <v>184</v>
      </c>
      <c r="J20" s="172">
        <v>37953</v>
      </c>
      <c r="K20" s="145">
        <v>2003</v>
      </c>
      <c r="L20" s="145">
        <f t="shared" si="0"/>
        <v>16</v>
      </c>
      <c r="M20" s="145">
        <v>4</v>
      </c>
      <c r="N20" s="148">
        <v>2</v>
      </c>
      <c r="O20" s="148">
        <v>40</v>
      </c>
      <c r="P20" s="148" t="s">
        <v>7</v>
      </c>
      <c r="Q20" s="147" t="s">
        <v>161</v>
      </c>
      <c r="R20" s="148">
        <v>1</v>
      </c>
      <c r="S20" s="147" t="s">
        <v>160</v>
      </c>
      <c r="T20" s="91">
        <v>8914.7999999999993</v>
      </c>
      <c r="U20" s="91">
        <f t="shared" si="1"/>
        <v>8914.7999999999993</v>
      </c>
      <c r="V20" s="91">
        <f t="shared" si="2"/>
        <v>410.72</v>
      </c>
      <c r="W20" s="91">
        <f t="shared" si="3"/>
        <v>410.72</v>
      </c>
      <c r="X20" s="91">
        <f t="shared" si="4"/>
        <v>1545.232</v>
      </c>
      <c r="Y20" s="91">
        <f t="shared" si="5"/>
        <v>1545.23</v>
      </c>
      <c r="Z20" s="91">
        <f t="shared" si="6"/>
        <v>15452.32</v>
      </c>
      <c r="AA20" s="91">
        <f t="shared" si="7"/>
        <v>15452.32</v>
      </c>
      <c r="AB20" s="91">
        <f t="shared" si="23"/>
        <v>4635.6959999999999</v>
      </c>
      <c r="AC20" s="91">
        <f t="shared" si="8"/>
        <v>4635.7</v>
      </c>
      <c r="AD20" s="89">
        <f t="shared" si="9"/>
        <v>1622.4935999999998</v>
      </c>
      <c r="AE20" s="89">
        <f t="shared" si="10"/>
        <v>1622.49</v>
      </c>
      <c r="AF20" s="89">
        <f t="shared" si="11"/>
        <v>278.14175999999998</v>
      </c>
      <c r="AG20" s="89">
        <f t="shared" si="12"/>
        <v>278.14</v>
      </c>
      <c r="AH20" s="89">
        <v>692.27</v>
      </c>
      <c r="AI20" s="89">
        <f t="shared" si="13"/>
        <v>692.27</v>
      </c>
      <c r="AJ20" s="89">
        <f t="shared" si="14"/>
        <v>185.42784</v>
      </c>
      <c r="AK20" s="89">
        <f t="shared" si="15"/>
        <v>185.43</v>
      </c>
      <c r="AL20" s="89">
        <v>650</v>
      </c>
      <c r="AM20" s="89">
        <f t="shared" si="16"/>
        <v>650</v>
      </c>
      <c r="AN20" s="89">
        <v>350</v>
      </c>
      <c r="AO20" s="89">
        <f t="shared" si="17"/>
        <v>350</v>
      </c>
      <c r="AP20" s="89">
        <f t="shared" si="18"/>
        <v>4279.1039999999994</v>
      </c>
      <c r="AQ20" s="89">
        <f t="shared" si="19"/>
        <v>4279.1000000000004</v>
      </c>
      <c r="AR20" s="89">
        <f t="shared" si="20"/>
        <v>183158.59039999999</v>
      </c>
      <c r="AS20" s="89">
        <f t="shared" si="21"/>
        <v>183158.55000000002</v>
      </c>
      <c r="AT20" s="89"/>
      <c r="AU20" s="29"/>
      <c r="AV20" s="29"/>
      <c r="AW20" s="150"/>
      <c r="AX20" s="150"/>
      <c r="AY20" s="150"/>
      <c r="BF20" s="89">
        <f>400*12</f>
        <v>4800</v>
      </c>
    </row>
    <row r="21" spans="2:61" s="28" customFormat="1" ht="13.5" customHeight="1" x14ac:dyDescent="0.25">
      <c r="B21" s="98">
        <f t="shared" si="22"/>
        <v>11</v>
      </c>
      <c r="C21" s="98">
        <v>13</v>
      </c>
      <c r="D21" s="98">
        <v>56</v>
      </c>
      <c r="E21" s="98">
        <v>266</v>
      </c>
      <c r="F21" s="98">
        <v>795</v>
      </c>
      <c r="G21" s="98" t="s">
        <v>183</v>
      </c>
      <c r="H21" s="147" t="s">
        <v>182</v>
      </c>
      <c r="I21" s="147" t="s">
        <v>181</v>
      </c>
      <c r="J21" s="172">
        <v>37392</v>
      </c>
      <c r="K21" s="145">
        <v>2002</v>
      </c>
      <c r="L21" s="145">
        <f t="shared" si="0"/>
        <v>17</v>
      </c>
      <c r="M21" s="145">
        <v>4</v>
      </c>
      <c r="N21" s="148">
        <v>13</v>
      </c>
      <c r="O21" s="148">
        <v>40</v>
      </c>
      <c r="P21" s="148" t="s">
        <v>7</v>
      </c>
      <c r="Q21" s="147" t="s">
        <v>180</v>
      </c>
      <c r="R21" s="148">
        <v>1</v>
      </c>
      <c r="S21" s="147" t="s">
        <v>160</v>
      </c>
      <c r="T21" s="91">
        <v>12718.5</v>
      </c>
      <c r="U21" s="91">
        <f t="shared" si="1"/>
        <v>12718.5</v>
      </c>
      <c r="V21" s="91">
        <f t="shared" si="2"/>
        <v>410.72</v>
      </c>
      <c r="W21" s="91">
        <f t="shared" si="3"/>
        <v>410.72</v>
      </c>
      <c r="X21" s="91">
        <f t="shared" si="4"/>
        <v>2204.54</v>
      </c>
      <c r="Y21" s="91">
        <f t="shared" si="5"/>
        <v>2204.54</v>
      </c>
      <c r="Z21" s="91">
        <f t="shared" si="6"/>
        <v>22045.4</v>
      </c>
      <c r="AA21" s="91">
        <f t="shared" si="7"/>
        <v>22045.4</v>
      </c>
      <c r="AB21" s="91">
        <f t="shared" si="23"/>
        <v>6613.62</v>
      </c>
      <c r="AC21" s="91">
        <f t="shared" si="8"/>
        <v>6613.62</v>
      </c>
      <c r="AD21" s="89">
        <f t="shared" si="9"/>
        <v>2314.7669999999998</v>
      </c>
      <c r="AE21" s="89">
        <f t="shared" si="10"/>
        <v>2314.77</v>
      </c>
      <c r="AF21" s="89">
        <f t="shared" si="11"/>
        <v>396.81719999999996</v>
      </c>
      <c r="AG21" s="89">
        <f t="shared" si="12"/>
        <v>396.82</v>
      </c>
      <c r="AH21" s="89">
        <v>802.38</v>
      </c>
      <c r="AI21" s="89">
        <f t="shared" si="13"/>
        <v>802.38</v>
      </c>
      <c r="AJ21" s="89">
        <f t="shared" si="14"/>
        <v>264.54480000000001</v>
      </c>
      <c r="AK21" s="89">
        <f t="shared" si="15"/>
        <v>264.54000000000002</v>
      </c>
      <c r="AL21" s="89">
        <v>650</v>
      </c>
      <c r="AM21" s="89">
        <f t="shared" si="16"/>
        <v>650</v>
      </c>
      <c r="AN21" s="89">
        <v>350</v>
      </c>
      <c r="AO21" s="89">
        <f t="shared" si="17"/>
        <v>350</v>
      </c>
      <c r="AP21" s="89">
        <f t="shared" si="18"/>
        <v>6104.88</v>
      </c>
      <c r="AQ21" s="89">
        <f t="shared" si="19"/>
        <v>6104.88</v>
      </c>
      <c r="AR21" s="89">
        <f t="shared" si="20"/>
        <v>251861.18799999999</v>
      </c>
      <c r="AS21" s="89">
        <f t="shared" si="21"/>
        <v>251861.2</v>
      </c>
      <c r="AT21" s="89"/>
      <c r="AU21" s="29"/>
      <c r="AV21" s="29"/>
      <c r="AW21" s="150"/>
      <c r="AX21" s="150"/>
      <c r="AY21" s="150"/>
      <c r="BF21" s="89">
        <f>500*12</f>
        <v>6000</v>
      </c>
    </row>
    <row r="22" spans="2:61" s="28" customFormat="1" ht="13.5" customHeight="1" x14ac:dyDescent="0.25">
      <c r="B22" s="98">
        <f t="shared" si="22"/>
        <v>12</v>
      </c>
      <c r="C22" s="98">
        <v>13</v>
      </c>
      <c r="D22" s="98">
        <v>56</v>
      </c>
      <c r="E22" s="98">
        <v>266</v>
      </c>
      <c r="F22" s="98">
        <v>795</v>
      </c>
      <c r="G22" s="98" t="s">
        <v>179</v>
      </c>
      <c r="H22" s="147" t="s">
        <v>178</v>
      </c>
      <c r="I22" s="147" t="s">
        <v>177</v>
      </c>
      <c r="J22" s="172">
        <v>43346</v>
      </c>
      <c r="K22" s="145"/>
      <c r="L22" s="145"/>
      <c r="M22" s="145"/>
      <c r="N22" s="148">
        <v>1</v>
      </c>
      <c r="O22" s="148">
        <v>40</v>
      </c>
      <c r="P22" s="148" t="s">
        <v>7</v>
      </c>
      <c r="Q22" s="147" t="s">
        <v>176</v>
      </c>
      <c r="R22" s="148">
        <v>1</v>
      </c>
      <c r="S22" s="147" t="s">
        <v>160</v>
      </c>
      <c r="T22" s="91">
        <v>8651.4</v>
      </c>
      <c r="U22" s="91">
        <f t="shared" si="1"/>
        <v>8651.4</v>
      </c>
      <c r="V22" s="91">
        <f t="shared" si="2"/>
        <v>0</v>
      </c>
      <c r="W22" s="91">
        <f t="shared" si="3"/>
        <v>0</v>
      </c>
      <c r="X22" s="91">
        <f t="shared" si="4"/>
        <v>1499.576</v>
      </c>
      <c r="Y22" s="91">
        <f t="shared" si="5"/>
        <v>1499.58</v>
      </c>
      <c r="Z22" s="91">
        <f t="shared" si="6"/>
        <v>14995.760000000002</v>
      </c>
      <c r="AA22" s="91">
        <f t="shared" si="7"/>
        <v>14995.76</v>
      </c>
      <c r="AB22" s="91">
        <f t="shared" si="23"/>
        <v>4498.7280000000001</v>
      </c>
      <c r="AC22" s="91">
        <f t="shared" si="8"/>
        <v>4498.7299999999996</v>
      </c>
      <c r="AD22" s="89">
        <f t="shared" si="9"/>
        <v>1574.5547999999999</v>
      </c>
      <c r="AE22" s="89">
        <f t="shared" si="10"/>
        <v>1574.55</v>
      </c>
      <c r="AF22" s="89">
        <f t="shared" si="11"/>
        <v>269.92367999999999</v>
      </c>
      <c r="AG22" s="89">
        <f t="shared" si="12"/>
        <v>269.92</v>
      </c>
      <c r="AH22" s="89">
        <v>675.06</v>
      </c>
      <c r="AI22" s="89">
        <f t="shared" si="13"/>
        <v>675.06</v>
      </c>
      <c r="AJ22" s="89">
        <f t="shared" si="14"/>
        <v>179.94911999999999</v>
      </c>
      <c r="AK22" s="89">
        <f t="shared" si="15"/>
        <v>179.95</v>
      </c>
      <c r="AL22" s="89">
        <v>650</v>
      </c>
      <c r="AM22" s="89">
        <f t="shared" si="16"/>
        <v>650</v>
      </c>
      <c r="AN22" s="89">
        <v>350</v>
      </c>
      <c r="AO22" s="89">
        <f t="shared" si="17"/>
        <v>350</v>
      </c>
      <c r="AP22" s="89">
        <f t="shared" si="18"/>
        <v>4152.6719999999996</v>
      </c>
      <c r="AQ22" s="89">
        <f t="shared" si="19"/>
        <v>4152.67</v>
      </c>
      <c r="AR22" s="89">
        <f t="shared" si="20"/>
        <v>173357.38719999997</v>
      </c>
      <c r="AS22" s="89">
        <f t="shared" si="21"/>
        <v>173357.30000000002</v>
      </c>
      <c r="AT22" s="89"/>
      <c r="AU22" s="29"/>
      <c r="AV22" s="29"/>
      <c r="AW22" s="150"/>
      <c r="AX22" s="150"/>
      <c r="AY22" s="150"/>
      <c r="BF22" s="89">
        <f>500*12</f>
        <v>6000</v>
      </c>
    </row>
    <row r="23" spans="2:61" s="28" customFormat="1" ht="13.5" customHeight="1" x14ac:dyDescent="0.25">
      <c r="B23" s="98">
        <f t="shared" si="22"/>
        <v>13</v>
      </c>
      <c r="C23" s="98">
        <v>13</v>
      </c>
      <c r="D23" s="98">
        <v>56</v>
      </c>
      <c r="E23" s="98">
        <v>266</v>
      </c>
      <c r="F23" s="98">
        <v>795</v>
      </c>
      <c r="G23" s="98" t="s">
        <v>175</v>
      </c>
      <c r="H23" s="147" t="s">
        <v>174</v>
      </c>
      <c r="I23" s="147" t="s">
        <v>173</v>
      </c>
      <c r="J23" s="172">
        <v>40452</v>
      </c>
      <c r="K23" s="145">
        <v>2010</v>
      </c>
      <c r="L23" s="145">
        <f>+$L$10-K23</f>
        <v>9</v>
      </c>
      <c r="M23" s="145">
        <v>2</v>
      </c>
      <c r="N23" s="148">
        <v>2</v>
      </c>
      <c r="O23" s="148">
        <v>40</v>
      </c>
      <c r="P23" s="148" t="s">
        <v>7</v>
      </c>
      <c r="Q23" s="147" t="s">
        <v>161</v>
      </c>
      <c r="R23" s="148">
        <v>1</v>
      </c>
      <c r="S23" s="147" t="s">
        <v>160</v>
      </c>
      <c r="T23" s="91">
        <v>8914.7999999999993</v>
      </c>
      <c r="U23" s="91">
        <f t="shared" si="1"/>
        <v>8914.7999999999993</v>
      </c>
      <c r="V23" s="91">
        <f t="shared" si="2"/>
        <v>205.36</v>
      </c>
      <c r="W23" s="91">
        <f t="shared" si="3"/>
        <v>205.36</v>
      </c>
      <c r="X23" s="91">
        <f t="shared" si="4"/>
        <v>1545.232</v>
      </c>
      <c r="Y23" s="91">
        <f t="shared" si="5"/>
        <v>1545.23</v>
      </c>
      <c r="Z23" s="91">
        <f t="shared" si="6"/>
        <v>15452.32</v>
      </c>
      <c r="AA23" s="91">
        <f t="shared" si="7"/>
        <v>15452.32</v>
      </c>
      <c r="AB23" s="91">
        <f t="shared" si="23"/>
        <v>4635.6959999999999</v>
      </c>
      <c r="AC23" s="91">
        <f t="shared" si="8"/>
        <v>4635.7</v>
      </c>
      <c r="AD23" s="89">
        <f t="shared" si="9"/>
        <v>1622.4935999999998</v>
      </c>
      <c r="AE23" s="89">
        <f t="shared" si="10"/>
        <v>1622.49</v>
      </c>
      <c r="AF23" s="89">
        <f t="shared" si="11"/>
        <v>278.14175999999998</v>
      </c>
      <c r="AG23" s="89">
        <f t="shared" si="12"/>
        <v>278.14</v>
      </c>
      <c r="AH23" s="89">
        <v>687.48</v>
      </c>
      <c r="AI23" s="89">
        <f t="shared" si="13"/>
        <v>687.48</v>
      </c>
      <c r="AJ23" s="89">
        <f t="shared" si="14"/>
        <v>185.42784</v>
      </c>
      <c r="AK23" s="89">
        <f t="shared" si="15"/>
        <v>185.43</v>
      </c>
      <c r="AL23" s="89">
        <v>650</v>
      </c>
      <c r="AM23" s="89">
        <f t="shared" si="16"/>
        <v>650</v>
      </c>
      <c r="AN23" s="89">
        <v>350</v>
      </c>
      <c r="AO23" s="89">
        <f t="shared" si="17"/>
        <v>350</v>
      </c>
      <c r="AP23" s="89">
        <f t="shared" si="18"/>
        <v>4279.1039999999994</v>
      </c>
      <c r="AQ23" s="89">
        <f t="shared" si="19"/>
        <v>4279.1000000000004</v>
      </c>
      <c r="AR23" s="89">
        <f t="shared" si="20"/>
        <v>180636.79039999997</v>
      </c>
      <c r="AS23" s="89">
        <f t="shared" si="21"/>
        <v>180636.75000000003</v>
      </c>
      <c r="AT23" s="89"/>
      <c r="AU23" s="29"/>
      <c r="AV23" s="29"/>
      <c r="AW23" s="150"/>
      <c r="AX23" s="150"/>
      <c r="AY23" s="150"/>
      <c r="BF23" s="89">
        <f>400*12</f>
        <v>4800</v>
      </c>
    </row>
    <row r="24" spans="2:61" s="28" customFormat="1" ht="13.5" customHeight="1" x14ac:dyDescent="0.25">
      <c r="B24" s="98">
        <f t="shared" si="22"/>
        <v>14</v>
      </c>
      <c r="C24" s="98">
        <v>13</v>
      </c>
      <c r="D24" s="98">
        <v>56</v>
      </c>
      <c r="E24" s="98">
        <v>266</v>
      </c>
      <c r="F24" s="98">
        <v>795</v>
      </c>
      <c r="G24" s="98" t="s">
        <v>172</v>
      </c>
      <c r="H24" s="147" t="s">
        <v>171</v>
      </c>
      <c r="I24" s="147" t="s">
        <v>170</v>
      </c>
      <c r="J24" s="172">
        <v>38817</v>
      </c>
      <c r="K24" s="145">
        <v>2006</v>
      </c>
      <c r="L24" s="145">
        <f>+$L$10-K24</f>
        <v>13</v>
      </c>
      <c r="M24" s="145">
        <v>3</v>
      </c>
      <c r="N24" s="148">
        <v>3</v>
      </c>
      <c r="O24" s="148">
        <v>40</v>
      </c>
      <c r="P24" s="148" t="s">
        <v>7</v>
      </c>
      <c r="Q24" s="147" t="s">
        <v>169</v>
      </c>
      <c r="R24" s="148">
        <v>1</v>
      </c>
      <c r="S24" s="147" t="s">
        <v>160</v>
      </c>
      <c r="T24" s="91">
        <v>9419.1</v>
      </c>
      <c r="U24" s="91">
        <f t="shared" si="1"/>
        <v>9419.1</v>
      </c>
      <c r="V24" s="91">
        <f t="shared" si="2"/>
        <v>308.04000000000002</v>
      </c>
      <c r="W24" s="91">
        <f t="shared" si="3"/>
        <v>308.04000000000002</v>
      </c>
      <c r="X24" s="91">
        <f t="shared" si="4"/>
        <v>1632.644</v>
      </c>
      <c r="Y24" s="91">
        <f t="shared" si="5"/>
        <v>1632.64</v>
      </c>
      <c r="Z24" s="91">
        <f t="shared" si="6"/>
        <v>16326.439999999999</v>
      </c>
      <c r="AA24" s="91">
        <f t="shared" si="7"/>
        <v>16326.44</v>
      </c>
      <c r="AB24" s="91">
        <f t="shared" si="23"/>
        <v>4897.9319999999998</v>
      </c>
      <c r="AC24" s="91">
        <f t="shared" si="8"/>
        <v>4897.93</v>
      </c>
      <c r="AD24" s="89">
        <f t="shared" si="9"/>
        <v>1714.2761999999998</v>
      </c>
      <c r="AE24" s="89">
        <f t="shared" si="10"/>
        <v>1714.28</v>
      </c>
      <c r="AF24" s="89">
        <f t="shared" si="11"/>
        <v>293.87591999999995</v>
      </c>
      <c r="AG24" s="89">
        <f t="shared" si="12"/>
        <v>293.88</v>
      </c>
      <c r="AH24" s="89">
        <v>704.47</v>
      </c>
      <c r="AI24" s="89">
        <f t="shared" si="13"/>
        <v>704.47</v>
      </c>
      <c r="AJ24" s="89">
        <f t="shared" si="14"/>
        <v>195.91728000000001</v>
      </c>
      <c r="AK24" s="89">
        <f t="shared" si="15"/>
        <v>195.92</v>
      </c>
      <c r="AL24" s="89">
        <v>650</v>
      </c>
      <c r="AM24" s="89">
        <f t="shared" si="16"/>
        <v>650</v>
      </c>
      <c r="AN24" s="89">
        <v>350</v>
      </c>
      <c r="AO24" s="89">
        <f t="shared" si="17"/>
        <v>350</v>
      </c>
      <c r="AP24" s="89">
        <f t="shared" si="18"/>
        <v>4521.1679999999997</v>
      </c>
      <c r="AQ24" s="89">
        <f t="shared" si="19"/>
        <v>4521.17</v>
      </c>
      <c r="AR24" s="89">
        <f t="shared" si="20"/>
        <v>191006.33680000002</v>
      </c>
      <c r="AS24" s="89">
        <f t="shared" si="21"/>
        <v>191006.46000000002</v>
      </c>
      <c r="AT24" s="89">
        <f>+(V24+X24+AF24+AH24+AJ24+AL24+AN24+AP24)*12+Z24+AB24+AD24+AR24</f>
        <v>317818.36739999999</v>
      </c>
      <c r="AU24" s="29"/>
      <c r="AV24" s="29"/>
      <c r="AW24" s="150"/>
      <c r="AX24" s="150"/>
      <c r="AY24" s="150"/>
      <c r="BF24" s="89">
        <f>500*12</f>
        <v>6000</v>
      </c>
    </row>
    <row r="25" spans="2:61" s="28" customFormat="1" ht="13.5" customHeight="1" x14ac:dyDescent="0.25">
      <c r="B25" s="98">
        <f t="shared" si="22"/>
        <v>15</v>
      </c>
      <c r="C25" s="98">
        <v>13</v>
      </c>
      <c r="D25" s="98">
        <v>56</v>
      </c>
      <c r="E25" s="98">
        <v>266</v>
      </c>
      <c r="F25" s="98">
        <v>795</v>
      </c>
      <c r="G25" s="98" t="s">
        <v>168</v>
      </c>
      <c r="H25" s="147" t="s">
        <v>167</v>
      </c>
      <c r="I25" s="147" t="s">
        <v>166</v>
      </c>
      <c r="J25" s="172">
        <v>41008</v>
      </c>
      <c r="K25" s="145">
        <v>2012</v>
      </c>
      <c r="L25" s="145">
        <f>+$L$10-K25</f>
        <v>7</v>
      </c>
      <c r="M25" s="145">
        <v>2</v>
      </c>
      <c r="N25" s="148">
        <v>8</v>
      </c>
      <c r="O25" s="148">
        <v>40</v>
      </c>
      <c r="P25" s="148" t="s">
        <v>7</v>
      </c>
      <c r="Q25" s="147" t="s">
        <v>165</v>
      </c>
      <c r="R25" s="148">
        <v>1</v>
      </c>
      <c r="S25" s="147" t="s">
        <v>160</v>
      </c>
      <c r="T25" s="91">
        <v>11481</v>
      </c>
      <c r="U25" s="91">
        <f t="shared" si="1"/>
        <v>11481</v>
      </c>
      <c r="V25" s="91">
        <f t="shared" si="2"/>
        <v>205.36</v>
      </c>
      <c r="W25" s="91">
        <f t="shared" si="3"/>
        <v>205.36</v>
      </c>
      <c r="X25" s="91">
        <f t="shared" si="4"/>
        <v>1990.04</v>
      </c>
      <c r="Y25" s="91">
        <f t="shared" si="5"/>
        <v>1990.04</v>
      </c>
      <c r="Z25" s="91">
        <f t="shared" si="6"/>
        <v>19900.399999999998</v>
      </c>
      <c r="AA25" s="91">
        <f t="shared" si="7"/>
        <v>19900.400000000001</v>
      </c>
      <c r="AB25" s="91">
        <f t="shared" si="23"/>
        <v>5970.12</v>
      </c>
      <c r="AC25" s="91">
        <f t="shared" si="8"/>
        <v>5970.12</v>
      </c>
      <c r="AD25" s="89">
        <f t="shared" si="9"/>
        <v>2089.5419999999999</v>
      </c>
      <c r="AE25" s="89">
        <f t="shared" si="10"/>
        <v>2089.54</v>
      </c>
      <c r="AF25" s="89">
        <f t="shared" si="11"/>
        <v>358.2072</v>
      </c>
      <c r="AG25" s="89">
        <f t="shared" si="12"/>
        <v>358.21</v>
      </c>
      <c r="AH25" s="89">
        <v>761.76</v>
      </c>
      <c r="AI25" s="89">
        <f t="shared" si="13"/>
        <v>761.76</v>
      </c>
      <c r="AJ25" s="89">
        <f t="shared" si="14"/>
        <v>238.8048</v>
      </c>
      <c r="AK25" s="89">
        <f t="shared" si="15"/>
        <v>238.8</v>
      </c>
      <c r="AL25" s="89">
        <v>650</v>
      </c>
      <c r="AM25" s="89">
        <f t="shared" si="16"/>
        <v>650</v>
      </c>
      <c r="AN25" s="89">
        <v>350</v>
      </c>
      <c r="AO25" s="89">
        <f t="shared" si="17"/>
        <v>350</v>
      </c>
      <c r="AP25" s="89">
        <f t="shared" si="18"/>
        <v>5510.88</v>
      </c>
      <c r="AQ25" s="89">
        <f t="shared" si="19"/>
        <v>5510.88</v>
      </c>
      <c r="AR25" s="89">
        <f t="shared" si="20"/>
        <v>226987.52800000002</v>
      </c>
      <c r="AS25" s="89">
        <f t="shared" si="21"/>
        <v>226987.48</v>
      </c>
      <c r="AT25" s="89"/>
      <c r="AU25" s="29"/>
      <c r="AV25" s="29"/>
      <c r="AW25" s="150"/>
      <c r="AX25" s="150"/>
      <c r="AY25" s="150"/>
      <c r="BF25" s="89">
        <f>500*12</f>
        <v>6000</v>
      </c>
    </row>
    <row r="26" spans="2:61" s="28" customFormat="1" ht="13.5" customHeight="1" x14ac:dyDescent="0.25">
      <c r="B26" s="98">
        <f t="shared" si="22"/>
        <v>16</v>
      </c>
      <c r="C26" s="98">
        <v>13</v>
      </c>
      <c r="D26" s="98">
        <v>56</v>
      </c>
      <c r="E26" s="98">
        <v>266</v>
      </c>
      <c r="F26" s="98">
        <v>795</v>
      </c>
      <c r="G26" s="98" t="s">
        <v>164</v>
      </c>
      <c r="H26" s="147" t="s">
        <v>163</v>
      </c>
      <c r="I26" s="147" t="s">
        <v>162</v>
      </c>
      <c r="J26" s="172">
        <v>42036</v>
      </c>
      <c r="K26" s="145">
        <v>2015</v>
      </c>
      <c r="L26" s="145">
        <f>+$L$10-K26</f>
        <v>4</v>
      </c>
      <c r="M26" s="145">
        <v>0</v>
      </c>
      <c r="N26" s="148">
        <v>2</v>
      </c>
      <c r="O26" s="148">
        <v>20</v>
      </c>
      <c r="P26" s="148" t="s">
        <v>7</v>
      </c>
      <c r="Q26" s="147" t="s">
        <v>161</v>
      </c>
      <c r="R26" s="148">
        <v>1</v>
      </c>
      <c r="S26" s="147" t="s">
        <v>160</v>
      </c>
      <c r="T26" s="91">
        <v>4457.3999999999996</v>
      </c>
      <c r="U26" s="91">
        <f t="shared" si="1"/>
        <v>4457.3999999999996</v>
      </c>
      <c r="V26" s="91">
        <f t="shared" si="2"/>
        <v>0</v>
      </c>
      <c r="W26" s="91">
        <f t="shared" si="3"/>
        <v>0</v>
      </c>
      <c r="X26" s="91">
        <f t="shared" si="4"/>
        <v>772.61599999999999</v>
      </c>
      <c r="Y26" s="91">
        <f t="shared" si="5"/>
        <v>772.62</v>
      </c>
      <c r="Z26" s="91">
        <f t="shared" si="6"/>
        <v>7726.16</v>
      </c>
      <c r="AA26" s="91">
        <f t="shared" si="7"/>
        <v>7726.16</v>
      </c>
      <c r="AB26" s="91">
        <f t="shared" si="23"/>
        <v>2317.848</v>
      </c>
      <c r="AC26" s="91">
        <f t="shared" si="8"/>
        <v>2317.85</v>
      </c>
      <c r="AD26" s="89">
        <f t="shared" si="9"/>
        <v>811.24679999999989</v>
      </c>
      <c r="AE26" s="89">
        <f t="shared" si="10"/>
        <v>811.25</v>
      </c>
      <c r="AF26" s="89">
        <f t="shared" si="11"/>
        <v>139.07087999999999</v>
      </c>
      <c r="AG26" s="89">
        <f t="shared" si="12"/>
        <v>139.07</v>
      </c>
      <c r="AH26" s="89">
        <v>580.29</v>
      </c>
      <c r="AI26" s="89">
        <f t="shared" si="13"/>
        <v>580.29</v>
      </c>
      <c r="AJ26" s="89">
        <f t="shared" si="14"/>
        <v>92.713920000000002</v>
      </c>
      <c r="AK26" s="89">
        <f t="shared" si="15"/>
        <v>92.71</v>
      </c>
      <c r="AL26" s="89">
        <v>325</v>
      </c>
      <c r="AM26" s="89">
        <f t="shared" si="16"/>
        <v>325</v>
      </c>
      <c r="AN26" s="89">
        <v>175</v>
      </c>
      <c r="AO26" s="89">
        <f t="shared" si="17"/>
        <v>175</v>
      </c>
      <c r="AP26" s="89">
        <f t="shared" si="18"/>
        <v>2139.5519999999997</v>
      </c>
      <c r="AQ26" s="89">
        <f t="shared" si="19"/>
        <v>2139.5500000000002</v>
      </c>
      <c r="AR26" s="89">
        <f t="shared" si="20"/>
        <v>91924.835199999987</v>
      </c>
      <c r="AS26" s="89">
        <f t="shared" si="21"/>
        <v>91924.819999999992</v>
      </c>
      <c r="AT26" s="89"/>
      <c r="AU26" s="29"/>
      <c r="AV26" s="29"/>
      <c r="AW26" s="150"/>
      <c r="AX26" s="150"/>
      <c r="AY26" s="150"/>
      <c r="BF26" s="89">
        <f>500*12</f>
        <v>6000</v>
      </c>
    </row>
    <row r="27" spans="2:61" s="28" customFormat="1" ht="13.5" customHeight="1" x14ac:dyDescent="0.25">
      <c r="B27" s="98">
        <f t="shared" si="22"/>
        <v>17</v>
      </c>
      <c r="C27" s="98">
        <v>13</v>
      </c>
      <c r="D27" s="98">
        <v>56</v>
      </c>
      <c r="E27" s="98">
        <v>266</v>
      </c>
      <c r="F27" s="98">
        <v>795</v>
      </c>
      <c r="G27" s="98" t="s">
        <v>159</v>
      </c>
      <c r="H27" s="147" t="s">
        <v>132</v>
      </c>
      <c r="I27" s="147"/>
      <c r="J27" s="172"/>
      <c r="K27" s="145">
        <v>2016</v>
      </c>
      <c r="L27" s="145">
        <f>+$L$10-K27</f>
        <v>3</v>
      </c>
      <c r="M27" s="145">
        <v>0</v>
      </c>
      <c r="N27" s="148">
        <v>15</v>
      </c>
      <c r="O27" s="148">
        <v>40</v>
      </c>
      <c r="P27" s="148" t="s">
        <v>7</v>
      </c>
      <c r="Q27" s="147" t="s">
        <v>158</v>
      </c>
      <c r="R27" s="148">
        <v>1</v>
      </c>
      <c r="S27" s="147" t="s">
        <v>79</v>
      </c>
      <c r="T27" s="91">
        <v>14404.8</v>
      </c>
      <c r="U27" s="91">
        <f t="shared" si="1"/>
        <v>14404.8</v>
      </c>
      <c r="V27" s="91">
        <f t="shared" si="2"/>
        <v>0</v>
      </c>
      <c r="W27" s="91">
        <f t="shared" si="3"/>
        <v>0</v>
      </c>
      <c r="X27" s="91">
        <f t="shared" si="4"/>
        <v>2496.8319999999999</v>
      </c>
      <c r="Y27" s="91">
        <f t="shared" si="5"/>
        <v>2496.83</v>
      </c>
      <c r="Z27" s="91">
        <f t="shared" si="6"/>
        <v>24968.319999999996</v>
      </c>
      <c r="AA27" s="91">
        <f t="shared" si="7"/>
        <v>24968.32</v>
      </c>
      <c r="AB27" s="91">
        <f t="shared" si="23"/>
        <v>7490.4959999999992</v>
      </c>
      <c r="AC27" s="91">
        <f t="shared" si="8"/>
        <v>7490.5</v>
      </c>
      <c r="AD27" s="89">
        <f t="shared" si="9"/>
        <v>2621.6735999999996</v>
      </c>
      <c r="AE27" s="89">
        <f t="shared" si="10"/>
        <v>2621.67</v>
      </c>
      <c r="AF27" s="89">
        <f t="shared" si="11"/>
        <v>449.42975999999993</v>
      </c>
      <c r="AG27" s="89">
        <f t="shared" si="12"/>
        <v>449.43</v>
      </c>
      <c r="AH27" s="89">
        <v>841.6</v>
      </c>
      <c r="AI27" s="89">
        <f t="shared" si="13"/>
        <v>841.6</v>
      </c>
      <c r="AJ27" s="89">
        <f t="shared" si="14"/>
        <v>299.61983999999995</v>
      </c>
      <c r="AK27" s="89">
        <f t="shared" si="15"/>
        <v>299.62</v>
      </c>
      <c r="AL27" s="89">
        <v>650</v>
      </c>
      <c r="AM27" s="89">
        <f t="shared" si="16"/>
        <v>650</v>
      </c>
      <c r="AN27" s="89">
        <v>350</v>
      </c>
      <c r="AO27" s="89">
        <f t="shared" si="17"/>
        <v>350</v>
      </c>
      <c r="AP27" s="89">
        <f t="shared" si="18"/>
        <v>6914.3040000000001</v>
      </c>
      <c r="AQ27" s="89">
        <f t="shared" si="19"/>
        <v>6914.3</v>
      </c>
      <c r="AR27" s="89">
        <f t="shared" si="20"/>
        <v>277275.4303999999</v>
      </c>
      <c r="AS27" s="89">
        <f t="shared" si="21"/>
        <v>277275.38999999996</v>
      </c>
      <c r="AT27" s="89"/>
      <c r="AU27" s="29"/>
      <c r="AV27" s="29"/>
      <c r="AW27" s="150"/>
      <c r="AX27" s="150"/>
      <c r="AY27" s="150"/>
      <c r="BF27" s="89">
        <f>450*12</f>
        <v>5400</v>
      </c>
    </row>
    <row r="28" spans="2:61" ht="3.75" customHeight="1" x14ac:dyDescent="0.2">
      <c r="G28" s="29"/>
      <c r="H28" s="28"/>
      <c r="I28" s="28"/>
      <c r="J28" s="60"/>
      <c r="N28" s="27"/>
      <c r="O28" s="27"/>
      <c r="P28" s="27"/>
      <c r="Q28" s="28"/>
      <c r="R28" s="28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V28" s="29"/>
    </row>
    <row r="29" spans="2:61" s="28" customFormat="1" ht="15" x14ac:dyDescent="0.2">
      <c r="B29" s="76"/>
      <c r="C29" s="76"/>
      <c r="D29" s="76"/>
      <c r="E29" s="76"/>
      <c r="F29" s="76"/>
      <c r="G29" s="131"/>
      <c r="H29" s="44"/>
      <c r="I29" s="44"/>
      <c r="J29" s="170"/>
      <c r="K29" s="171"/>
      <c r="L29" s="171"/>
      <c r="M29" s="171"/>
      <c r="N29" s="170"/>
      <c r="O29" s="170"/>
      <c r="P29" s="170"/>
      <c r="R29" s="169"/>
      <c r="S29" s="168" t="s">
        <v>157</v>
      </c>
      <c r="T29" s="71">
        <f>SUM(T11:T27)</f>
        <v>232785.29999999996</v>
      </c>
      <c r="U29" s="71">
        <f>SUM(U11:U28)</f>
        <v>232785.29999999996</v>
      </c>
      <c r="V29" s="71">
        <f t="shared" ref="V29:AS29" si="24">SUM(V11:V27)</f>
        <v>4415.2400000000016</v>
      </c>
      <c r="W29" s="71">
        <f t="shared" si="24"/>
        <v>4415.2400000000016</v>
      </c>
      <c r="X29" s="71">
        <f t="shared" si="24"/>
        <v>40349.452000000012</v>
      </c>
      <c r="Y29" s="71">
        <f t="shared" si="24"/>
        <v>40349.450000000012</v>
      </c>
      <c r="Z29" s="71">
        <f t="shared" si="24"/>
        <v>403494.52000000008</v>
      </c>
      <c r="AA29" s="71">
        <f t="shared" si="24"/>
        <v>403494.52000000008</v>
      </c>
      <c r="AB29" s="71">
        <f t="shared" si="24"/>
        <v>96553.23599999999</v>
      </c>
      <c r="AC29" s="71">
        <f t="shared" si="24"/>
        <v>96553.249999999971</v>
      </c>
      <c r="AD29" s="71">
        <f t="shared" si="24"/>
        <v>42366.924600000006</v>
      </c>
      <c r="AE29" s="71">
        <f t="shared" si="24"/>
        <v>42366.89</v>
      </c>
      <c r="AF29" s="71">
        <f t="shared" si="24"/>
        <v>7262.9013599999989</v>
      </c>
      <c r="AG29" s="71">
        <f t="shared" si="24"/>
        <v>7262.89</v>
      </c>
      <c r="AH29" s="71">
        <f t="shared" si="24"/>
        <v>14039.76</v>
      </c>
      <c r="AI29" s="71">
        <f t="shared" si="24"/>
        <v>14039.76</v>
      </c>
      <c r="AJ29" s="71">
        <f t="shared" si="24"/>
        <v>4841.9342400000014</v>
      </c>
      <c r="AK29" s="71">
        <f t="shared" si="24"/>
        <v>4841.9399999999996</v>
      </c>
      <c r="AL29" s="71">
        <f t="shared" si="24"/>
        <v>10725</v>
      </c>
      <c r="AM29" s="71">
        <f t="shared" si="24"/>
        <v>10725</v>
      </c>
      <c r="AN29" s="71">
        <f t="shared" si="24"/>
        <v>5775</v>
      </c>
      <c r="AO29" s="71">
        <f t="shared" si="24"/>
        <v>5775</v>
      </c>
      <c r="AP29" s="71">
        <f t="shared" si="24"/>
        <v>111736.94400000005</v>
      </c>
      <c r="AQ29" s="71">
        <f t="shared" si="24"/>
        <v>111736.93000000002</v>
      </c>
      <c r="AR29" s="71">
        <f t="shared" si="24"/>
        <v>4518678.8743999992</v>
      </c>
      <c r="AS29" s="71">
        <f t="shared" si="24"/>
        <v>4518678.3899999997</v>
      </c>
      <c r="AT29" s="2"/>
      <c r="AU29" s="68">
        <f>+AS29-'[1]plantilla completa '!AS24</f>
        <v>-80321.860000000335</v>
      </c>
      <c r="AV29" s="68"/>
      <c r="BF29" s="70">
        <f>SUM(BF11:BF27)</f>
        <v>88200</v>
      </c>
    </row>
    <row r="30" spans="2:61" s="28" customFormat="1" ht="3.75" customHeight="1" thickBot="1" x14ac:dyDescent="0.25">
      <c r="B30" s="76"/>
      <c r="C30" s="76"/>
      <c r="D30" s="76"/>
      <c r="E30" s="76"/>
      <c r="F30" s="76"/>
      <c r="G30" s="131"/>
      <c r="H30" s="44"/>
      <c r="I30" s="44"/>
      <c r="J30" s="130"/>
      <c r="K30" s="48"/>
      <c r="L30" s="48"/>
      <c r="M30" s="48"/>
      <c r="N30" s="129"/>
      <c r="O30" s="129"/>
      <c r="P30" s="129"/>
      <c r="Q30" s="44"/>
      <c r="R30" s="129"/>
      <c r="S30" s="44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167"/>
      <c r="AS30" s="167"/>
      <c r="AT30" s="151"/>
      <c r="AU30" s="68"/>
      <c r="BF30" s="167"/>
      <c r="BH30" s="166"/>
      <c r="BI30" s="166"/>
    </row>
    <row r="31" spans="2:61" s="28" customFormat="1" x14ac:dyDescent="0.2">
      <c r="B31" s="165">
        <f>+B27+1</f>
        <v>18</v>
      </c>
      <c r="C31" s="98">
        <v>13</v>
      </c>
      <c r="D31" s="98">
        <v>56</v>
      </c>
      <c r="E31" s="98">
        <v>266</v>
      </c>
      <c r="F31" s="98">
        <v>795</v>
      </c>
      <c r="G31" s="165" t="s">
        <v>156</v>
      </c>
      <c r="H31" s="119" t="s">
        <v>155</v>
      </c>
      <c r="I31" s="119" t="s">
        <v>154</v>
      </c>
      <c r="J31" s="164">
        <v>40042</v>
      </c>
      <c r="K31" s="163">
        <v>2009</v>
      </c>
      <c r="L31" s="163">
        <f t="shared" ref="L31:L36" si="25">+$L$10-K31</f>
        <v>10</v>
      </c>
      <c r="M31" s="163">
        <v>3</v>
      </c>
      <c r="N31" s="120">
        <v>15</v>
      </c>
      <c r="O31" s="120">
        <v>40</v>
      </c>
      <c r="P31" s="120" t="s">
        <v>7</v>
      </c>
      <c r="Q31" s="119" t="s">
        <v>59</v>
      </c>
      <c r="R31" s="120">
        <v>1</v>
      </c>
      <c r="S31" s="119" t="s">
        <v>5</v>
      </c>
      <c r="T31" s="162">
        <v>14535.6</v>
      </c>
      <c r="U31" s="161">
        <f t="shared" ref="U31:U63" si="26">ROUND(T31,2)</f>
        <v>14535.6</v>
      </c>
      <c r="V31" s="118">
        <f t="shared" ref="V31:V63" si="27">+$H$94*M31</f>
        <v>308.04000000000002</v>
      </c>
      <c r="W31" s="161">
        <f t="shared" ref="W31:W63" si="28">ROUND(V31,2)</f>
        <v>308.04000000000002</v>
      </c>
      <c r="X31" s="118">
        <f t="shared" ref="X31:X63" si="29">+((T31+AP31/12)/30)*20*25%</f>
        <v>2519.5040000000004</v>
      </c>
      <c r="Y31" s="161">
        <f t="shared" ref="Y31:Y63" si="30">ROUND(X31,2)</f>
        <v>2519.5</v>
      </c>
      <c r="Z31" s="161">
        <f t="shared" ref="Z31:Z63" si="31">(T31+(AP31/12))/30*50</f>
        <v>25195.040000000005</v>
      </c>
      <c r="AA31" s="161">
        <f t="shared" ref="AA31:AA63" si="32">ROUND(Z31,2)</f>
        <v>25195.040000000001</v>
      </c>
      <c r="AB31" s="161">
        <f t="shared" ref="AB31:AB63" si="33">(T31+(AP31/12))/30*15</f>
        <v>7558.5120000000006</v>
      </c>
      <c r="AC31" s="161">
        <f t="shared" ref="AC31:AC63" si="34">ROUND(AB31,2)</f>
        <v>7558.51</v>
      </c>
      <c r="AD31" s="161">
        <f t="shared" ref="AD31:AD63" si="35">(T31+(AP31/12))*17.5%</f>
        <v>2645.4792000000002</v>
      </c>
      <c r="AE31" s="161">
        <f t="shared" ref="AE31:AE63" si="36">ROUND(AD31,2)</f>
        <v>2645.48</v>
      </c>
      <c r="AF31" s="161">
        <f t="shared" ref="AF31:AF63" si="37">(T31+(AP31/12))*3%</f>
        <v>453.51072000000005</v>
      </c>
      <c r="AG31" s="161">
        <f t="shared" ref="AG31:AG63" si="38">ROUND(AF31,2)</f>
        <v>453.51</v>
      </c>
      <c r="AH31" s="161">
        <v>852.58</v>
      </c>
      <c r="AI31" s="161">
        <f t="shared" ref="AI31:AI63" si="39">ROUND(AH31,2)</f>
        <v>852.58</v>
      </c>
      <c r="AJ31" s="161">
        <f t="shared" ref="AJ31:AJ63" si="40">(T31+(AP31/12))*2%</f>
        <v>302.34048000000001</v>
      </c>
      <c r="AK31" s="161">
        <f t="shared" ref="AK31:AK63" si="41">ROUND(AJ31,2)</f>
        <v>302.33999999999997</v>
      </c>
      <c r="AL31" s="161">
        <v>650</v>
      </c>
      <c r="AM31" s="161">
        <f t="shared" ref="AM31:AM63" si="42">ROUND(AL31,2)</f>
        <v>650</v>
      </c>
      <c r="AN31" s="161">
        <v>350</v>
      </c>
      <c r="AO31" s="161">
        <f t="shared" ref="AO31:AO63" si="43">ROUND(AN31,2)</f>
        <v>350</v>
      </c>
      <c r="AP31" s="160">
        <f t="shared" ref="AP31:AP60" si="44">T31*0.04*12</f>
        <v>6977.0879999999997</v>
      </c>
      <c r="AQ31" s="160">
        <f t="shared" ref="AQ31:AQ63" si="45">ROUND(AP31,2)</f>
        <v>6977.09</v>
      </c>
      <c r="AR31" s="117">
        <f t="shared" ref="AR31:AR63" si="46">+(T31+V31+AD31+AF31+AH31+AJ31+AL31+AN31)*12+X31+Z31+AB31+AP31</f>
        <v>283420.74879999994</v>
      </c>
      <c r="AS31" s="117">
        <f t="shared" ref="AS31:AS63" si="47">+(U31+W31+AE31+AG31+AI31+AK31+AM31+AO31)*12+Y31+AA31+AC31+AQ31</f>
        <v>283420.74000000005</v>
      </c>
      <c r="AT31" s="2"/>
      <c r="AU31" s="68"/>
      <c r="AV31" s="150"/>
      <c r="BF31" s="117">
        <f>400*12</f>
        <v>4800</v>
      </c>
      <c r="BH31" s="159" t="s">
        <v>153</v>
      </c>
      <c r="BI31" s="158" t="s">
        <v>152</v>
      </c>
    </row>
    <row r="32" spans="2:61" s="155" customFormat="1" x14ac:dyDescent="0.25">
      <c r="B32" s="98">
        <f t="shared" ref="B32:B63" si="48">+B31+1</f>
        <v>19</v>
      </c>
      <c r="C32" s="98">
        <v>13</v>
      </c>
      <c r="D32" s="98">
        <v>56</v>
      </c>
      <c r="E32" s="98">
        <v>266</v>
      </c>
      <c r="F32" s="98">
        <v>795</v>
      </c>
      <c r="G32" s="98" t="s">
        <v>151</v>
      </c>
      <c r="H32" s="92" t="s">
        <v>150</v>
      </c>
      <c r="I32" s="92" t="s">
        <v>149</v>
      </c>
      <c r="J32" s="146">
        <v>39295</v>
      </c>
      <c r="K32" s="145">
        <v>2007</v>
      </c>
      <c r="L32" s="145">
        <f t="shared" si="25"/>
        <v>12</v>
      </c>
      <c r="M32" s="145">
        <v>0</v>
      </c>
      <c r="N32" s="94"/>
      <c r="O32" s="148">
        <v>8</v>
      </c>
      <c r="P32" s="94" t="s">
        <v>7</v>
      </c>
      <c r="Q32" s="92" t="s">
        <v>11</v>
      </c>
      <c r="R32" s="94">
        <v>1</v>
      </c>
      <c r="S32" s="92" t="s">
        <v>5</v>
      </c>
      <c r="T32" s="101">
        <f>+(O32*4)*230.56</f>
        <v>7377.92</v>
      </c>
      <c r="U32" s="101">
        <f t="shared" si="26"/>
        <v>7377.92</v>
      </c>
      <c r="V32" s="101">
        <f t="shared" si="27"/>
        <v>0</v>
      </c>
      <c r="W32" s="101">
        <f t="shared" si="28"/>
        <v>0</v>
      </c>
      <c r="X32" s="101">
        <f t="shared" si="29"/>
        <v>1278.8394666666666</v>
      </c>
      <c r="Y32" s="101">
        <f t="shared" si="30"/>
        <v>1278.8399999999999</v>
      </c>
      <c r="Z32" s="101">
        <f t="shared" si="31"/>
        <v>12788.394666666665</v>
      </c>
      <c r="AA32" s="101">
        <f t="shared" si="32"/>
        <v>12788.39</v>
      </c>
      <c r="AB32" s="101">
        <f t="shared" si="33"/>
        <v>3836.5183999999999</v>
      </c>
      <c r="AC32" s="101">
        <f t="shared" si="34"/>
        <v>3836.52</v>
      </c>
      <c r="AD32" s="88">
        <f t="shared" si="35"/>
        <v>1342.78144</v>
      </c>
      <c r="AE32" s="101">
        <f t="shared" si="36"/>
        <v>1342.78</v>
      </c>
      <c r="AF32" s="88">
        <f t="shared" si="37"/>
        <v>230.191104</v>
      </c>
      <c r="AG32" s="101">
        <f t="shared" si="38"/>
        <v>230.19</v>
      </c>
      <c r="AH32" s="101">
        <v>631.79</v>
      </c>
      <c r="AI32" s="101">
        <f t="shared" si="39"/>
        <v>631.79</v>
      </c>
      <c r="AJ32" s="88">
        <f t="shared" si="40"/>
        <v>153.460736</v>
      </c>
      <c r="AK32" s="101">
        <f t="shared" si="41"/>
        <v>153.46</v>
      </c>
      <c r="AL32" s="88">
        <f>+(O32*4)*$BH$32</f>
        <v>130</v>
      </c>
      <c r="AM32" s="101">
        <f t="shared" si="42"/>
        <v>130</v>
      </c>
      <c r="AN32" s="88">
        <f>+(($BI$32*O32)*52)/12</f>
        <v>75.833333333333329</v>
      </c>
      <c r="AO32" s="101">
        <f t="shared" si="43"/>
        <v>75.83</v>
      </c>
      <c r="AP32" s="88">
        <f t="shared" si="44"/>
        <v>3541.4016000000001</v>
      </c>
      <c r="AQ32" s="88">
        <f t="shared" si="45"/>
        <v>3541.4</v>
      </c>
      <c r="AR32" s="88">
        <f t="shared" si="46"/>
        <v>140748.87349333338</v>
      </c>
      <c r="AS32" s="88">
        <f t="shared" si="47"/>
        <v>140748.78999999998</v>
      </c>
      <c r="AT32" s="89">
        <f>+(V32+X32+AF32+AH32+AJ32+AL32+AN32+AP32)*12+Z32+AB32+AD32+AR32</f>
        <v>231214.76288000005</v>
      </c>
      <c r="AU32" s="68"/>
      <c r="AV32" s="150"/>
      <c r="BF32" s="89">
        <f>400*12</f>
        <v>4800</v>
      </c>
      <c r="BH32" s="157">
        <f>650/160</f>
        <v>4.0625</v>
      </c>
      <c r="BI32" s="156">
        <f>350/160</f>
        <v>2.1875</v>
      </c>
    </row>
    <row r="33" spans="2:63" x14ac:dyDescent="0.25">
      <c r="B33" s="98">
        <f t="shared" si="48"/>
        <v>20</v>
      </c>
      <c r="C33" s="98">
        <v>13</v>
      </c>
      <c r="D33" s="98">
        <v>56</v>
      </c>
      <c r="E33" s="98">
        <v>266</v>
      </c>
      <c r="F33" s="98">
        <v>795</v>
      </c>
      <c r="G33" s="98" t="s">
        <v>148</v>
      </c>
      <c r="H33" s="92" t="s">
        <v>147</v>
      </c>
      <c r="I33" s="92" t="s">
        <v>146</v>
      </c>
      <c r="J33" s="146">
        <v>38718</v>
      </c>
      <c r="K33" s="145">
        <v>2006</v>
      </c>
      <c r="L33" s="145">
        <f t="shared" si="25"/>
        <v>13</v>
      </c>
      <c r="M33" s="145">
        <v>3</v>
      </c>
      <c r="N33" s="94">
        <v>13</v>
      </c>
      <c r="O33" s="94">
        <v>40</v>
      </c>
      <c r="P33" s="94" t="s">
        <v>7</v>
      </c>
      <c r="Q33" s="92" t="s">
        <v>145</v>
      </c>
      <c r="R33" s="94">
        <v>1</v>
      </c>
      <c r="S33" s="92" t="s">
        <v>5</v>
      </c>
      <c r="T33" s="101">
        <v>13042.5</v>
      </c>
      <c r="U33" s="101">
        <f t="shared" si="26"/>
        <v>13042.5</v>
      </c>
      <c r="V33" s="101">
        <f t="shared" si="27"/>
        <v>308.04000000000002</v>
      </c>
      <c r="W33" s="101">
        <f t="shared" si="28"/>
        <v>308.04000000000002</v>
      </c>
      <c r="X33" s="101">
        <f t="shared" si="29"/>
        <v>2260.7000000000003</v>
      </c>
      <c r="Y33" s="101">
        <f t="shared" si="30"/>
        <v>2260.6999999999998</v>
      </c>
      <c r="Z33" s="101">
        <f t="shared" si="31"/>
        <v>22607.000000000004</v>
      </c>
      <c r="AA33" s="101">
        <f t="shared" si="32"/>
        <v>22607</v>
      </c>
      <c r="AB33" s="101">
        <f t="shared" si="33"/>
        <v>6782.1</v>
      </c>
      <c r="AC33" s="101">
        <f t="shared" si="34"/>
        <v>6782.1</v>
      </c>
      <c r="AD33" s="88">
        <f t="shared" si="35"/>
        <v>2373.7350000000001</v>
      </c>
      <c r="AE33" s="101">
        <f t="shared" si="36"/>
        <v>2373.7399999999998</v>
      </c>
      <c r="AF33" s="88">
        <f t="shared" si="37"/>
        <v>406.92599999999999</v>
      </c>
      <c r="AG33" s="101">
        <f t="shared" si="38"/>
        <v>406.93</v>
      </c>
      <c r="AH33" s="101">
        <v>809.36</v>
      </c>
      <c r="AI33" s="101">
        <f t="shared" si="39"/>
        <v>809.36</v>
      </c>
      <c r="AJ33" s="88">
        <f t="shared" si="40"/>
        <v>271.28399999999999</v>
      </c>
      <c r="AK33" s="101">
        <f t="shared" si="41"/>
        <v>271.27999999999997</v>
      </c>
      <c r="AL33" s="88">
        <v>650</v>
      </c>
      <c r="AM33" s="101">
        <f t="shared" si="42"/>
        <v>650</v>
      </c>
      <c r="AN33" s="88">
        <v>350</v>
      </c>
      <c r="AO33" s="101">
        <f t="shared" si="43"/>
        <v>350</v>
      </c>
      <c r="AP33" s="88">
        <f t="shared" si="44"/>
        <v>6260.4000000000005</v>
      </c>
      <c r="AQ33" s="88">
        <f t="shared" si="45"/>
        <v>6260.4</v>
      </c>
      <c r="AR33" s="88">
        <f t="shared" si="46"/>
        <v>256452.34000000003</v>
      </c>
      <c r="AS33" s="88">
        <f t="shared" si="47"/>
        <v>256452.4</v>
      </c>
      <c r="AT33" s="89"/>
      <c r="AU33" s="68"/>
      <c r="AV33" s="150"/>
      <c r="AW33" s="28"/>
      <c r="AX33" s="28"/>
      <c r="AY33" s="28"/>
      <c r="AZ33" s="28"/>
      <c r="BA33" s="28"/>
      <c r="BB33" s="28"/>
      <c r="BC33" s="28"/>
      <c r="BD33" s="28"/>
      <c r="BE33" s="28"/>
      <c r="BF33" s="89">
        <f>450*12</f>
        <v>5400</v>
      </c>
      <c r="BG33" s="28"/>
      <c r="BH33" s="28"/>
      <c r="BI33" s="28"/>
      <c r="BJ33" s="28"/>
      <c r="BK33" s="28"/>
    </row>
    <row r="34" spans="2:63" x14ac:dyDescent="0.25">
      <c r="B34" s="98">
        <f t="shared" si="48"/>
        <v>21</v>
      </c>
      <c r="C34" s="98">
        <v>13</v>
      </c>
      <c r="D34" s="98">
        <v>56</v>
      </c>
      <c r="E34" s="98">
        <v>266</v>
      </c>
      <c r="F34" s="98">
        <v>795</v>
      </c>
      <c r="G34" s="98" t="s">
        <v>144</v>
      </c>
      <c r="H34" s="92" t="s">
        <v>143</v>
      </c>
      <c r="I34" s="92" t="s">
        <v>142</v>
      </c>
      <c r="J34" s="146">
        <v>38596</v>
      </c>
      <c r="K34" s="145">
        <v>2005</v>
      </c>
      <c r="L34" s="145">
        <f t="shared" si="25"/>
        <v>14</v>
      </c>
      <c r="M34" s="145">
        <v>3</v>
      </c>
      <c r="N34" s="94">
        <v>8</v>
      </c>
      <c r="O34" s="94">
        <v>40</v>
      </c>
      <c r="P34" s="94" t="s">
        <v>7</v>
      </c>
      <c r="Q34" s="92" t="s">
        <v>141</v>
      </c>
      <c r="R34" s="94">
        <v>1</v>
      </c>
      <c r="S34" s="92" t="s">
        <v>5</v>
      </c>
      <c r="T34" s="101">
        <v>11481</v>
      </c>
      <c r="U34" s="101">
        <f t="shared" si="26"/>
        <v>11481</v>
      </c>
      <c r="V34" s="101">
        <f t="shared" si="27"/>
        <v>308.04000000000002</v>
      </c>
      <c r="W34" s="101">
        <f t="shared" si="28"/>
        <v>308.04000000000002</v>
      </c>
      <c r="X34" s="101">
        <f t="shared" si="29"/>
        <v>1990.04</v>
      </c>
      <c r="Y34" s="101">
        <f t="shared" si="30"/>
        <v>1990.04</v>
      </c>
      <c r="Z34" s="101">
        <f t="shared" si="31"/>
        <v>19900.399999999998</v>
      </c>
      <c r="AA34" s="101">
        <f t="shared" si="32"/>
        <v>19900.400000000001</v>
      </c>
      <c r="AB34" s="101">
        <f t="shared" si="33"/>
        <v>5970.12</v>
      </c>
      <c r="AC34" s="101">
        <f t="shared" si="34"/>
        <v>5970.12</v>
      </c>
      <c r="AD34" s="88">
        <f t="shared" si="35"/>
        <v>2089.5419999999999</v>
      </c>
      <c r="AE34" s="101">
        <f t="shared" si="36"/>
        <v>2089.54</v>
      </c>
      <c r="AF34" s="88">
        <f t="shared" si="37"/>
        <v>358.2072</v>
      </c>
      <c r="AG34" s="101">
        <f t="shared" si="38"/>
        <v>358.21</v>
      </c>
      <c r="AH34" s="101">
        <v>764.16</v>
      </c>
      <c r="AI34" s="101">
        <f t="shared" si="39"/>
        <v>764.16</v>
      </c>
      <c r="AJ34" s="88">
        <f t="shared" si="40"/>
        <v>238.8048</v>
      </c>
      <c r="AK34" s="101">
        <f t="shared" si="41"/>
        <v>238.8</v>
      </c>
      <c r="AL34" s="88">
        <v>650</v>
      </c>
      <c r="AM34" s="101">
        <f t="shared" si="42"/>
        <v>650</v>
      </c>
      <c r="AN34" s="88">
        <v>350</v>
      </c>
      <c r="AO34" s="101">
        <f t="shared" si="43"/>
        <v>350</v>
      </c>
      <c r="AP34" s="88">
        <f t="shared" si="44"/>
        <v>5510.88</v>
      </c>
      <c r="AQ34" s="88">
        <f t="shared" si="45"/>
        <v>5510.88</v>
      </c>
      <c r="AR34" s="88">
        <f t="shared" si="46"/>
        <v>228248.48800000001</v>
      </c>
      <c r="AS34" s="88">
        <f t="shared" si="47"/>
        <v>228248.44</v>
      </c>
      <c r="AT34" s="89">
        <f>+(V34+X34+AF34+AH34+AJ34+AL34+AN34+AP34)*12+Z34+AB34+AD34+AR34</f>
        <v>378250.13399999996</v>
      </c>
      <c r="AU34" s="68"/>
      <c r="AV34" s="150"/>
      <c r="AW34" s="28"/>
      <c r="AX34" s="28"/>
      <c r="AY34" s="28"/>
      <c r="AZ34" s="28"/>
      <c r="BA34" s="28"/>
      <c r="BB34" s="28"/>
      <c r="BC34" s="28"/>
      <c r="BD34" s="28"/>
      <c r="BE34" s="28"/>
      <c r="BF34" s="89">
        <f>400*12</f>
        <v>4800</v>
      </c>
      <c r="BG34" s="28"/>
      <c r="BH34" s="28"/>
      <c r="BI34" s="28"/>
      <c r="BJ34" s="28"/>
      <c r="BK34" s="28"/>
    </row>
    <row r="35" spans="2:63" s="28" customFormat="1" x14ac:dyDescent="0.2">
      <c r="B35" s="98">
        <f t="shared" si="48"/>
        <v>22</v>
      </c>
      <c r="C35" s="98">
        <v>13</v>
      </c>
      <c r="D35" s="98">
        <v>56</v>
      </c>
      <c r="E35" s="98">
        <v>266</v>
      </c>
      <c r="F35" s="98">
        <v>795</v>
      </c>
      <c r="G35" s="98" t="s">
        <v>140</v>
      </c>
      <c r="H35" s="147" t="s">
        <v>139</v>
      </c>
      <c r="I35" s="147" t="s">
        <v>138</v>
      </c>
      <c r="J35" s="149">
        <v>37500</v>
      </c>
      <c r="K35" s="145">
        <v>2002</v>
      </c>
      <c r="L35" s="145">
        <f t="shared" si="25"/>
        <v>17</v>
      </c>
      <c r="M35" s="145">
        <v>4</v>
      </c>
      <c r="N35" s="148">
        <v>16</v>
      </c>
      <c r="O35" s="148">
        <v>40</v>
      </c>
      <c r="P35" s="148" t="s">
        <v>7</v>
      </c>
      <c r="Q35" s="147" t="s">
        <v>137</v>
      </c>
      <c r="R35" s="148">
        <v>1</v>
      </c>
      <c r="S35" s="147" t="s">
        <v>5</v>
      </c>
      <c r="T35" s="101">
        <v>17213.099999999999</v>
      </c>
      <c r="U35" s="101">
        <f t="shared" si="26"/>
        <v>17213.099999999999</v>
      </c>
      <c r="V35" s="101">
        <f t="shared" si="27"/>
        <v>410.72</v>
      </c>
      <c r="W35" s="101">
        <f t="shared" si="28"/>
        <v>410.72</v>
      </c>
      <c r="X35" s="101">
        <f t="shared" si="29"/>
        <v>2983.6039999999998</v>
      </c>
      <c r="Y35" s="101">
        <f t="shared" si="30"/>
        <v>2983.6</v>
      </c>
      <c r="Z35" s="101">
        <f t="shared" si="31"/>
        <v>29836.039999999997</v>
      </c>
      <c r="AA35" s="101">
        <f t="shared" si="32"/>
        <v>29836.04</v>
      </c>
      <c r="AB35" s="101">
        <f t="shared" si="33"/>
        <v>8950.8119999999999</v>
      </c>
      <c r="AC35" s="101">
        <f t="shared" si="34"/>
        <v>8950.81</v>
      </c>
      <c r="AD35" s="88">
        <f t="shared" si="35"/>
        <v>3132.7841999999996</v>
      </c>
      <c r="AE35" s="101">
        <f t="shared" si="36"/>
        <v>3132.78</v>
      </c>
      <c r="AF35" s="88">
        <f t="shared" si="37"/>
        <v>537.04872</v>
      </c>
      <c r="AG35" s="101">
        <f t="shared" si="38"/>
        <v>537.04999999999995</v>
      </c>
      <c r="AH35" s="101">
        <v>932.48</v>
      </c>
      <c r="AI35" s="101">
        <f t="shared" si="39"/>
        <v>932.48</v>
      </c>
      <c r="AJ35" s="88">
        <f t="shared" si="40"/>
        <v>358.03248000000002</v>
      </c>
      <c r="AK35" s="101">
        <f t="shared" si="41"/>
        <v>358.03</v>
      </c>
      <c r="AL35" s="88">
        <v>650</v>
      </c>
      <c r="AM35" s="101">
        <f t="shared" si="42"/>
        <v>650</v>
      </c>
      <c r="AN35" s="88">
        <v>350</v>
      </c>
      <c r="AO35" s="101">
        <f t="shared" si="43"/>
        <v>350</v>
      </c>
      <c r="AP35" s="88">
        <f t="shared" si="44"/>
        <v>8262.2880000000005</v>
      </c>
      <c r="AQ35" s="88">
        <f t="shared" si="45"/>
        <v>8262.2900000000009</v>
      </c>
      <c r="AR35" s="88">
        <f t="shared" si="46"/>
        <v>333042.72879999992</v>
      </c>
      <c r="AS35" s="88">
        <f t="shared" si="47"/>
        <v>333042.65999999986</v>
      </c>
      <c r="AT35" s="2"/>
      <c r="AU35" s="68"/>
      <c r="AV35" s="150"/>
      <c r="BF35" s="89">
        <f>400*12</f>
        <v>4800</v>
      </c>
    </row>
    <row r="36" spans="2:63" s="28" customFormat="1" x14ac:dyDescent="0.2">
      <c r="B36" s="98">
        <f t="shared" si="48"/>
        <v>23</v>
      </c>
      <c r="C36" s="98">
        <v>13</v>
      </c>
      <c r="D36" s="98">
        <v>56</v>
      </c>
      <c r="E36" s="98">
        <v>266</v>
      </c>
      <c r="F36" s="98">
        <v>795</v>
      </c>
      <c r="G36" s="98" t="s">
        <v>136</v>
      </c>
      <c r="H36" s="92" t="s">
        <v>135</v>
      </c>
      <c r="I36" s="92" t="s">
        <v>134</v>
      </c>
      <c r="J36" s="146">
        <v>37834</v>
      </c>
      <c r="K36" s="145">
        <v>2003</v>
      </c>
      <c r="L36" s="145">
        <f t="shared" si="25"/>
        <v>16</v>
      </c>
      <c r="M36" s="145">
        <v>4</v>
      </c>
      <c r="N36" s="94">
        <v>14</v>
      </c>
      <c r="O36" s="94">
        <v>40</v>
      </c>
      <c r="P36" s="94" t="s">
        <v>7</v>
      </c>
      <c r="Q36" s="92" t="s">
        <v>50</v>
      </c>
      <c r="R36" s="94">
        <v>1</v>
      </c>
      <c r="S36" s="92" t="s">
        <v>5</v>
      </c>
      <c r="T36" s="101">
        <v>13422.3</v>
      </c>
      <c r="U36" s="101">
        <f t="shared" si="26"/>
        <v>13422.3</v>
      </c>
      <c r="V36" s="101">
        <f t="shared" si="27"/>
        <v>410.72</v>
      </c>
      <c r="W36" s="101">
        <f t="shared" si="28"/>
        <v>410.72</v>
      </c>
      <c r="X36" s="101">
        <f t="shared" si="29"/>
        <v>2326.5320000000002</v>
      </c>
      <c r="Y36" s="101">
        <f t="shared" si="30"/>
        <v>2326.5300000000002</v>
      </c>
      <c r="Z36" s="101">
        <f t="shared" si="31"/>
        <v>23265.32</v>
      </c>
      <c r="AA36" s="101">
        <f t="shared" si="32"/>
        <v>23265.32</v>
      </c>
      <c r="AB36" s="101">
        <f t="shared" si="33"/>
        <v>6979.5959999999995</v>
      </c>
      <c r="AC36" s="101">
        <f t="shared" si="34"/>
        <v>6979.6</v>
      </c>
      <c r="AD36" s="88">
        <f t="shared" si="35"/>
        <v>2442.8585999999996</v>
      </c>
      <c r="AE36" s="101">
        <f t="shared" si="36"/>
        <v>2442.86</v>
      </c>
      <c r="AF36" s="88">
        <f t="shared" si="37"/>
        <v>418.77575999999993</v>
      </c>
      <c r="AG36" s="101">
        <f t="shared" si="38"/>
        <v>418.78</v>
      </c>
      <c r="AH36" s="101">
        <v>822.75</v>
      </c>
      <c r="AI36" s="101">
        <f t="shared" si="39"/>
        <v>822.75</v>
      </c>
      <c r="AJ36" s="88">
        <f t="shared" si="40"/>
        <v>279.18383999999998</v>
      </c>
      <c r="AK36" s="101">
        <f t="shared" si="41"/>
        <v>279.18</v>
      </c>
      <c r="AL36" s="88">
        <v>650</v>
      </c>
      <c r="AM36" s="101">
        <f t="shared" si="42"/>
        <v>650</v>
      </c>
      <c r="AN36" s="88">
        <v>350</v>
      </c>
      <c r="AO36" s="101">
        <f t="shared" si="43"/>
        <v>350</v>
      </c>
      <c r="AP36" s="88">
        <f t="shared" si="44"/>
        <v>6442.7039999999997</v>
      </c>
      <c r="AQ36" s="88">
        <f t="shared" si="45"/>
        <v>6442.7</v>
      </c>
      <c r="AR36" s="88">
        <f t="shared" si="46"/>
        <v>264573.21039999998</v>
      </c>
      <c r="AS36" s="88">
        <f t="shared" si="47"/>
        <v>264573.23000000004</v>
      </c>
      <c r="AT36" s="2"/>
      <c r="AU36" s="68"/>
      <c r="AV36" s="150"/>
      <c r="BF36" s="89">
        <f>250*12</f>
        <v>3000</v>
      </c>
    </row>
    <row r="37" spans="2:63" s="28" customFormat="1" x14ac:dyDescent="0.2">
      <c r="B37" s="98">
        <f t="shared" si="48"/>
        <v>24</v>
      </c>
      <c r="C37" s="98">
        <v>13</v>
      </c>
      <c r="D37" s="98">
        <v>56</v>
      </c>
      <c r="E37" s="98">
        <v>266</v>
      </c>
      <c r="F37" s="98">
        <v>795</v>
      </c>
      <c r="G37" s="98" t="s">
        <v>133</v>
      </c>
      <c r="H37" s="92" t="s">
        <v>132</v>
      </c>
      <c r="I37" s="92"/>
      <c r="J37" s="146"/>
      <c r="K37" s="145"/>
      <c r="L37" s="145"/>
      <c r="M37" s="145"/>
      <c r="N37" s="94">
        <v>4</v>
      </c>
      <c r="O37" s="94">
        <v>20</v>
      </c>
      <c r="P37" s="94" t="s">
        <v>7</v>
      </c>
      <c r="Q37" s="92" t="s">
        <v>131</v>
      </c>
      <c r="R37" s="94">
        <v>1</v>
      </c>
      <c r="S37" s="92" t="s">
        <v>5</v>
      </c>
      <c r="T37" s="101">
        <v>4585.8</v>
      </c>
      <c r="U37" s="101">
        <f t="shared" si="26"/>
        <v>4585.8</v>
      </c>
      <c r="V37" s="101">
        <f t="shared" si="27"/>
        <v>0</v>
      </c>
      <c r="W37" s="101">
        <f t="shared" si="28"/>
        <v>0</v>
      </c>
      <c r="X37" s="101">
        <f t="shared" si="29"/>
        <v>794.87200000000007</v>
      </c>
      <c r="Y37" s="101">
        <f t="shared" si="30"/>
        <v>794.87</v>
      </c>
      <c r="Z37" s="101">
        <f t="shared" si="31"/>
        <v>7948.72</v>
      </c>
      <c r="AA37" s="101">
        <f t="shared" si="32"/>
        <v>7948.72</v>
      </c>
      <c r="AB37" s="101">
        <f t="shared" si="33"/>
        <v>2384.616</v>
      </c>
      <c r="AC37" s="101">
        <f t="shared" si="34"/>
        <v>2384.62</v>
      </c>
      <c r="AD37" s="88">
        <f t="shared" si="35"/>
        <v>834.61559999999997</v>
      </c>
      <c r="AE37" s="101">
        <f t="shared" si="36"/>
        <v>834.62</v>
      </c>
      <c r="AF37" s="88">
        <f t="shared" si="37"/>
        <v>143.07695999999999</v>
      </c>
      <c r="AG37" s="101">
        <f t="shared" si="38"/>
        <v>143.08000000000001</v>
      </c>
      <c r="AH37" s="101">
        <v>581.58000000000004</v>
      </c>
      <c r="AI37" s="101">
        <f t="shared" si="39"/>
        <v>581.58000000000004</v>
      </c>
      <c r="AJ37" s="88">
        <f t="shared" si="40"/>
        <v>95.384640000000005</v>
      </c>
      <c r="AK37" s="101">
        <f t="shared" si="41"/>
        <v>95.38</v>
      </c>
      <c r="AL37" s="88">
        <v>325</v>
      </c>
      <c r="AM37" s="101">
        <f t="shared" si="42"/>
        <v>325</v>
      </c>
      <c r="AN37" s="88">
        <v>175</v>
      </c>
      <c r="AO37" s="101">
        <f t="shared" si="43"/>
        <v>175</v>
      </c>
      <c r="AP37" s="88">
        <f t="shared" si="44"/>
        <v>2201.1840000000002</v>
      </c>
      <c r="AQ37" s="88">
        <f t="shared" si="45"/>
        <v>2201.1799999999998</v>
      </c>
      <c r="AR37" s="88">
        <f t="shared" si="46"/>
        <v>94214.878400000001</v>
      </c>
      <c r="AS37" s="88">
        <f t="shared" si="47"/>
        <v>94214.909999999989</v>
      </c>
      <c r="AT37" s="2"/>
      <c r="AU37" s="68"/>
      <c r="AV37" s="150"/>
      <c r="BF37" s="89">
        <f t="shared" ref="BF37:BF52" si="49">400*12</f>
        <v>4800</v>
      </c>
    </row>
    <row r="38" spans="2:63" s="28" customFormat="1" x14ac:dyDescent="0.2">
      <c r="B38" s="98">
        <f t="shared" si="48"/>
        <v>25</v>
      </c>
      <c r="C38" s="98">
        <v>13</v>
      </c>
      <c r="D38" s="98">
        <v>56</v>
      </c>
      <c r="E38" s="98">
        <v>266</v>
      </c>
      <c r="F38" s="98">
        <v>795</v>
      </c>
      <c r="G38" s="98" t="s">
        <v>130</v>
      </c>
      <c r="H38" s="92" t="s">
        <v>129</v>
      </c>
      <c r="I38" s="92" t="s">
        <v>128</v>
      </c>
      <c r="J38" s="146">
        <v>37500</v>
      </c>
      <c r="K38" s="145">
        <v>2002</v>
      </c>
      <c r="L38" s="145">
        <f>+$L$10-K38</f>
        <v>17</v>
      </c>
      <c r="M38" s="145">
        <v>4</v>
      </c>
      <c r="N38" s="94">
        <v>14</v>
      </c>
      <c r="O38" s="94">
        <v>40</v>
      </c>
      <c r="P38" s="94" t="s">
        <v>7</v>
      </c>
      <c r="Q38" s="92" t="s">
        <v>50</v>
      </c>
      <c r="R38" s="94">
        <v>1</v>
      </c>
      <c r="S38" s="92" t="s">
        <v>5</v>
      </c>
      <c r="T38" s="101">
        <v>13422.3</v>
      </c>
      <c r="U38" s="101">
        <f t="shared" si="26"/>
        <v>13422.3</v>
      </c>
      <c r="V38" s="101">
        <f t="shared" si="27"/>
        <v>410.72</v>
      </c>
      <c r="W38" s="101">
        <f t="shared" si="28"/>
        <v>410.72</v>
      </c>
      <c r="X38" s="101">
        <f t="shared" si="29"/>
        <v>2326.5320000000002</v>
      </c>
      <c r="Y38" s="101">
        <f t="shared" si="30"/>
        <v>2326.5300000000002</v>
      </c>
      <c r="Z38" s="101">
        <f t="shared" si="31"/>
        <v>23265.32</v>
      </c>
      <c r="AA38" s="101">
        <f t="shared" si="32"/>
        <v>23265.32</v>
      </c>
      <c r="AB38" s="101">
        <f t="shared" si="33"/>
        <v>6979.5959999999995</v>
      </c>
      <c r="AC38" s="101">
        <f t="shared" si="34"/>
        <v>6979.6</v>
      </c>
      <c r="AD38" s="88">
        <f t="shared" si="35"/>
        <v>2442.8585999999996</v>
      </c>
      <c r="AE38" s="101">
        <f t="shared" si="36"/>
        <v>2442.86</v>
      </c>
      <c r="AF38" s="88">
        <f t="shared" si="37"/>
        <v>418.77575999999993</v>
      </c>
      <c r="AG38" s="101">
        <f t="shared" si="38"/>
        <v>418.78</v>
      </c>
      <c r="AH38" s="101">
        <v>822.75</v>
      </c>
      <c r="AI38" s="101">
        <f t="shared" si="39"/>
        <v>822.75</v>
      </c>
      <c r="AJ38" s="88">
        <f t="shared" si="40"/>
        <v>279.18383999999998</v>
      </c>
      <c r="AK38" s="101">
        <f t="shared" si="41"/>
        <v>279.18</v>
      </c>
      <c r="AL38" s="88">
        <v>650</v>
      </c>
      <c r="AM38" s="101">
        <f t="shared" si="42"/>
        <v>650</v>
      </c>
      <c r="AN38" s="88">
        <v>350</v>
      </c>
      <c r="AO38" s="101">
        <f t="shared" si="43"/>
        <v>350</v>
      </c>
      <c r="AP38" s="88">
        <f t="shared" si="44"/>
        <v>6442.7039999999997</v>
      </c>
      <c r="AQ38" s="88">
        <f t="shared" si="45"/>
        <v>6442.7</v>
      </c>
      <c r="AR38" s="88">
        <f t="shared" si="46"/>
        <v>264573.21039999998</v>
      </c>
      <c r="AS38" s="88">
        <f t="shared" si="47"/>
        <v>264573.23000000004</v>
      </c>
      <c r="AT38" s="2"/>
      <c r="AU38" s="68"/>
      <c r="AV38" s="150"/>
      <c r="BF38" s="89">
        <f t="shared" si="49"/>
        <v>4800</v>
      </c>
    </row>
    <row r="39" spans="2:63" s="28" customFormat="1" x14ac:dyDescent="0.2">
      <c r="B39" s="98">
        <f t="shared" si="48"/>
        <v>26</v>
      </c>
      <c r="C39" s="98">
        <v>13</v>
      </c>
      <c r="D39" s="98">
        <v>56</v>
      </c>
      <c r="E39" s="98">
        <v>266</v>
      </c>
      <c r="F39" s="98">
        <v>795</v>
      </c>
      <c r="G39" s="98" t="s">
        <v>127</v>
      </c>
      <c r="H39" s="92" t="s">
        <v>126</v>
      </c>
      <c r="I39" s="92"/>
      <c r="J39" s="146"/>
      <c r="K39" s="145"/>
      <c r="L39" s="145"/>
      <c r="M39" s="145"/>
      <c r="N39" s="94">
        <v>14</v>
      </c>
      <c r="O39" s="94">
        <v>40</v>
      </c>
      <c r="P39" s="94" t="s">
        <v>7</v>
      </c>
      <c r="Q39" s="92" t="s">
        <v>50</v>
      </c>
      <c r="R39" s="94">
        <v>1</v>
      </c>
      <c r="S39" s="92" t="s">
        <v>5</v>
      </c>
      <c r="T39" s="101">
        <v>13422.3</v>
      </c>
      <c r="U39" s="101">
        <f t="shared" si="26"/>
        <v>13422.3</v>
      </c>
      <c r="V39" s="101">
        <f t="shared" si="27"/>
        <v>0</v>
      </c>
      <c r="W39" s="101">
        <f t="shared" si="28"/>
        <v>0</v>
      </c>
      <c r="X39" s="101">
        <f t="shared" si="29"/>
        <v>2326.5320000000002</v>
      </c>
      <c r="Y39" s="101">
        <f t="shared" si="30"/>
        <v>2326.5300000000002</v>
      </c>
      <c r="Z39" s="101">
        <f t="shared" si="31"/>
        <v>23265.32</v>
      </c>
      <c r="AA39" s="101">
        <f t="shared" si="32"/>
        <v>23265.32</v>
      </c>
      <c r="AB39" s="101">
        <f t="shared" si="33"/>
        <v>6979.5959999999995</v>
      </c>
      <c r="AC39" s="101">
        <f t="shared" si="34"/>
        <v>6979.6</v>
      </c>
      <c r="AD39" s="88">
        <f t="shared" si="35"/>
        <v>2442.8585999999996</v>
      </c>
      <c r="AE39" s="101">
        <f t="shared" si="36"/>
        <v>2442.86</v>
      </c>
      <c r="AF39" s="88">
        <f t="shared" si="37"/>
        <v>418.77575999999993</v>
      </c>
      <c r="AG39" s="101">
        <f t="shared" si="38"/>
        <v>418.78</v>
      </c>
      <c r="AH39" s="101">
        <v>813.16</v>
      </c>
      <c r="AI39" s="101">
        <f t="shared" si="39"/>
        <v>813.16</v>
      </c>
      <c r="AJ39" s="88">
        <f t="shared" si="40"/>
        <v>279.18383999999998</v>
      </c>
      <c r="AK39" s="101">
        <f t="shared" si="41"/>
        <v>279.18</v>
      </c>
      <c r="AL39" s="88">
        <v>650</v>
      </c>
      <c r="AM39" s="101">
        <f t="shared" si="42"/>
        <v>650</v>
      </c>
      <c r="AN39" s="88">
        <v>350</v>
      </c>
      <c r="AO39" s="101">
        <f t="shared" si="43"/>
        <v>350</v>
      </c>
      <c r="AP39" s="88">
        <f t="shared" si="44"/>
        <v>6442.7039999999997</v>
      </c>
      <c r="AQ39" s="88">
        <f t="shared" si="45"/>
        <v>6442.7</v>
      </c>
      <c r="AR39" s="88">
        <f t="shared" si="46"/>
        <v>259529.49040000001</v>
      </c>
      <c r="AS39" s="88">
        <f t="shared" si="47"/>
        <v>259529.51000000007</v>
      </c>
      <c r="AT39" s="2"/>
      <c r="AU39" s="68"/>
      <c r="AV39" s="150"/>
      <c r="BF39" s="89">
        <f t="shared" si="49"/>
        <v>4800</v>
      </c>
    </row>
    <row r="40" spans="2:63" x14ac:dyDescent="0.25">
      <c r="B40" s="98">
        <f t="shared" si="48"/>
        <v>27</v>
      </c>
      <c r="C40" s="98">
        <v>13</v>
      </c>
      <c r="D40" s="98">
        <v>56</v>
      </c>
      <c r="E40" s="98">
        <v>266</v>
      </c>
      <c r="F40" s="98">
        <v>795</v>
      </c>
      <c r="G40" s="98" t="s">
        <v>125</v>
      </c>
      <c r="H40" s="92" t="s">
        <v>124</v>
      </c>
      <c r="I40" s="92" t="s">
        <v>123</v>
      </c>
      <c r="J40" s="146">
        <v>40452</v>
      </c>
      <c r="K40" s="145">
        <v>2010</v>
      </c>
      <c r="L40" s="145">
        <f t="shared" ref="L40:L59" si="50">+$L$10-K40</f>
        <v>9</v>
      </c>
      <c r="M40" s="145">
        <v>2</v>
      </c>
      <c r="N40" s="94">
        <v>14</v>
      </c>
      <c r="O40" s="94">
        <v>40</v>
      </c>
      <c r="P40" s="94" t="s">
        <v>7</v>
      </c>
      <c r="Q40" s="92" t="s">
        <v>50</v>
      </c>
      <c r="R40" s="94">
        <v>1</v>
      </c>
      <c r="S40" s="92" t="s">
        <v>5</v>
      </c>
      <c r="T40" s="103">
        <v>13422.3</v>
      </c>
      <c r="U40" s="101">
        <f t="shared" si="26"/>
        <v>13422.3</v>
      </c>
      <c r="V40" s="101">
        <f t="shared" si="27"/>
        <v>205.36</v>
      </c>
      <c r="W40" s="101">
        <f t="shared" si="28"/>
        <v>205.36</v>
      </c>
      <c r="X40" s="101">
        <f t="shared" si="29"/>
        <v>2326.5320000000002</v>
      </c>
      <c r="Y40" s="101">
        <f t="shared" si="30"/>
        <v>2326.5300000000002</v>
      </c>
      <c r="Z40" s="101">
        <f t="shared" si="31"/>
        <v>23265.32</v>
      </c>
      <c r="AA40" s="101">
        <f t="shared" si="32"/>
        <v>23265.32</v>
      </c>
      <c r="AB40" s="101">
        <f t="shared" si="33"/>
        <v>6979.5959999999995</v>
      </c>
      <c r="AC40" s="101">
        <f t="shared" si="34"/>
        <v>6979.6</v>
      </c>
      <c r="AD40" s="88">
        <f t="shared" si="35"/>
        <v>2442.8585999999996</v>
      </c>
      <c r="AE40" s="101">
        <f t="shared" si="36"/>
        <v>2442.86</v>
      </c>
      <c r="AF40" s="88">
        <f t="shared" si="37"/>
        <v>418.77575999999993</v>
      </c>
      <c r="AG40" s="101">
        <f t="shared" si="38"/>
        <v>418.78</v>
      </c>
      <c r="AH40" s="101">
        <v>817.95</v>
      </c>
      <c r="AI40" s="101">
        <f t="shared" si="39"/>
        <v>817.95</v>
      </c>
      <c r="AJ40" s="88">
        <f t="shared" si="40"/>
        <v>279.18383999999998</v>
      </c>
      <c r="AK40" s="101">
        <f t="shared" si="41"/>
        <v>279.18</v>
      </c>
      <c r="AL40" s="88">
        <v>650</v>
      </c>
      <c r="AM40" s="101">
        <f t="shared" si="42"/>
        <v>650</v>
      </c>
      <c r="AN40" s="88">
        <v>350</v>
      </c>
      <c r="AO40" s="101">
        <f t="shared" si="43"/>
        <v>350</v>
      </c>
      <c r="AP40" s="88">
        <f t="shared" si="44"/>
        <v>6442.7039999999997</v>
      </c>
      <c r="AQ40" s="88">
        <f t="shared" si="45"/>
        <v>6442.7</v>
      </c>
      <c r="AR40" s="88">
        <f t="shared" si="46"/>
        <v>262051.29040000003</v>
      </c>
      <c r="AS40" s="88">
        <f t="shared" si="47"/>
        <v>262051.31000000003</v>
      </c>
      <c r="AT40" s="89">
        <f>+(V40+X40+AF40+AH40+AJ40+AL40+AN40+AP40)*12+Z40+AB40+AD40+AR40</f>
        <v>432625.13219999999</v>
      </c>
      <c r="AU40" s="68"/>
      <c r="AV40" s="150"/>
      <c r="AW40" s="28"/>
      <c r="AX40" s="28"/>
      <c r="AY40" s="28"/>
      <c r="AZ40" s="28"/>
      <c r="BA40" s="28"/>
      <c r="BB40" s="28"/>
      <c r="BC40" s="28"/>
      <c r="BD40" s="28"/>
      <c r="BE40" s="28"/>
      <c r="BF40" s="89">
        <f t="shared" si="49"/>
        <v>4800</v>
      </c>
      <c r="BG40" s="28"/>
      <c r="BH40" s="28"/>
      <c r="BI40" s="28"/>
      <c r="BJ40" s="28"/>
      <c r="BK40" s="28"/>
    </row>
    <row r="41" spans="2:63" x14ac:dyDescent="0.2">
      <c r="B41" s="98">
        <f t="shared" si="48"/>
        <v>28</v>
      </c>
      <c r="C41" s="98">
        <v>13</v>
      </c>
      <c r="D41" s="98">
        <v>56</v>
      </c>
      <c r="E41" s="98">
        <v>266</v>
      </c>
      <c r="F41" s="98">
        <v>795</v>
      </c>
      <c r="G41" s="98" t="s">
        <v>122</v>
      </c>
      <c r="H41" s="92" t="s">
        <v>121</v>
      </c>
      <c r="I41" s="92" t="s">
        <v>120</v>
      </c>
      <c r="J41" s="146">
        <v>39692</v>
      </c>
      <c r="K41" s="145">
        <v>2008</v>
      </c>
      <c r="L41" s="145">
        <f t="shared" si="50"/>
        <v>11</v>
      </c>
      <c r="M41" s="145">
        <v>3</v>
      </c>
      <c r="N41" s="94">
        <v>14</v>
      </c>
      <c r="O41" s="94">
        <v>40</v>
      </c>
      <c r="P41" s="94" t="s">
        <v>7</v>
      </c>
      <c r="Q41" s="92" t="s">
        <v>50</v>
      </c>
      <c r="R41" s="94">
        <v>1</v>
      </c>
      <c r="S41" s="92" t="s">
        <v>5</v>
      </c>
      <c r="T41" s="103">
        <v>13422.3</v>
      </c>
      <c r="U41" s="101">
        <f t="shared" si="26"/>
        <v>13422.3</v>
      </c>
      <c r="V41" s="101">
        <f t="shared" si="27"/>
        <v>308.04000000000002</v>
      </c>
      <c r="W41" s="101">
        <f t="shared" si="28"/>
        <v>308.04000000000002</v>
      </c>
      <c r="X41" s="101">
        <f t="shared" si="29"/>
        <v>2326.5320000000002</v>
      </c>
      <c r="Y41" s="101">
        <f t="shared" si="30"/>
        <v>2326.5300000000002</v>
      </c>
      <c r="Z41" s="101">
        <f t="shared" si="31"/>
        <v>23265.32</v>
      </c>
      <c r="AA41" s="101">
        <f t="shared" si="32"/>
        <v>23265.32</v>
      </c>
      <c r="AB41" s="101">
        <f t="shared" si="33"/>
        <v>6979.5959999999995</v>
      </c>
      <c r="AC41" s="101">
        <f t="shared" si="34"/>
        <v>6979.6</v>
      </c>
      <c r="AD41" s="88">
        <f t="shared" si="35"/>
        <v>2442.8585999999996</v>
      </c>
      <c r="AE41" s="101">
        <f t="shared" si="36"/>
        <v>2442.86</v>
      </c>
      <c r="AF41" s="88">
        <f t="shared" si="37"/>
        <v>418.77575999999993</v>
      </c>
      <c r="AG41" s="101">
        <f t="shared" si="38"/>
        <v>418.78</v>
      </c>
      <c r="AH41" s="101">
        <v>820.35</v>
      </c>
      <c r="AI41" s="101">
        <f t="shared" si="39"/>
        <v>820.35</v>
      </c>
      <c r="AJ41" s="88">
        <f t="shared" si="40"/>
        <v>279.18383999999998</v>
      </c>
      <c r="AK41" s="101">
        <f t="shared" si="41"/>
        <v>279.18</v>
      </c>
      <c r="AL41" s="88">
        <v>650</v>
      </c>
      <c r="AM41" s="101">
        <f t="shared" si="42"/>
        <v>650</v>
      </c>
      <c r="AN41" s="88">
        <v>350</v>
      </c>
      <c r="AO41" s="101">
        <f t="shared" si="43"/>
        <v>350</v>
      </c>
      <c r="AP41" s="88">
        <f t="shared" si="44"/>
        <v>6442.7039999999997</v>
      </c>
      <c r="AQ41" s="88">
        <f t="shared" si="45"/>
        <v>6442.7</v>
      </c>
      <c r="AR41" s="88">
        <f t="shared" si="46"/>
        <v>263312.25040000002</v>
      </c>
      <c r="AS41" s="88">
        <f t="shared" si="47"/>
        <v>263312.27</v>
      </c>
      <c r="AU41" s="68"/>
      <c r="AV41" s="150"/>
      <c r="AW41" s="28"/>
      <c r="AX41" s="28"/>
      <c r="AY41" s="28"/>
      <c r="AZ41" s="28"/>
      <c r="BA41" s="28"/>
      <c r="BB41" s="28"/>
      <c r="BC41" s="28"/>
      <c r="BD41" s="28"/>
      <c r="BE41" s="28"/>
      <c r="BF41" s="89">
        <f t="shared" si="49"/>
        <v>4800</v>
      </c>
      <c r="BG41" s="28"/>
      <c r="BH41" s="28"/>
      <c r="BI41" s="28"/>
      <c r="BJ41" s="28"/>
      <c r="BK41" s="28"/>
    </row>
    <row r="42" spans="2:63" s="28" customFormat="1" ht="14.25" customHeight="1" x14ac:dyDescent="0.2">
      <c r="B42" s="98">
        <f t="shared" si="48"/>
        <v>29</v>
      </c>
      <c r="C42" s="98">
        <v>13</v>
      </c>
      <c r="D42" s="98">
        <v>56</v>
      </c>
      <c r="E42" s="98">
        <v>266</v>
      </c>
      <c r="F42" s="98">
        <v>795</v>
      </c>
      <c r="G42" s="98" t="s">
        <v>119</v>
      </c>
      <c r="H42" s="154" t="s">
        <v>118</v>
      </c>
      <c r="I42" s="92" t="s">
        <v>117</v>
      </c>
      <c r="J42" s="146">
        <v>38565</v>
      </c>
      <c r="K42" s="145">
        <v>2005</v>
      </c>
      <c r="L42" s="145">
        <f t="shared" si="50"/>
        <v>14</v>
      </c>
      <c r="M42" s="145">
        <v>0</v>
      </c>
      <c r="N42" s="94"/>
      <c r="O42" s="148">
        <v>6</v>
      </c>
      <c r="P42" s="94" t="s">
        <v>7</v>
      </c>
      <c r="Q42" s="92" t="s">
        <v>16</v>
      </c>
      <c r="R42" s="94">
        <v>1</v>
      </c>
      <c r="S42" s="92" t="s">
        <v>5</v>
      </c>
      <c r="T42" s="101">
        <f>+(O42*4)*247.86</f>
        <v>5948.64</v>
      </c>
      <c r="U42" s="101">
        <f t="shared" si="26"/>
        <v>5948.64</v>
      </c>
      <c r="V42" s="101">
        <f t="shared" si="27"/>
        <v>0</v>
      </c>
      <c r="W42" s="101">
        <f t="shared" si="28"/>
        <v>0</v>
      </c>
      <c r="X42" s="101">
        <f t="shared" si="29"/>
        <v>1031.0976000000001</v>
      </c>
      <c r="Y42" s="101">
        <f t="shared" si="30"/>
        <v>1031.0999999999999</v>
      </c>
      <c r="Z42" s="101">
        <f t="shared" si="31"/>
        <v>10310.976000000001</v>
      </c>
      <c r="AA42" s="101">
        <f t="shared" si="32"/>
        <v>10310.98</v>
      </c>
      <c r="AB42" s="101">
        <f t="shared" si="33"/>
        <v>3093.2928000000002</v>
      </c>
      <c r="AC42" s="101">
        <f t="shared" si="34"/>
        <v>3093.29</v>
      </c>
      <c r="AD42" s="88">
        <f t="shared" si="35"/>
        <v>1082.65248</v>
      </c>
      <c r="AE42" s="101">
        <f t="shared" si="36"/>
        <v>1082.6500000000001</v>
      </c>
      <c r="AF42" s="88">
        <f t="shared" si="37"/>
        <v>185.597568</v>
      </c>
      <c r="AG42" s="101">
        <f t="shared" si="38"/>
        <v>185.6</v>
      </c>
      <c r="AH42" s="101">
        <v>594.25</v>
      </c>
      <c r="AI42" s="101">
        <f t="shared" si="39"/>
        <v>594.25</v>
      </c>
      <c r="AJ42" s="88">
        <f t="shared" si="40"/>
        <v>123.73171200000002</v>
      </c>
      <c r="AK42" s="101">
        <f t="shared" si="41"/>
        <v>123.73</v>
      </c>
      <c r="AL42" s="88">
        <f>+(O42*4)*$BH$32+FIXED(0.5)</f>
        <v>98</v>
      </c>
      <c r="AM42" s="101">
        <f t="shared" si="42"/>
        <v>98</v>
      </c>
      <c r="AN42" s="89">
        <f>+(($BI$32*O42)*52)/12</f>
        <v>56.875</v>
      </c>
      <c r="AO42" s="101">
        <f t="shared" si="43"/>
        <v>56.88</v>
      </c>
      <c r="AP42" s="88">
        <f t="shared" si="44"/>
        <v>2855.3472000000002</v>
      </c>
      <c r="AQ42" s="88">
        <f t="shared" si="45"/>
        <v>2855.35</v>
      </c>
      <c r="AR42" s="88">
        <f t="shared" si="46"/>
        <v>114367.67471999998</v>
      </c>
      <c r="AS42" s="88">
        <f t="shared" si="47"/>
        <v>114367.72000000002</v>
      </c>
      <c r="AT42" s="2"/>
      <c r="AU42" s="68"/>
      <c r="AV42" s="150"/>
      <c r="BF42" s="89">
        <f t="shared" si="49"/>
        <v>4800</v>
      </c>
    </row>
    <row r="43" spans="2:63" s="28" customFormat="1" x14ac:dyDescent="0.2">
      <c r="B43" s="98">
        <f t="shared" si="48"/>
        <v>30</v>
      </c>
      <c r="C43" s="98">
        <v>13</v>
      </c>
      <c r="D43" s="98">
        <v>56</v>
      </c>
      <c r="E43" s="98">
        <v>266</v>
      </c>
      <c r="F43" s="98">
        <v>795</v>
      </c>
      <c r="G43" s="98" t="s">
        <v>116</v>
      </c>
      <c r="H43" s="147" t="s">
        <v>115</v>
      </c>
      <c r="I43" s="147" t="s">
        <v>114</v>
      </c>
      <c r="J43" s="149">
        <v>38412</v>
      </c>
      <c r="K43" s="145">
        <v>2005</v>
      </c>
      <c r="L43" s="145">
        <f t="shared" si="50"/>
        <v>14</v>
      </c>
      <c r="M43" s="145">
        <v>0</v>
      </c>
      <c r="N43" s="148"/>
      <c r="O43" s="148">
        <v>6</v>
      </c>
      <c r="P43" s="148" t="s">
        <v>7</v>
      </c>
      <c r="Q43" s="147" t="s">
        <v>11</v>
      </c>
      <c r="R43" s="148">
        <v>1</v>
      </c>
      <c r="S43" s="147" t="s">
        <v>5</v>
      </c>
      <c r="T43" s="101">
        <f>+(O43*4)*230.56</f>
        <v>5533.4400000000005</v>
      </c>
      <c r="U43" s="101">
        <f t="shared" si="26"/>
        <v>5533.44</v>
      </c>
      <c r="V43" s="101">
        <f t="shared" si="27"/>
        <v>0</v>
      </c>
      <c r="W43" s="101">
        <f t="shared" si="28"/>
        <v>0</v>
      </c>
      <c r="X43" s="101">
        <f t="shared" si="29"/>
        <v>959.1296000000001</v>
      </c>
      <c r="Y43" s="101">
        <f t="shared" si="30"/>
        <v>959.13</v>
      </c>
      <c r="Z43" s="101">
        <f t="shared" si="31"/>
        <v>9591.2960000000021</v>
      </c>
      <c r="AA43" s="101">
        <f t="shared" si="32"/>
        <v>9591.2999999999993</v>
      </c>
      <c r="AB43" s="101">
        <f t="shared" si="33"/>
        <v>2877.3888000000002</v>
      </c>
      <c r="AC43" s="101">
        <f t="shared" si="34"/>
        <v>2877.39</v>
      </c>
      <c r="AD43" s="88">
        <f t="shared" si="35"/>
        <v>1007.08608</v>
      </c>
      <c r="AE43" s="101">
        <f t="shared" si="36"/>
        <v>1007.09</v>
      </c>
      <c r="AF43" s="88">
        <f t="shared" si="37"/>
        <v>172.643328</v>
      </c>
      <c r="AG43" s="101">
        <f t="shared" si="38"/>
        <v>172.64</v>
      </c>
      <c r="AH43" s="101">
        <v>590.1</v>
      </c>
      <c r="AI43" s="101">
        <f t="shared" si="39"/>
        <v>590.1</v>
      </c>
      <c r="AJ43" s="88">
        <f t="shared" si="40"/>
        <v>115.09555200000001</v>
      </c>
      <c r="AK43" s="101">
        <f t="shared" si="41"/>
        <v>115.1</v>
      </c>
      <c r="AL43" s="88">
        <f>+(O43*4)*$BH$32+FIXED(0.5)</f>
        <v>98</v>
      </c>
      <c r="AM43" s="101">
        <f t="shared" si="42"/>
        <v>98</v>
      </c>
      <c r="AN43" s="89">
        <f>+(($BI$32*O43)*52)/12</f>
        <v>56.875</v>
      </c>
      <c r="AO43" s="101">
        <f t="shared" si="43"/>
        <v>56.88</v>
      </c>
      <c r="AP43" s="88">
        <f t="shared" si="44"/>
        <v>2656.0512000000003</v>
      </c>
      <c r="AQ43" s="88">
        <f t="shared" si="45"/>
        <v>2656.05</v>
      </c>
      <c r="AR43" s="88">
        <f t="shared" si="46"/>
        <v>106962.74512000002</v>
      </c>
      <c r="AS43" s="88">
        <f t="shared" si="47"/>
        <v>106962.87000000002</v>
      </c>
      <c r="AT43" s="151"/>
      <c r="AU43" s="68"/>
      <c r="AV43" s="150"/>
      <c r="BF43" s="89">
        <f t="shared" si="49"/>
        <v>4800</v>
      </c>
    </row>
    <row r="44" spans="2:63" s="28" customFormat="1" x14ac:dyDescent="0.2">
      <c r="B44" s="98">
        <f t="shared" si="48"/>
        <v>31</v>
      </c>
      <c r="C44" s="98">
        <v>13</v>
      </c>
      <c r="D44" s="98">
        <v>56</v>
      </c>
      <c r="E44" s="98">
        <v>266</v>
      </c>
      <c r="F44" s="98">
        <v>795</v>
      </c>
      <c r="G44" s="98" t="s">
        <v>113</v>
      </c>
      <c r="H44" s="147" t="s">
        <v>112</v>
      </c>
      <c r="I44" s="147" t="s">
        <v>111</v>
      </c>
      <c r="J44" s="149">
        <v>38749</v>
      </c>
      <c r="K44" s="145">
        <v>2006</v>
      </c>
      <c r="L44" s="145">
        <f t="shared" si="50"/>
        <v>13</v>
      </c>
      <c r="M44" s="145">
        <v>3</v>
      </c>
      <c r="N44" s="148">
        <v>15</v>
      </c>
      <c r="O44" s="148">
        <v>40</v>
      </c>
      <c r="P44" s="148" t="s">
        <v>7</v>
      </c>
      <c r="Q44" s="147" t="s">
        <v>59</v>
      </c>
      <c r="R44" s="148">
        <v>1</v>
      </c>
      <c r="S44" s="147" t="s">
        <v>5</v>
      </c>
      <c r="T44" s="103">
        <v>14535.6</v>
      </c>
      <c r="U44" s="101">
        <f t="shared" si="26"/>
        <v>14535.6</v>
      </c>
      <c r="V44" s="101">
        <f t="shared" si="27"/>
        <v>308.04000000000002</v>
      </c>
      <c r="W44" s="101">
        <f t="shared" si="28"/>
        <v>308.04000000000002</v>
      </c>
      <c r="X44" s="101">
        <f t="shared" si="29"/>
        <v>2519.5040000000004</v>
      </c>
      <c r="Y44" s="101">
        <f t="shared" si="30"/>
        <v>2519.5</v>
      </c>
      <c r="Z44" s="101">
        <f t="shared" si="31"/>
        <v>25195.040000000005</v>
      </c>
      <c r="AA44" s="101">
        <f t="shared" si="32"/>
        <v>25195.040000000001</v>
      </c>
      <c r="AB44" s="101">
        <f t="shared" si="33"/>
        <v>7558.5120000000006</v>
      </c>
      <c r="AC44" s="101">
        <f t="shared" si="34"/>
        <v>7558.51</v>
      </c>
      <c r="AD44" s="88">
        <f t="shared" si="35"/>
        <v>2645.4792000000002</v>
      </c>
      <c r="AE44" s="101">
        <f t="shared" si="36"/>
        <v>2645.48</v>
      </c>
      <c r="AF44" s="88">
        <f t="shared" si="37"/>
        <v>453.51072000000005</v>
      </c>
      <c r="AG44" s="101">
        <f t="shared" si="38"/>
        <v>453.51</v>
      </c>
      <c r="AH44" s="101">
        <v>852.58</v>
      </c>
      <c r="AI44" s="101">
        <f t="shared" si="39"/>
        <v>852.58</v>
      </c>
      <c r="AJ44" s="88">
        <f t="shared" si="40"/>
        <v>302.34048000000001</v>
      </c>
      <c r="AK44" s="101">
        <f t="shared" si="41"/>
        <v>302.33999999999997</v>
      </c>
      <c r="AL44" s="88">
        <v>650</v>
      </c>
      <c r="AM44" s="101">
        <f t="shared" si="42"/>
        <v>650</v>
      </c>
      <c r="AN44" s="88">
        <v>350</v>
      </c>
      <c r="AO44" s="101">
        <f t="shared" si="43"/>
        <v>350</v>
      </c>
      <c r="AP44" s="88">
        <f t="shared" si="44"/>
        <v>6977.0879999999997</v>
      </c>
      <c r="AQ44" s="88">
        <f t="shared" si="45"/>
        <v>6977.09</v>
      </c>
      <c r="AR44" s="88">
        <f t="shared" si="46"/>
        <v>283420.74879999994</v>
      </c>
      <c r="AS44" s="88">
        <f t="shared" si="47"/>
        <v>283420.74000000005</v>
      </c>
      <c r="AT44" s="2"/>
      <c r="AU44" s="68"/>
      <c r="AV44" s="150"/>
      <c r="BF44" s="89">
        <f t="shared" si="49"/>
        <v>4800</v>
      </c>
    </row>
    <row r="45" spans="2:63" s="28" customFormat="1" x14ac:dyDescent="0.2">
      <c r="B45" s="98">
        <f t="shared" si="48"/>
        <v>32</v>
      </c>
      <c r="C45" s="98">
        <v>13</v>
      </c>
      <c r="D45" s="98">
        <v>56</v>
      </c>
      <c r="E45" s="98">
        <v>266</v>
      </c>
      <c r="F45" s="98">
        <v>795</v>
      </c>
      <c r="G45" s="98" t="s">
        <v>110</v>
      </c>
      <c r="H45" s="92" t="s">
        <v>109</v>
      </c>
      <c r="I45" s="92" t="s">
        <v>108</v>
      </c>
      <c r="J45" s="146">
        <v>38047</v>
      </c>
      <c r="K45" s="145">
        <v>2009</v>
      </c>
      <c r="L45" s="145">
        <f t="shared" si="50"/>
        <v>10</v>
      </c>
      <c r="M45" s="145">
        <v>3</v>
      </c>
      <c r="N45" s="94">
        <v>15</v>
      </c>
      <c r="O45" s="94">
        <v>40</v>
      </c>
      <c r="P45" s="94" t="s">
        <v>7</v>
      </c>
      <c r="Q45" s="92" t="s">
        <v>59</v>
      </c>
      <c r="R45" s="94">
        <v>1</v>
      </c>
      <c r="S45" s="92" t="s">
        <v>5</v>
      </c>
      <c r="T45" s="103">
        <v>14535.6</v>
      </c>
      <c r="U45" s="101">
        <f t="shared" si="26"/>
        <v>14535.6</v>
      </c>
      <c r="V45" s="101">
        <f t="shared" si="27"/>
        <v>308.04000000000002</v>
      </c>
      <c r="W45" s="101">
        <f t="shared" si="28"/>
        <v>308.04000000000002</v>
      </c>
      <c r="X45" s="101">
        <f t="shared" si="29"/>
        <v>2519.5040000000004</v>
      </c>
      <c r="Y45" s="101">
        <f t="shared" si="30"/>
        <v>2519.5</v>
      </c>
      <c r="Z45" s="101">
        <f t="shared" si="31"/>
        <v>25195.040000000005</v>
      </c>
      <c r="AA45" s="101">
        <f t="shared" si="32"/>
        <v>25195.040000000001</v>
      </c>
      <c r="AB45" s="101">
        <f t="shared" si="33"/>
        <v>7558.5120000000006</v>
      </c>
      <c r="AC45" s="101">
        <f t="shared" si="34"/>
        <v>7558.51</v>
      </c>
      <c r="AD45" s="88">
        <f t="shared" si="35"/>
        <v>2645.4792000000002</v>
      </c>
      <c r="AE45" s="101">
        <f t="shared" si="36"/>
        <v>2645.48</v>
      </c>
      <c r="AF45" s="88">
        <f t="shared" si="37"/>
        <v>453.51072000000005</v>
      </c>
      <c r="AG45" s="101">
        <f t="shared" si="38"/>
        <v>453.51</v>
      </c>
      <c r="AH45" s="101">
        <v>852.58</v>
      </c>
      <c r="AI45" s="101">
        <f t="shared" si="39"/>
        <v>852.58</v>
      </c>
      <c r="AJ45" s="88">
        <f t="shared" si="40"/>
        <v>302.34048000000001</v>
      </c>
      <c r="AK45" s="101">
        <f t="shared" si="41"/>
        <v>302.33999999999997</v>
      </c>
      <c r="AL45" s="88">
        <v>650</v>
      </c>
      <c r="AM45" s="101">
        <f t="shared" si="42"/>
        <v>650</v>
      </c>
      <c r="AN45" s="88">
        <v>350</v>
      </c>
      <c r="AO45" s="101">
        <f t="shared" si="43"/>
        <v>350</v>
      </c>
      <c r="AP45" s="88">
        <f t="shared" si="44"/>
        <v>6977.0879999999997</v>
      </c>
      <c r="AQ45" s="88">
        <f t="shared" si="45"/>
        <v>6977.09</v>
      </c>
      <c r="AR45" s="88">
        <f t="shared" si="46"/>
        <v>283420.74879999994</v>
      </c>
      <c r="AS45" s="88">
        <f t="shared" si="47"/>
        <v>283420.74000000005</v>
      </c>
      <c r="AT45" s="2"/>
      <c r="AU45" s="68"/>
      <c r="AV45" s="150"/>
      <c r="BF45" s="89">
        <f t="shared" si="49"/>
        <v>4800</v>
      </c>
    </row>
    <row r="46" spans="2:63" s="28" customFormat="1" x14ac:dyDescent="0.2">
      <c r="B46" s="98">
        <f t="shared" si="48"/>
        <v>33</v>
      </c>
      <c r="C46" s="98">
        <v>13</v>
      </c>
      <c r="D46" s="98">
        <v>56</v>
      </c>
      <c r="E46" s="98">
        <v>266</v>
      </c>
      <c r="F46" s="98">
        <v>795</v>
      </c>
      <c r="G46" s="98" t="s">
        <v>107</v>
      </c>
      <c r="H46" s="92" t="s">
        <v>106</v>
      </c>
      <c r="I46" s="92" t="s">
        <v>105</v>
      </c>
      <c r="J46" s="146">
        <v>38749</v>
      </c>
      <c r="K46" s="145">
        <v>2006</v>
      </c>
      <c r="L46" s="145">
        <f t="shared" si="50"/>
        <v>13</v>
      </c>
      <c r="M46" s="145">
        <v>3</v>
      </c>
      <c r="N46" s="94">
        <v>15</v>
      </c>
      <c r="O46" s="94">
        <v>40</v>
      </c>
      <c r="P46" s="94" t="s">
        <v>7</v>
      </c>
      <c r="Q46" s="92" t="s">
        <v>59</v>
      </c>
      <c r="R46" s="94">
        <v>1</v>
      </c>
      <c r="S46" s="92" t="s">
        <v>5</v>
      </c>
      <c r="T46" s="103">
        <v>14535.6</v>
      </c>
      <c r="U46" s="101">
        <f t="shared" si="26"/>
        <v>14535.6</v>
      </c>
      <c r="V46" s="101">
        <f t="shared" si="27"/>
        <v>308.04000000000002</v>
      </c>
      <c r="W46" s="101">
        <f t="shared" si="28"/>
        <v>308.04000000000002</v>
      </c>
      <c r="X46" s="101">
        <f t="shared" si="29"/>
        <v>2519.5040000000004</v>
      </c>
      <c r="Y46" s="101">
        <f t="shared" si="30"/>
        <v>2519.5</v>
      </c>
      <c r="Z46" s="101">
        <f t="shared" si="31"/>
        <v>25195.040000000005</v>
      </c>
      <c r="AA46" s="101">
        <f t="shared" si="32"/>
        <v>25195.040000000001</v>
      </c>
      <c r="AB46" s="101">
        <f t="shared" si="33"/>
        <v>7558.5120000000006</v>
      </c>
      <c r="AC46" s="101">
        <f t="shared" si="34"/>
        <v>7558.51</v>
      </c>
      <c r="AD46" s="88">
        <f t="shared" si="35"/>
        <v>2645.4792000000002</v>
      </c>
      <c r="AE46" s="101">
        <f t="shared" si="36"/>
        <v>2645.48</v>
      </c>
      <c r="AF46" s="88">
        <f t="shared" si="37"/>
        <v>453.51072000000005</v>
      </c>
      <c r="AG46" s="101">
        <f t="shared" si="38"/>
        <v>453.51</v>
      </c>
      <c r="AH46" s="101">
        <v>852.58</v>
      </c>
      <c r="AI46" s="101">
        <f t="shared" si="39"/>
        <v>852.58</v>
      </c>
      <c r="AJ46" s="88">
        <f t="shared" si="40"/>
        <v>302.34048000000001</v>
      </c>
      <c r="AK46" s="101">
        <f t="shared" si="41"/>
        <v>302.33999999999997</v>
      </c>
      <c r="AL46" s="88">
        <v>650</v>
      </c>
      <c r="AM46" s="101">
        <f t="shared" si="42"/>
        <v>650</v>
      </c>
      <c r="AN46" s="88">
        <v>350</v>
      </c>
      <c r="AO46" s="101">
        <f t="shared" si="43"/>
        <v>350</v>
      </c>
      <c r="AP46" s="88">
        <f t="shared" si="44"/>
        <v>6977.0879999999997</v>
      </c>
      <c r="AQ46" s="88">
        <f t="shared" si="45"/>
        <v>6977.09</v>
      </c>
      <c r="AR46" s="88">
        <f t="shared" si="46"/>
        <v>283420.74879999994</v>
      </c>
      <c r="AS46" s="88">
        <f t="shared" si="47"/>
        <v>283420.74000000005</v>
      </c>
      <c r="AT46" s="2"/>
      <c r="AU46" s="68"/>
      <c r="AV46" s="150"/>
      <c r="BF46" s="89">
        <f t="shared" si="49"/>
        <v>4800</v>
      </c>
    </row>
    <row r="47" spans="2:63" s="28" customFormat="1" x14ac:dyDescent="0.2">
      <c r="B47" s="98">
        <f t="shared" si="48"/>
        <v>34</v>
      </c>
      <c r="C47" s="98">
        <v>13</v>
      </c>
      <c r="D47" s="98">
        <v>56</v>
      </c>
      <c r="E47" s="98">
        <v>266</v>
      </c>
      <c r="F47" s="98">
        <v>795</v>
      </c>
      <c r="G47" s="98" t="s">
        <v>104</v>
      </c>
      <c r="H47" s="147" t="s">
        <v>103</v>
      </c>
      <c r="I47" s="147" t="s">
        <v>102</v>
      </c>
      <c r="J47" s="149">
        <v>38032</v>
      </c>
      <c r="K47" s="145">
        <v>2004</v>
      </c>
      <c r="L47" s="145">
        <f t="shared" si="50"/>
        <v>15</v>
      </c>
      <c r="M47" s="145">
        <v>0</v>
      </c>
      <c r="N47" s="148"/>
      <c r="O47" s="148">
        <v>3</v>
      </c>
      <c r="P47" s="148" t="s">
        <v>7</v>
      </c>
      <c r="Q47" s="147" t="s">
        <v>101</v>
      </c>
      <c r="R47" s="148">
        <v>1</v>
      </c>
      <c r="S47" s="147" t="s">
        <v>5</v>
      </c>
      <c r="T47" s="101">
        <f>+(O47*4)*236.91</f>
        <v>2842.92</v>
      </c>
      <c r="U47" s="101">
        <f t="shared" si="26"/>
        <v>2842.92</v>
      </c>
      <c r="V47" s="101">
        <f t="shared" si="27"/>
        <v>0</v>
      </c>
      <c r="W47" s="101">
        <f t="shared" si="28"/>
        <v>0</v>
      </c>
      <c r="X47" s="101">
        <f t="shared" si="29"/>
        <v>492.77280000000007</v>
      </c>
      <c r="Y47" s="101">
        <f t="shared" si="30"/>
        <v>492.77</v>
      </c>
      <c r="Z47" s="101">
        <f t="shared" si="31"/>
        <v>4927.7280000000001</v>
      </c>
      <c r="AA47" s="101">
        <f t="shared" si="32"/>
        <v>4927.7299999999996</v>
      </c>
      <c r="AB47" s="101">
        <f t="shared" si="33"/>
        <v>1478.3184000000001</v>
      </c>
      <c r="AC47" s="101">
        <f t="shared" si="34"/>
        <v>1478.32</v>
      </c>
      <c r="AD47" s="88">
        <f t="shared" si="35"/>
        <v>517.41143999999997</v>
      </c>
      <c r="AE47" s="101">
        <f t="shared" si="36"/>
        <v>517.41</v>
      </c>
      <c r="AF47" s="88">
        <f t="shared" si="37"/>
        <v>88.699104000000005</v>
      </c>
      <c r="AG47" s="101">
        <f t="shared" si="38"/>
        <v>88.7</v>
      </c>
      <c r="AH47" s="101">
        <v>562.97</v>
      </c>
      <c r="AI47" s="101">
        <f t="shared" si="39"/>
        <v>562.97</v>
      </c>
      <c r="AJ47" s="88">
        <f t="shared" si="40"/>
        <v>59.132736000000008</v>
      </c>
      <c r="AK47" s="101">
        <f t="shared" si="41"/>
        <v>59.13</v>
      </c>
      <c r="AL47" s="88">
        <f>+(O47*4)*$BH$32+FIXED(0.25)</f>
        <v>49</v>
      </c>
      <c r="AM47" s="101">
        <f t="shared" si="42"/>
        <v>49</v>
      </c>
      <c r="AN47" s="89">
        <f>+(($BI$32*O47)*52)/12</f>
        <v>28.4375</v>
      </c>
      <c r="AO47" s="101">
        <f t="shared" si="43"/>
        <v>28.44</v>
      </c>
      <c r="AP47" s="88">
        <f t="shared" si="44"/>
        <v>1364.6016</v>
      </c>
      <c r="AQ47" s="88">
        <f t="shared" si="45"/>
        <v>1364.6</v>
      </c>
      <c r="AR47" s="88">
        <f t="shared" si="46"/>
        <v>58046.270160000007</v>
      </c>
      <c r="AS47" s="88">
        <f t="shared" si="47"/>
        <v>58046.259999999995</v>
      </c>
      <c r="AT47" s="2"/>
      <c r="AU47" s="68"/>
      <c r="AV47" s="150"/>
      <c r="BF47" s="89">
        <f t="shared" si="49"/>
        <v>4800</v>
      </c>
    </row>
    <row r="48" spans="2:63" s="28" customFormat="1" x14ac:dyDescent="0.2">
      <c r="B48" s="98">
        <f t="shared" si="48"/>
        <v>35</v>
      </c>
      <c r="C48" s="98">
        <v>13</v>
      </c>
      <c r="D48" s="98">
        <v>56</v>
      </c>
      <c r="E48" s="98">
        <v>266</v>
      </c>
      <c r="F48" s="98">
        <v>795</v>
      </c>
      <c r="G48" s="98" t="s">
        <v>100</v>
      </c>
      <c r="H48" s="92" t="s">
        <v>99</v>
      </c>
      <c r="I48" s="92" t="s">
        <v>98</v>
      </c>
      <c r="J48" s="146">
        <v>36728</v>
      </c>
      <c r="K48" s="145">
        <v>2000</v>
      </c>
      <c r="L48" s="145">
        <f t="shared" si="50"/>
        <v>19</v>
      </c>
      <c r="M48" s="145">
        <v>4</v>
      </c>
      <c r="N48" s="94">
        <v>15</v>
      </c>
      <c r="O48" s="94">
        <v>40</v>
      </c>
      <c r="P48" s="94" t="s">
        <v>7</v>
      </c>
      <c r="Q48" s="92" t="s">
        <v>59</v>
      </c>
      <c r="R48" s="94">
        <v>1</v>
      </c>
      <c r="S48" s="92" t="s">
        <v>5</v>
      </c>
      <c r="T48" s="103">
        <v>14535.6</v>
      </c>
      <c r="U48" s="101">
        <f t="shared" si="26"/>
        <v>14535.6</v>
      </c>
      <c r="V48" s="101">
        <f t="shared" si="27"/>
        <v>410.72</v>
      </c>
      <c r="W48" s="101">
        <f t="shared" si="28"/>
        <v>410.72</v>
      </c>
      <c r="X48" s="101">
        <f t="shared" si="29"/>
        <v>2519.5040000000004</v>
      </c>
      <c r="Y48" s="101">
        <f t="shared" si="30"/>
        <v>2519.5</v>
      </c>
      <c r="Z48" s="101">
        <f t="shared" si="31"/>
        <v>25195.040000000005</v>
      </c>
      <c r="AA48" s="101">
        <f t="shared" si="32"/>
        <v>25195.040000000001</v>
      </c>
      <c r="AB48" s="101">
        <f t="shared" si="33"/>
        <v>7558.5120000000006</v>
      </c>
      <c r="AC48" s="101">
        <f t="shared" si="34"/>
        <v>7558.51</v>
      </c>
      <c r="AD48" s="88">
        <f t="shared" si="35"/>
        <v>2645.4792000000002</v>
      </c>
      <c r="AE48" s="101">
        <f t="shared" si="36"/>
        <v>2645.48</v>
      </c>
      <c r="AF48" s="88">
        <f t="shared" si="37"/>
        <v>453.51072000000005</v>
      </c>
      <c r="AG48" s="101">
        <f t="shared" si="38"/>
        <v>453.51</v>
      </c>
      <c r="AH48" s="101">
        <v>854.98</v>
      </c>
      <c r="AI48" s="101">
        <f t="shared" si="39"/>
        <v>854.98</v>
      </c>
      <c r="AJ48" s="88">
        <f t="shared" si="40"/>
        <v>302.34048000000001</v>
      </c>
      <c r="AK48" s="101">
        <f t="shared" si="41"/>
        <v>302.33999999999997</v>
      </c>
      <c r="AL48" s="88">
        <v>650</v>
      </c>
      <c r="AM48" s="101">
        <f t="shared" si="42"/>
        <v>650</v>
      </c>
      <c r="AN48" s="88">
        <v>350</v>
      </c>
      <c r="AO48" s="101">
        <f t="shared" si="43"/>
        <v>350</v>
      </c>
      <c r="AP48" s="88">
        <f t="shared" si="44"/>
        <v>6977.0879999999997</v>
      </c>
      <c r="AQ48" s="88">
        <f t="shared" si="45"/>
        <v>6977.09</v>
      </c>
      <c r="AR48" s="88">
        <f t="shared" si="46"/>
        <v>284681.70879999996</v>
      </c>
      <c r="AS48" s="88">
        <f t="shared" si="47"/>
        <v>284681.7</v>
      </c>
      <c r="AT48" s="2"/>
      <c r="AU48" s="68"/>
      <c r="AV48" s="150"/>
      <c r="BF48" s="89">
        <f t="shared" si="49"/>
        <v>4800</v>
      </c>
    </row>
    <row r="49" spans="2:64" x14ac:dyDescent="0.2">
      <c r="B49" s="98">
        <f t="shared" si="48"/>
        <v>36</v>
      </c>
      <c r="C49" s="98">
        <v>13</v>
      </c>
      <c r="D49" s="98">
        <v>56</v>
      </c>
      <c r="E49" s="98">
        <v>266</v>
      </c>
      <c r="F49" s="98">
        <v>795</v>
      </c>
      <c r="G49" s="98" t="s">
        <v>97</v>
      </c>
      <c r="H49" s="92" t="s">
        <v>96</v>
      </c>
      <c r="I49" s="92" t="s">
        <v>95</v>
      </c>
      <c r="J49" s="146">
        <v>37681</v>
      </c>
      <c r="K49" s="145">
        <v>2003</v>
      </c>
      <c r="L49" s="145">
        <f t="shared" si="50"/>
        <v>16</v>
      </c>
      <c r="M49" s="145">
        <v>4</v>
      </c>
      <c r="N49" s="94">
        <v>14</v>
      </c>
      <c r="O49" s="94">
        <v>40</v>
      </c>
      <c r="P49" s="94" t="s">
        <v>7</v>
      </c>
      <c r="Q49" s="92" t="s">
        <v>50</v>
      </c>
      <c r="R49" s="94">
        <v>1</v>
      </c>
      <c r="S49" s="92" t="s">
        <v>5</v>
      </c>
      <c r="T49" s="103">
        <v>13422.3</v>
      </c>
      <c r="U49" s="101">
        <f t="shared" si="26"/>
        <v>13422.3</v>
      </c>
      <c r="V49" s="101">
        <f t="shared" si="27"/>
        <v>410.72</v>
      </c>
      <c r="W49" s="101">
        <f t="shared" si="28"/>
        <v>410.72</v>
      </c>
      <c r="X49" s="101">
        <f t="shared" si="29"/>
        <v>2326.5320000000002</v>
      </c>
      <c r="Y49" s="101">
        <f t="shared" si="30"/>
        <v>2326.5300000000002</v>
      </c>
      <c r="Z49" s="101">
        <f t="shared" si="31"/>
        <v>23265.32</v>
      </c>
      <c r="AA49" s="101">
        <f t="shared" si="32"/>
        <v>23265.32</v>
      </c>
      <c r="AB49" s="101">
        <f t="shared" si="33"/>
        <v>6979.5959999999995</v>
      </c>
      <c r="AC49" s="101">
        <f t="shared" si="34"/>
        <v>6979.6</v>
      </c>
      <c r="AD49" s="88">
        <f t="shared" si="35"/>
        <v>2442.8585999999996</v>
      </c>
      <c r="AE49" s="101">
        <f t="shared" si="36"/>
        <v>2442.86</v>
      </c>
      <c r="AF49" s="88">
        <f t="shared" si="37"/>
        <v>418.77575999999993</v>
      </c>
      <c r="AG49" s="101">
        <f t="shared" si="38"/>
        <v>418.78</v>
      </c>
      <c r="AH49" s="101">
        <v>822.75</v>
      </c>
      <c r="AI49" s="101">
        <f t="shared" si="39"/>
        <v>822.75</v>
      </c>
      <c r="AJ49" s="88">
        <f t="shared" si="40"/>
        <v>279.18383999999998</v>
      </c>
      <c r="AK49" s="101">
        <f t="shared" si="41"/>
        <v>279.18</v>
      </c>
      <c r="AL49" s="88">
        <v>650</v>
      </c>
      <c r="AM49" s="101">
        <f t="shared" si="42"/>
        <v>650</v>
      </c>
      <c r="AN49" s="88">
        <v>350</v>
      </c>
      <c r="AO49" s="101">
        <f t="shared" si="43"/>
        <v>350</v>
      </c>
      <c r="AP49" s="88">
        <f t="shared" si="44"/>
        <v>6442.7039999999997</v>
      </c>
      <c r="AQ49" s="88">
        <f t="shared" si="45"/>
        <v>6442.7</v>
      </c>
      <c r="AR49" s="88">
        <f t="shared" si="46"/>
        <v>264573.21039999998</v>
      </c>
      <c r="AS49" s="88">
        <f t="shared" si="47"/>
        <v>264573.23000000004</v>
      </c>
      <c r="AU49" s="68"/>
      <c r="AV49" s="150"/>
      <c r="AW49" s="28"/>
      <c r="AX49" s="28"/>
      <c r="AY49" s="28"/>
      <c r="AZ49" s="28"/>
      <c r="BA49" s="28"/>
      <c r="BB49" s="28"/>
      <c r="BC49" s="28"/>
      <c r="BD49" s="28"/>
      <c r="BE49" s="28"/>
      <c r="BF49" s="89">
        <f t="shared" si="49"/>
        <v>4800</v>
      </c>
      <c r="BG49" s="28"/>
      <c r="BH49" s="28"/>
      <c r="BI49" s="28"/>
      <c r="BJ49" s="28"/>
      <c r="BK49" s="28"/>
    </row>
    <row r="50" spans="2:64" s="28" customFormat="1" x14ac:dyDescent="0.2">
      <c r="B50" s="98">
        <f t="shared" si="48"/>
        <v>37</v>
      </c>
      <c r="C50" s="98">
        <v>13</v>
      </c>
      <c r="D50" s="98">
        <v>56</v>
      </c>
      <c r="E50" s="98">
        <v>266</v>
      </c>
      <c r="F50" s="98">
        <v>795</v>
      </c>
      <c r="G50" s="98" t="s">
        <v>94</v>
      </c>
      <c r="H50" s="92" t="s">
        <v>93</v>
      </c>
      <c r="I50" s="92" t="s">
        <v>92</v>
      </c>
      <c r="J50" s="146">
        <v>40452</v>
      </c>
      <c r="K50" s="145">
        <v>2010</v>
      </c>
      <c r="L50" s="145">
        <f t="shared" si="50"/>
        <v>9</v>
      </c>
      <c r="M50" s="145">
        <v>2</v>
      </c>
      <c r="N50" s="94">
        <v>14</v>
      </c>
      <c r="O50" s="94">
        <v>40</v>
      </c>
      <c r="P50" s="94" t="s">
        <v>7</v>
      </c>
      <c r="Q50" s="92" t="s">
        <v>50</v>
      </c>
      <c r="R50" s="94">
        <v>1</v>
      </c>
      <c r="S50" s="92" t="s">
        <v>5</v>
      </c>
      <c r="T50" s="103">
        <v>13422.3</v>
      </c>
      <c r="U50" s="101">
        <f t="shared" si="26"/>
        <v>13422.3</v>
      </c>
      <c r="V50" s="101">
        <f t="shared" si="27"/>
        <v>205.36</v>
      </c>
      <c r="W50" s="101">
        <f t="shared" si="28"/>
        <v>205.36</v>
      </c>
      <c r="X50" s="101">
        <f t="shared" si="29"/>
        <v>2326.5320000000002</v>
      </c>
      <c r="Y50" s="101">
        <f t="shared" si="30"/>
        <v>2326.5300000000002</v>
      </c>
      <c r="Z50" s="101">
        <f t="shared" si="31"/>
        <v>23265.32</v>
      </c>
      <c r="AA50" s="101">
        <f t="shared" si="32"/>
        <v>23265.32</v>
      </c>
      <c r="AB50" s="101">
        <f t="shared" si="33"/>
        <v>6979.5959999999995</v>
      </c>
      <c r="AC50" s="101">
        <f t="shared" si="34"/>
        <v>6979.6</v>
      </c>
      <c r="AD50" s="88">
        <f t="shared" si="35"/>
        <v>2442.8585999999996</v>
      </c>
      <c r="AE50" s="101">
        <f t="shared" si="36"/>
        <v>2442.86</v>
      </c>
      <c r="AF50" s="88">
        <f t="shared" si="37"/>
        <v>418.77575999999993</v>
      </c>
      <c r="AG50" s="101">
        <f t="shared" si="38"/>
        <v>418.78</v>
      </c>
      <c r="AH50" s="101">
        <v>817.95</v>
      </c>
      <c r="AI50" s="101">
        <f t="shared" si="39"/>
        <v>817.95</v>
      </c>
      <c r="AJ50" s="88">
        <f t="shared" si="40"/>
        <v>279.18383999999998</v>
      </c>
      <c r="AK50" s="101">
        <f t="shared" si="41"/>
        <v>279.18</v>
      </c>
      <c r="AL50" s="88">
        <v>650</v>
      </c>
      <c r="AM50" s="101">
        <f t="shared" si="42"/>
        <v>650</v>
      </c>
      <c r="AN50" s="88">
        <v>350</v>
      </c>
      <c r="AO50" s="101">
        <f t="shared" si="43"/>
        <v>350</v>
      </c>
      <c r="AP50" s="88">
        <f t="shared" si="44"/>
        <v>6442.7039999999997</v>
      </c>
      <c r="AQ50" s="88">
        <f t="shared" si="45"/>
        <v>6442.7</v>
      </c>
      <c r="AR50" s="88">
        <f t="shared" si="46"/>
        <v>262051.29040000003</v>
      </c>
      <c r="AS50" s="88">
        <f t="shared" si="47"/>
        <v>262051.31000000003</v>
      </c>
      <c r="AT50" s="2"/>
      <c r="AU50" s="68"/>
      <c r="AV50" s="150"/>
      <c r="BF50" s="89">
        <f t="shared" si="49"/>
        <v>4800</v>
      </c>
    </row>
    <row r="51" spans="2:64" s="28" customFormat="1" x14ac:dyDescent="0.2">
      <c r="B51" s="98">
        <f t="shared" si="48"/>
        <v>38</v>
      </c>
      <c r="C51" s="98">
        <v>13</v>
      </c>
      <c r="D51" s="98">
        <v>56</v>
      </c>
      <c r="E51" s="98">
        <v>266</v>
      </c>
      <c r="F51" s="98">
        <v>795</v>
      </c>
      <c r="G51" s="97" t="s">
        <v>91</v>
      </c>
      <c r="H51" s="92" t="s">
        <v>90</v>
      </c>
      <c r="I51" s="92" t="s">
        <v>89</v>
      </c>
      <c r="J51" s="146">
        <v>37637</v>
      </c>
      <c r="K51" s="145">
        <v>2003</v>
      </c>
      <c r="L51" s="145">
        <f t="shared" si="50"/>
        <v>16</v>
      </c>
      <c r="M51" s="145">
        <v>4</v>
      </c>
      <c r="N51" s="94">
        <v>14</v>
      </c>
      <c r="O51" s="94">
        <v>40</v>
      </c>
      <c r="P51" s="94" t="s">
        <v>7</v>
      </c>
      <c r="Q51" s="92" t="s">
        <v>50</v>
      </c>
      <c r="R51" s="94">
        <v>1</v>
      </c>
      <c r="S51" s="92" t="s">
        <v>5</v>
      </c>
      <c r="T51" s="103">
        <v>13422.3</v>
      </c>
      <c r="U51" s="101">
        <f t="shared" si="26"/>
        <v>13422.3</v>
      </c>
      <c r="V51" s="101">
        <f t="shared" si="27"/>
        <v>410.72</v>
      </c>
      <c r="W51" s="101">
        <f t="shared" si="28"/>
        <v>410.72</v>
      </c>
      <c r="X51" s="101">
        <f t="shared" si="29"/>
        <v>2326.5320000000002</v>
      </c>
      <c r="Y51" s="101">
        <f t="shared" si="30"/>
        <v>2326.5300000000002</v>
      </c>
      <c r="Z51" s="101">
        <f t="shared" si="31"/>
        <v>23265.32</v>
      </c>
      <c r="AA51" s="101">
        <f t="shared" si="32"/>
        <v>23265.32</v>
      </c>
      <c r="AB51" s="101">
        <f t="shared" si="33"/>
        <v>6979.5959999999995</v>
      </c>
      <c r="AC51" s="101">
        <f t="shared" si="34"/>
        <v>6979.6</v>
      </c>
      <c r="AD51" s="88">
        <f t="shared" si="35"/>
        <v>2442.8585999999996</v>
      </c>
      <c r="AE51" s="101">
        <f t="shared" si="36"/>
        <v>2442.86</v>
      </c>
      <c r="AF51" s="88">
        <f t="shared" si="37"/>
        <v>418.77575999999993</v>
      </c>
      <c r="AG51" s="101">
        <f t="shared" si="38"/>
        <v>418.78</v>
      </c>
      <c r="AH51" s="101">
        <v>822.75</v>
      </c>
      <c r="AI51" s="101">
        <f t="shared" si="39"/>
        <v>822.75</v>
      </c>
      <c r="AJ51" s="88">
        <f t="shared" si="40"/>
        <v>279.18383999999998</v>
      </c>
      <c r="AK51" s="101">
        <f t="shared" si="41"/>
        <v>279.18</v>
      </c>
      <c r="AL51" s="88">
        <v>650</v>
      </c>
      <c r="AM51" s="101">
        <f t="shared" si="42"/>
        <v>650</v>
      </c>
      <c r="AN51" s="88">
        <v>350</v>
      </c>
      <c r="AO51" s="101">
        <f t="shared" si="43"/>
        <v>350</v>
      </c>
      <c r="AP51" s="88">
        <f t="shared" si="44"/>
        <v>6442.7039999999997</v>
      </c>
      <c r="AQ51" s="88">
        <f t="shared" si="45"/>
        <v>6442.7</v>
      </c>
      <c r="AR51" s="88">
        <f t="shared" si="46"/>
        <v>264573.21039999998</v>
      </c>
      <c r="AS51" s="88">
        <f t="shared" si="47"/>
        <v>264573.23000000004</v>
      </c>
      <c r="AT51" s="2"/>
      <c r="AU51" s="68"/>
      <c r="AV51" s="150"/>
      <c r="BF51" s="89">
        <f t="shared" si="49"/>
        <v>4800</v>
      </c>
    </row>
    <row r="52" spans="2:64" s="28" customFormat="1" x14ac:dyDescent="0.25">
      <c r="B52" s="98">
        <f t="shared" si="48"/>
        <v>39</v>
      </c>
      <c r="C52" s="98">
        <v>13</v>
      </c>
      <c r="D52" s="98">
        <v>56</v>
      </c>
      <c r="E52" s="98">
        <v>266</v>
      </c>
      <c r="F52" s="98">
        <v>795</v>
      </c>
      <c r="G52" s="97" t="s">
        <v>88</v>
      </c>
      <c r="H52" s="92" t="s">
        <v>87</v>
      </c>
      <c r="I52" s="92" t="s">
        <v>86</v>
      </c>
      <c r="J52" s="146">
        <v>43055</v>
      </c>
      <c r="K52" s="145">
        <v>2017</v>
      </c>
      <c r="L52" s="145">
        <f t="shared" si="50"/>
        <v>2</v>
      </c>
      <c r="M52" s="145">
        <v>0</v>
      </c>
      <c r="N52" s="94">
        <v>11</v>
      </c>
      <c r="O52" s="94">
        <v>40</v>
      </c>
      <c r="P52" s="94" t="s">
        <v>7</v>
      </c>
      <c r="Q52" s="92" t="s">
        <v>85</v>
      </c>
      <c r="R52" s="94">
        <v>1</v>
      </c>
      <c r="S52" s="92" t="s">
        <v>5</v>
      </c>
      <c r="T52" s="101">
        <v>12892.5</v>
      </c>
      <c r="U52" s="101">
        <f t="shared" si="26"/>
        <v>12892.5</v>
      </c>
      <c r="V52" s="101">
        <f t="shared" si="27"/>
        <v>0</v>
      </c>
      <c r="W52" s="101">
        <f t="shared" si="28"/>
        <v>0</v>
      </c>
      <c r="X52" s="101">
        <f t="shared" si="29"/>
        <v>2234.6999999999998</v>
      </c>
      <c r="Y52" s="101">
        <f t="shared" si="30"/>
        <v>2234.6999999999998</v>
      </c>
      <c r="Z52" s="101">
        <f t="shared" si="31"/>
        <v>22347</v>
      </c>
      <c r="AA52" s="101">
        <f t="shared" si="32"/>
        <v>22347</v>
      </c>
      <c r="AB52" s="101">
        <f t="shared" si="33"/>
        <v>6704.1</v>
      </c>
      <c r="AC52" s="101">
        <f t="shared" si="34"/>
        <v>6704.1</v>
      </c>
      <c r="AD52" s="88">
        <f t="shared" si="35"/>
        <v>2346.4349999999999</v>
      </c>
      <c r="AE52" s="101">
        <f t="shared" si="36"/>
        <v>2346.44</v>
      </c>
      <c r="AF52" s="88">
        <f t="shared" si="37"/>
        <v>402.24599999999998</v>
      </c>
      <c r="AG52" s="101">
        <f t="shared" si="38"/>
        <v>402.25</v>
      </c>
      <c r="AH52" s="101">
        <v>797.82</v>
      </c>
      <c r="AI52" s="101">
        <f t="shared" si="39"/>
        <v>797.82</v>
      </c>
      <c r="AJ52" s="88">
        <f t="shared" si="40"/>
        <v>268.16400000000004</v>
      </c>
      <c r="AK52" s="101">
        <f t="shared" si="41"/>
        <v>268.16000000000003</v>
      </c>
      <c r="AL52" s="88">
        <v>650</v>
      </c>
      <c r="AM52" s="101">
        <f t="shared" si="42"/>
        <v>650</v>
      </c>
      <c r="AN52" s="88">
        <v>350</v>
      </c>
      <c r="AO52" s="101">
        <f t="shared" si="43"/>
        <v>350</v>
      </c>
      <c r="AP52" s="88">
        <f t="shared" si="44"/>
        <v>6188.4000000000005</v>
      </c>
      <c r="AQ52" s="88">
        <f t="shared" si="45"/>
        <v>6188.4</v>
      </c>
      <c r="AR52" s="88">
        <f t="shared" si="46"/>
        <v>249960.18000000002</v>
      </c>
      <c r="AS52" s="88">
        <f t="shared" si="47"/>
        <v>249960.24000000005</v>
      </c>
      <c r="AT52" s="89">
        <f>+(V52+X52+AF52+AH52+AJ52+AL52+AN52+AP52)*12+Z52+AB52+AD52+AR52</f>
        <v>412053.67500000005</v>
      </c>
      <c r="AU52" s="68"/>
      <c r="AV52" s="68"/>
      <c r="AW52" s="68"/>
      <c r="AX52" s="68"/>
      <c r="BF52" s="89">
        <f t="shared" si="49"/>
        <v>4800</v>
      </c>
    </row>
    <row r="53" spans="2:64" s="38" customFormat="1" x14ac:dyDescent="0.25">
      <c r="B53" s="97">
        <f t="shared" si="48"/>
        <v>40</v>
      </c>
      <c r="C53" s="98">
        <v>13</v>
      </c>
      <c r="D53" s="98">
        <v>56</v>
      </c>
      <c r="E53" s="98">
        <v>266</v>
      </c>
      <c r="F53" s="98">
        <v>795</v>
      </c>
      <c r="G53" s="97" t="s">
        <v>84</v>
      </c>
      <c r="H53" s="92" t="s">
        <v>83</v>
      </c>
      <c r="I53" s="92" t="s">
        <v>82</v>
      </c>
      <c r="J53" s="146">
        <v>38565</v>
      </c>
      <c r="K53" s="145">
        <v>2005</v>
      </c>
      <c r="L53" s="145">
        <f t="shared" si="50"/>
        <v>14</v>
      </c>
      <c r="M53" s="145">
        <v>3</v>
      </c>
      <c r="N53" s="94">
        <v>19</v>
      </c>
      <c r="O53" s="94">
        <v>40</v>
      </c>
      <c r="P53" s="94" t="s">
        <v>81</v>
      </c>
      <c r="Q53" s="92" t="s">
        <v>80</v>
      </c>
      <c r="R53" s="94">
        <v>1</v>
      </c>
      <c r="S53" s="92" t="s">
        <v>79</v>
      </c>
      <c r="T53" s="103">
        <v>24533.1</v>
      </c>
      <c r="U53" s="101">
        <f t="shared" si="26"/>
        <v>24533.1</v>
      </c>
      <c r="V53" s="101">
        <f t="shared" si="27"/>
        <v>308.04000000000002</v>
      </c>
      <c r="W53" s="101">
        <f t="shared" si="28"/>
        <v>308.04000000000002</v>
      </c>
      <c r="X53" s="101">
        <f t="shared" si="29"/>
        <v>4252.4039999999995</v>
      </c>
      <c r="Y53" s="101">
        <f t="shared" si="30"/>
        <v>4252.3999999999996</v>
      </c>
      <c r="Z53" s="101">
        <f t="shared" si="31"/>
        <v>42524.039999999994</v>
      </c>
      <c r="AA53" s="101">
        <f t="shared" si="32"/>
        <v>42524.04</v>
      </c>
      <c r="AB53" s="101">
        <f t="shared" si="33"/>
        <v>12757.212</v>
      </c>
      <c r="AC53" s="101">
        <f t="shared" si="34"/>
        <v>12757.21</v>
      </c>
      <c r="AD53" s="88">
        <f t="shared" si="35"/>
        <v>4465.0241999999998</v>
      </c>
      <c r="AE53" s="101">
        <f t="shared" si="36"/>
        <v>4465.0200000000004</v>
      </c>
      <c r="AF53" s="88">
        <f t="shared" si="37"/>
        <v>765.4327199999999</v>
      </c>
      <c r="AG53" s="101">
        <f t="shared" si="38"/>
        <v>765.43</v>
      </c>
      <c r="AH53" s="101">
        <v>1141.97</v>
      </c>
      <c r="AI53" s="101">
        <f t="shared" si="39"/>
        <v>1141.97</v>
      </c>
      <c r="AJ53" s="88">
        <f t="shared" si="40"/>
        <v>510.28847999999999</v>
      </c>
      <c r="AK53" s="101">
        <f t="shared" si="41"/>
        <v>510.29</v>
      </c>
      <c r="AL53" s="88">
        <v>650</v>
      </c>
      <c r="AM53" s="101">
        <f t="shared" si="42"/>
        <v>650</v>
      </c>
      <c r="AN53" s="88">
        <v>350</v>
      </c>
      <c r="AO53" s="101">
        <f t="shared" si="43"/>
        <v>350</v>
      </c>
      <c r="AP53" s="88">
        <f t="shared" si="44"/>
        <v>11775.887999999999</v>
      </c>
      <c r="AQ53" s="88">
        <f t="shared" si="45"/>
        <v>11775.89</v>
      </c>
      <c r="AR53" s="88">
        <f t="shared" si="46"/>
        <v>463995.80879999994</v>
      </c>
      <c r="AS53" s="88">
        <f t="shared" si="47"/>
        <v>463995.74000000005</v>
      </c>
      <c r="AT53" s="90">
        <f>+(V53+X53+AF53+AH53+AJ53+AL53+AN53+AP53)*12+Z53+AB53+AD53+AR53</f>
        <v>760790.36339999991</v>
      </c>
      <c r="AU53" s="68"/>
      <c r="AV53" s="68"/>
      <c r="AW53" s="68"/>
      <c r="AX53" s="68"/>
      <c r="BF53" s="89">
        <v>0</v>
      </c>
    </row>
    <row r="54" spans="2:64" s="28" customFormat="1" x14ac:dyDescent="0.2">
      <c r="B54" s="98">
        <f t="shared" si="48"/>
        <v>41</v>
      </c>
      <c r="C54" s="98">
        <v>13</v>
      </c>
      <c r="D54" s="98">
        <v>56</v>
      </c>
      <c r="E54" s="98">
        <v>266</v>
      </c>
      <c r="F54" s="98">
        <v>795</v>
      </c>
      <c r="G54" s="97" t="s">
        <v>78</v>
      </c>
      <c r="H54" s="92" t="s">
        <v>77</v>
      </c>
      <c r="I54" s="92" t="s">
        <v>76</v>
      </c>
      <c r="J54" s="146">
        <v>40969</v>
      </c>
      <c r="K54" s="145">
        <v>2012</v>
      </c>
      <c r="L54" s="145">
        <f t="shared" si="50"/>
        <v>7</v>
      </c>
      <c r="M54" s="145">
        <v>2</v>
      </c>
      <c r="N54" s="94">
        <v>15</v>
      </c>
      <c r="O54" s="94">
        <v>40</v>
      </c>
      <c r="P54" s="94" t="s">
        <v>7</v>
      </c>
      <c r="Q54" s="92" t="s">
        <v>59</v>
      </c>
      <c r="R54" s="94">
        <v>1</v>
      </c>
      <c r="S54" s="92" t="s">
        <v>5</v>
      </c>
      <c r="T54" s="101">
        <v>14535.6</v>
      </c>
      <c r="U54" s="101">
        <f t="shared" si="26"/>
        <v>14535.6</v>
      </c>
      <c r="V54" s="101">
        <f t="shared" si="27"/>
        <v>205.36</v>
      </c>
      <c r="W54" s="101">
        <f t="shared" si="28"/>
        <v>205.36</v>
      </c>
      <c r="X54" s="101">
        <f t="shared" si="29"/>
        <v>2519.5040000000004</v>
      </c>
      <c r="Y54" s="101">
        <f t="shared" si="30"/>
        <v>2519.5</v>
      </c>
      <c r="Z54" s="101">
        <f t="shared" si="31"/>
        <v>25195.040000000005</v>
      </c>
      <c r="AA54" s="101">
        <f t="shared" si="32"/>
        <v>25195.040000000001</v>
      </c>
      <c r="AB54" s="101">
        <f t="shared" si="33"/>
        <v>7558.5120000000006</v>
      </c>
      <c r="AC54" s="101">
        <f t="shared" si="34"/>
        <v>7558.51</v>
      </c>
      <c r="AD54" s="88">
        <f t="shared" si="35"/>
        <v>2645.4792000000002</v>
      </c>
      <c r="AE54" s="101">
        <f t="shared" si="36"/>
        <v>2645.48</v>
      </c>
      <c r="AF54" s="88">
        <f t="shared" si="37"/>
        <v>453.51072000000005</v>
      </c>
      <c r="AG54" s="101">
        <f t="shared" si="38"/>
        <v>453.51</v>
      </c>
      <c r="AH54" s="101">
        <v>850.18</v>
      </c>
      <c r="AI54" s="101">
        <f t="shared" si="39"/>
        <v>850.18</v>
      </c>
      <c r="AJ54" s="88">
        <f t="shared" si="40"/>
        <v>302.34048000000001</v>
      </c>
      <c r="AK54" s="101">
        <f t="shared" si="41"/>
        <v>302.33999999999997</v>
      </c>
      <c r="AL54" s="88">
        <v>650</v>
      </c>
      <c r="AM54" s="101">
        <f t="shared" si="42"/>
        <v>650</v>
      </c>
      <c r="AN54" s="88">
        <v>350</v>
      </c>
      <c r="AO54" s="101">
        <f t="shared" si="43"/>
        <v>350</v>
      </c>
      <c r="AP54" s="88">
        <f t="shared" si="44"/>
        <v>6977.0879999999997</v>
      </c>
      <c r="AQ54" s="88">
        <f t="shared" si="45"/>
        <v>6977.09</v>
      </c>
      <c r="AR54" s="88">
        <f t="shared" si="46"/>
        <v>282159.78879999992</v>
      </c>
      <c r="AS54" s="88">
        <f t="shared" si="47"/>
        <v>282159.78000000003</v>
      </c>
      <c r="AT54" s="153"/>
      <c r="AU54" s="68"/>
      <c r="AV54" s="68"/>
      <c r="AW54" s="68"/>
      <c r="AX54" s="68"/>
      <c r="BF54" s="89">
        <v>0</v>
      </c>
    </row>
    <row r="55" spans="2:64" s="28" customFormat="1" x14ac:dyDescent="0.2">
      <c r="B55" s="98">
        <f t="shared" si="48"/>
        <v>42</v>
      </c>
      <c r="C55" s="98">
        <v>13</v>
      </c>
      <c r="D55" s="98">
        <v>56</v>
      </c>
      <c r="E55" s="98">
        <v>266</v>
      </c>
      <c r="F55" s="98">
        <v>795</v>
      </c>
      <c r="G55" s="97" t="s">
        <v>75</v>
      </c>
      <c r="H55" s="92" t="s">
        <v>74</v>
      </c>
      <c r="I55" s="92" t="s">
        <v>73</v>
      </c>
      <c r="J55" s="146">
        <v>41852</v>
      </c>
      <c r="K55" s="145">
        <v>2014</v>
      </c>
      <c r="L55" s="145">
        <f t="shared" si="50"/>
        <v>5</v>
      </c>
      <c r="M55" s="145">
        <v>2</v>
      </c>
      <c r="N55" s="94">
        <v>14</v>
      </c>
      <c r="O55" s="94">
        <v>40</v>
      </c>
      <c r="P55" s="94" t="s">
        <v>7</v>
      </c>
      <c r="Q55" s="92" t="s">
        <v>50</v>
      </c>
      <c r="R55" s="94">
        <v>1</v>
      </c>
      <c r="S55" s="92" t="s">
        <v>5</v>
      </c>
      <c r="T55" s="101">
        <v>13422.3</v>
      </c>
      <c r="U55" s="101">
        <f t="shared" si="26"/>
        <v>13422.3</v>
      </c>
      <c r="V55" s="101">
        <f t="shared" si="27"/>
        <v>205.36</v>
      </c>
      <c r="W55" s="101">
        <f t="shared" si="28"/>
        <v>205.36</v>
      </c>
      <c r="X55" s="101">
        <f t="shared" si="29"/>
        <v>2326.5320000000002</v>
      </c>
      <c r="Y55" s="101">
        <f t="shared" si="30"/>
        <v>2326.5300000000002</v>
      </c>
      <c r="Z55" s="101">
        <f t="shared" si="31"/>
        <v>23265.32</v>
      </c>
      <c r="AA55" s="101">
        <f t="shared" si="32"/>
        <v>23265.32</v>
      </c>
      <c r="AB55" s="101">
        <f t="shared" si="33"/>
        <v>6979.5959999999995</v>
      </c>
      <c r="AC55" s="101">
        <f t="shared" si="34"/>
        <v>6979.6</v>
      </c>
      <c r="AD55" s="88">
        <f t="shared" si="35"/>
        <v>2442.8585999999996</v>
      </c>
      <c r="AE55" s="101">
        <f t="shared" si="36"/>
        <v>2442.86</v>
      </c>
      <c r="AF55" s="88">
        <f t="shared" si="37"/>
        <v>418.77575999999993</v>
      </c>
      <c r="AG55" s="101">
        <f t="shared" si="38"/>
        <v>418.78</v>
      </c>
      <c r="AH55" s="101">
        <v>817.95</v>
      </c>
      <c r="AI55" s="101">
        <f t="shared" si="39"/>
        <v>817.95</v>
      </c>
      <c r="AJ55" s="88">
        <f t="shared" si="40"/>
        <v>279.18383999999998</v>
      </c>
      <c r="AK55" s="101">
        <f t="shared" si="41"/>
        <v>279.18</v>
      </c>
      <c r="AL55" s="88">
        <v>650</v>
      </c>
      <c r="AM55" s="101">
        <f t="shared" si="42"/>
        <v>650</v>
      </c>
      <c r="AN55" s="88">
        <v>350</v>
      </c>
      <c r="AO55" s="101">
        <f t="shared" si="43"/>
        <v>350</v>
      </c>
      <c r="AP55" s="88">
        <f t="shared" si="44"/>
        <v>6442.7039999999997</v>
      </c>
      <c r="AQ55" s="88">
        <f t="shared" si="45"/>
        <v>6442.7</v>
      </c>
      <c r="AR55" s="88">
        <f t="shared" si="46"/>
        <v>262051.29040000003</v>
      </c>
      <c r="AS55" s="88">
        <f t="shared" si="47"/>
        <v>262051.31000000003</v>
      </c>
      <c r="AT55" s="153"/>
      <c r="AU55" s="68"/>
      <c r="AV55" s="68"/>
      <c r="AW55" s="68"/>
      <c r="AX55" s="68"/>
      <c r="BF55" s="89">
        <v>0</v>
      </c>
    </row>
    <row r="56" spans="2:64" s="28" customFormat="1" x14ac:dyDescent="0.2">
      <c r="B56" s="98">
        <f t="shared" si="48"/>
        <v>43</v>
      </c>
      <c r="C56" s="98">
        <v>13</v>
      </c>
      <c r="D56" s="98">
        <v>56</v>
      </c>
      <c r="E56" s="98">
        <v>266</v>
      </c>
      <c r="F56" s="98">
        <v>795</v>
      </c>
      <c r="G56" s="98" t="s">
        <v>72</v>
      </c>
      <c r="H56" s="147" t="s">
        <v>71</v>
      </c>
      <c r="I56" s="147" t="s">
        <v>70</v>
      </c>
      <c r="J56" s="149">
        <v>42219</v>
      </c>
      <c r="K56" s="145">
        <v>2015</v>
      </c>
      <c r="L56" s="145">
        <f t="shared" si="50"/>
        <v>4</v>
      </c>
      <c r="M56" s="145">
        <v>0</v>
      </c>
      <c r="N56" s="148">
        <v>14</v>
      </c>
      <c r="O56" s="148">
        <v>40</v>
      </c>
      <c r="P56" s="148" t="s">
        <v>7</v>
      </c>
      <c r="Q56" s="147" t="s">
        <v>50</v>
      </c>
      <c r="R56" s="148">
        <v>1</v>
      </c>
      <c r="S56" s="147" t="s">
        <v>5</v>
      </c>
      <c r="T56" s="101">
        <v>13422.3</v>
      </c>
      <c r="U56" s="101">
        <f t="shared" si="26"/>
        <v>13422.3</v>
      </c>
      <c r="V56" s="101">
        <f t="shared" si="27"/>
        <v>0</v>
      </c>
      <c r="W56" s="101">
        <f t="shared" si="28"/>
        <v>0</v>
      </c>
      <c r="X56" s="101">
        <f t="shared" si="29"/>
        <v>2326.5320000000002</v>
      </c>
      <c r="Y56" s="101">
        <f t="shared" si="30"/>
        <v>2326.5300000000002</v>
      </c>
      <c r="Z56" s="101">
        <f t="shared" si="31"/>
        <v>23265.32</v>
      </c>
      <c r="AA56" s="101">
        <f t="shared" si="32"/>
        <v>23265.32</v>
      </c>
      <c r="AB56" s="101">
        <f t="shared" si="33"/>
        <v>6979.5959999999995</v>
      </c>
      <c r="AC56" s="101">
        <f t="shared" si="34"/>
        <v>6979.6</v>
      </c>
      <c r="AD56" s="88">
        <f t="shared" si="35"/>
        <v>2442.8585999999996</v>
      </c>
      <c r="AE56" s="101">
        <f t="shared" si="36"/>
        <v>2442.86</v>
      </c>
      <c r="AF56" s="88">
        <f t="shared" si="37"/>
        <v>418.77575999999993</v>
      </c>
      <c r="AG56" s="101">
        <f t="shared" si="38"/>
        <v>418.78</v>
      </c>
      <c r="AH56" s="101">
        <v>813.16</v>
      </c>
      <c r="AI56" s="101">
        <f t="shared" si="39"/>
        <v>813.16</v>
      </c>
      <c r="AJ56" s="88">
        <f t="shared" si="40"/>
        <v>279.18383999999998</v>
      </c>
      <c r="AK56" s="101">
        <f t="shared" si="41"/>
        <v>279.18</v>
      </c>
      <c r="AL56" s="88">
        <v>650</v>
      </c>
      <c r="AM56" s="101">
        <f t="shared" si="42"/>
        <v>650</v>
      </c>
      <c r="AN56" s="88">
        <v>350</v>
      </c>
      <c r="AO56" s="101">
        <f t="shared" si="43"/>
        <v>350</v>
      </c>
      <c r="AP56" s="88">
        <f t="shared" si="44"/>
        <v>6442.7039999999997</v>
      </c>
      <c r="AQ56" s="88">
        <f t="shared" si="45"/>
        <v>6442.7</v>
      </c>
      <c r="AR56" s="88">
        <f t="shared" si="46"/>
        <v>259529.49040000001</v>
      </c>
      <c r="AS56" s="88">
        <f t="shared" si="47"/>
        <v>259529.51000000007</v>
      </c>
      <c r="AT56" s="153"/>
      <c r="AU56" s="68"/>
      <c r="AV56" s="68"/>
      <c r="AW56" s="68"/>
      <c r="AX56" s="68"/>
      <c r="BF56" s="152">
        <f>400*12</f>
        <v>4800</v>
      </c>
    </row>
    <row r="57" spans="2:64" s="28" customFormat="1" x14ac:dyDescent="0.2">
      <c r="B57" s="98">
        <f t="shared" si="48"/>
        <v>44</v>
      </c>
      <c r="C57" s="98">
        <v>13</v>
      </c>
      <c r="D57" s="98">
        <v>56</v>
      </c>
      <c r="E57" s="98">
        <v>266</v>
      </c>
      <c r="F57" s="98">
        <v>795</v>
      </c>
      <c r="G57" s="97" t="s">
        <v>69</v>
      </c>
      <c r="H57" s="92" t="s">
        <v>68</v>
      </c>
      <c r="I57" s="92" t="s">
        <v>67</v>
      </c>
      <c r="J57" s="146">
        <v>42919</v>
      </c>
      <c r="K57" s="145">
        <v>2017</v>
      </c>
      <c r="L57" s="145">
        <f t="shared" si="50"/>
        <v>2</v>
      </c>
      <c r="M57" s="145">
        <v>0</v>
      </c>
      <c r="N57" s="94">
        <v>14</v>
      </c>
      <c r="O57" s="94">
        <v>40</v>
      </c>
      <c r="P57" s="94" t="s">
        <v>7</v>
      </c>
      <c r="Q57" s="92" t="s">
        <v>50</v>
      </c>
      <c r="R57" s="94">
        <v>1</v>
      </c>
      <c r="S57" s="92" t="s">
        <v>5</v>
      </c>
      <c r="T57" s="101">
        <v>13422.3</v>
      </c>
      <c r="U57" s="101">
        <f t="shared" si="26"/>
        <v>13422.3</v>
      </c>
      <c r="V57" s="101">
        <f t="shared" si="27"/>
        <v>0</v>
      </c>
      <c r="W57" s="101">
        <f t="shared" si="28"/>
        <v>0</v>
      </c>
      <c r="X57" s="101">
        <f t="shared" si="29"/>
        <v>2326.5320000000002</v>
      </c>
      <c r="Y57" s="101">
        <f t="shared" si="30"/>
        <v>2326.5300000000002</v>
      </c>
      <c r="Z57" s="101">
        <f t="shared" si="31"/>
        <v>23265.32</v>
      </c>
      <c r="AA57" s="101">
        <f t="shared" si="32"/>
        <v>23265.32</v>
      </c>
      <c r="AB57" s="101">
        <f t="shared" si="33"/>
        <v>6979.5959999999995</v>
      </c>
      <c r="AC57" s="101">
        <f t="shared" si="34"/>
        <v>6979.6</v>
      </c>
      <c r="AD57" s="88">
        <f t="shared" si="35"/>
        <v>2442.8585999999996</v>
      </c>
      <c r="AE57" s="101">
        <f t="shared" si="36"/>
        <v>2442.86</v>
      </c>
      <c r="AF57" s="88">
        <f t="shared" si="37"/>
        <v>418.77575999999993</v>
      </c>
      <c r="AG57" s="101">
        <f t="shared" si="38"/>
        <v>418.78</v>
      </c>
      <c r="AH57" s="101">
        <v>813.16</v>
      </c>
      <c r="AI57" s="101">
        <f t="shared" si="39"/>
        <v>813.16</v>
      </c>
      <c r="AJ57" s="88">
        <f t="shared" si="40"/>
        <v>279.18383999999998</v>
      </c>
      <c r="AK57" s="101">
        <f t="shared" si="41"/>
        <v>279.18</v>
      </c>
      <c r="AL57" s="88">
        <v>650</v>
      </c>
      <c r="AM57" s="101">
        <f t="shared" si="42"/>
        <v>650</v>
      </c>
      <c r="AN57" s="88">
        <v>350</v>
      </c>
      <c r="AO57" s="101">
        <f t="shared" si="43"/>
        <v>350</v>
      </c>
      <c r="AP57" s="88">
        <f t="shared" si="44"/>
        <v>6442.7039999999997</v>
      </c>
      <c r="AQ57" s="88">
        <f t="shared" si="45"/>
        <v>6442.7</v>
      </c>
      <c r="AR57" s="88">
        <f t="shared" si="46"/>
        <v>259529.49040000001</v>
      </c>
      <c r="AS57" s="88">
        <f t="shared" si="47"/>
        <v>259529.51000000007</v>
      </c>
      <c r="AT57" s="151"/>
      <c r="AU57" s="68"/>
      <c r="AV57" s="150"/>
      <c r="BF57" s="89">
        <f>400*12</f>
        <v>4800</v>
      </c>
    </row>
    <row r="58" spans="2:64" s="28" customFormat="1" x14ac:dyDescent="0.2">
      <c r="B58" s="98">
        <f t="shared" si="48"/>
        <v>45</v>
      </c>
      <c r="C58" s="98">
        <v>13</v>
      </c>
      <c r="D58" s="98">
        <v>56</v>
      </c>
      <c r="E58" s="98">
        <v>266</v>
      </c>
      <c r="F58" s="98">
        <v>795</v>
      </c>
      <c r="G58" s="98" t="s">
        <v>66</v>
      </c>
      <c r="H58" s="147" t="s">
        <v>65</v>
      </c>
      <c r="I58" s="92" t="s">
        <v>64</v>
      </c>
      <c r="J58" s="149">
        <v>43122</v>
      </c>
      <c r="K58" s="145">
        <v>2018</v>
      </c>
      <c r="L58" s="145">
        <f t="shared" si="50"/>
        <v>1</v>
      </c>
      <c r="M58" s="145">
        <v>0</v>
      </c>
      <c r="N58" s="148">
        <v>13</v>
      </c>
      <c r="O58" s="148">
        <v>40</v>
      </c>
      <c r="P58" s="148" t="s">
        <v>7</v>
      </c>
      <c r="Q58" s="147" t="s">
        <v>63</v>
      </c>
      <c r="R58" s="148">
        <v>1</v>
      </c>
      <c r="S58" s="147" t="s">
        <v>5</v>
      </c>
      <c r="T58" s="101">
        <v>12804.6</v>
      </c>
      <c r="U58" s="101">
        <f t="shared" si="26"/>
        <v>12804.6</v>
      </c>
      <c r="V58" s="101">
        <f t="shared" si="27"/>
        <v>0</v>
      </c>
      <c r="W58" s="101">
        <f t="shared" si="28"/>
        <v>0</v>
      </c>
      <c r="X58" s="101">
        <f t="shared" si="29"/>
        <v>2219.4639999999999</v>
      </c>
      <c r="Y58" s="101">
        <f t="shared" si="30"/>
        <v>2219.46</v>
      </c>
      <c r="Z58" s="101">
        <f t="shared" si="31"/>
        <v>22194.639999999999</v>
      </c>
      <c r="AA58" s="101">
        <f t="shared" si="32"/>
        <v>22194.639999999999</v>
      </c>
      <c r="AB58" s="101">
        <f t="shared" si="33"/>
        <v>6658.3919999999998</v>
      </c>
      <c r="AC58" s="101">
        <f t="shared" si="34"/>
        <v>6658.39</v>
      </c>
      <c r="AD58" s="88">
        <f t="shared" si="35"/>
        <v>2330.4371999999998</v>
      </c>
      <c r="AE58" s="101">
        <f t="shared" si="36"/>
        <v>2330.44</v>
      </c>
      <c r="AF58" s="88">
        <f t="shared" si="37"/>
        <v>399.50351999999998</v>
      </c>
      <c r="AG58" s="101">
        <f t="shared" si="38"/>
        <v>399.5</v>
      </c>
      <c r="AH58" s="101">
        <v>795.28</v>
      </c>
      <c r="AI58" s="101">
        <f t="shared" si="39"/>
        <v>795.28</v>
      </c>
      <c r="AJ58" s="88">
        <f t="shared" si="40"/>
        <v>266.33568000000002</v>
      </c>
      <c r="AK58" s="101">
        <f t="shared" si="41"/>
        <v>266.33999999999997</v>
      </c>
      <c r="AL58" s="88">
        <v>650</v>
      </c>
      <c r="AM58" s="101">
        <f t="shared" si="42"/>
        <v>650</v>
      </c>
      <c r="AN58" s="88">
        <v>350</v>
      </c>
      <c r="AO58" s="101">
        <f t="shared" si="43"/>
        <v>350</v>
      </c>
      <c r="AP58" s="88">
        <f t="shared" si="44"/>
        <v>6146.2079999999996</v>
      </c>
      <c r="AQ58" s="88">
        <f t="shared" si="45"/>
        <v>6146.21</v>
      </c>
      <c r="AR58" s="88">
        <f t="shared" si="46"/>
        <v>248372.58080000003</v>
      </c>
      <c r="AS58" s="88">
        <f t="shared" si="47"/>
        <v>248372.61999999997</v>
      </c>
      <c r="AT58" s="144"/>
      <c r="AU58" s="68"/>
      <c r="AV58" s="68"/>
      <c r="AW58" s="68"/>
      <c r="AX58" s="68"/>
      <c r="BF58" s="89">
        <f>400*12</f>
        <v>4800</v>
      </c>
    </row>
    <row r="59" spans="2:64" s="28" customFormat="1" x14ac:dyDescent="0.2">
      <c r="B59" s="98">
        <f t="shared" si="48"/>
        <v>46</v>
      </c>
      <c r="C59" s="98">
        <v>13</v>
      </c>
      <c r="D59" s="98">
        <v>56</v>
      </c>
      <c r="E59" s="98">
        <v>266</v>
      </c>
      <c r="F59" s="98">
        <v>795</v>
      </c>
      <c r="G59" s="97" t="s">
        <v>62</v>
      </c>
      <c r="H59" s="92" t="s">
        <v>61</v>
      </c>
      <c r="I59" s="92" t="s">
        <v>60</v>
      </c>
      <c r="J59" s="146">
        <v>42919</v>
      </c>
      <c r="K59" s="145">
        <v>2017</v>
      </c>
      <c r="L59" s="145">
        <f t="shared" si="50"/>
        <v>2</v>
      </c>
      <c r="M59" s="145">
        <v>0</v>
      </c>
      <c r="N59" s="94">
        <v>15</v>
      </c>
      <c r="O59" s="94">
        <v>40</v>
      </c>
      <c r="P59" s="94" t="s">
        <v>7</v>
      </c>
      <c r="Q59" s="92" t="s">
        <v>59</v>
      </c>
      <c r="R59" s="94">
        <v>1</v>
      </c>
      <c r="S59" s="92" t="s">
        <v>5</v>
      </c>
      <c r="T59" s="101">
        <v>14535.6</v>
      </c>
      <c r="U59" s="101">
        <f t="shared" si="26"/>
        <v>14535.6</v>
      </c>
      <c r="V59" s="101">
        <f t="shared" si="27"/>
        <v>0</v>
      </c>
      <c r="W59" s="101">
        <f t="shared" si="28"/>
        <v>0</v>
      </c>
      <c r="X59" s="101">
        <f t="shared" si="29"/>
        <v>2519.5040000000004</v>
      </c>
      <c r="Y59" s="101">
        <f t="shared" si="30"/>
        <v>2519.5</v>
      </c>
      <c r="Z59" s="101">
        <f t="shared" si="31"/>
        <v>25195.040000000005</v>
      </c>
      <c r="AA59" s="101">
        <f t="shared" si="32"/>
        <v>25195.040000000001</v>
      </c>
      <c r="AB59" s="101">
        <f t="shared" si="33"/>
        <v>7558.5120000000006</v>
      </c>
      <c r="AC59" s="101">
        <f t="shared" si="34"/>
        <v>7558.51</v>
      </c>
      <c r="AD59" s="88">
        <f t="shared" si="35"/>
        <v>2645.4792000000002</v>
      </c>
      <c r="AE59" s="101">
        <f t="shared" si="36"/>
        <v>2645.48</v>
      </c>
      <c r="AF59" s="88">
        <f t="shared" si="37"/>
        <v>453.51072000000005</v>
      </c>
      <c r="AG59" s="101">
        <f t="shared" si="38"/>
        <v>453.51</v>
      </c>
      <c r="AH59" s="101">
        <v>845.38</v>
      </c>
      <c r="AI59" s="101">
        <f t="shared" si="39"/>
        <v>845.38</v>
      </c>
      <c r="AJ59" s="88">
        <f t="shared" si="40"/>
        <v>302.34048000000001</v>
      </c>
      <c r="AK59" s="101">
        <f t="shared" si="41"/>
        <v>302.33999999999997</v>
      </c>
      <c r="AL59" s="88">
        <v>650</v>
      </c>
      <c r="AM59" s="101">
        <f t="shared" si="42"/>
        <v>650</v>
      </c>
      <c r="AN59" s="88">
        <v>350</v>
      </c>
      <c r="AO59" s="101">
        <f t="shared" si="43"/>
        <v>350</v>
      </c>
      <c r="AP59" s="88">
        <f t="shared" si="44"/>
        <v>6977.0879999999997</v>
      </c>
      <c r="AQ59" s="88">
        <f t="shared" si="45"/>
        <v>6977.09</v>
      </c>
      <c r="AR59" s="88">
        <f t="shared" si="46"/>
        <v>279637.86879999994</v>
      </c>
      <c r="AS59" s="88">
        <f t="shared" si="47"/>
        <v>279637.86000000004</v>
      </c>
      <c r="AT59" s="144"/>
      <c r="AU59" s="68"/>
      <c r="AV59" s="68"/>
      <c r="AW59" s="68"/>
      <c r="AX59" s="68"/>
      <c r="BF59" s="89">
        <f>400*12</f>
        <v>4800</v>
      </c>
    </row>
    <row r="60" spans="2:64" s="28" customFormat="1" x14ac:dyDescent="0.2">
      <c r="B60" s="98">
        <f t="shared" si="48"/>
        <v>47</v>
      </c>
      <c r="C60" s="98">
        <v>13</v>
      </c>
      <c r="D60" s="98">
        <v>56</v>
      </c>
      <c r="E60" s="98">
        <v>266</v>
      </c>
      <c r="F60" s="98">
        <v>795</v>
      </c>
      <c r="G60" s="97" t="s">
        <v>58</v>
      </c>
      <c r="H60" s="92" t="s">
        <v>57</v>
      </c>
      <c r="I60" s="92"/>
      <c r="J60" s="146"/>
      <c r="K60" s="145"/>
      <c r="L60" s="145"/>
      <c r="M60" s="145"/>
      <c r="N60" s="94">
        <v>16</v>
      </c>
      <c r="O60" s="94">
        <v>40</v>
      </c>
      <c r="P60" s="94" t="s">
        <v>7</v>
      </c>
      <c r="Q60" s="92" t="s">
        <v>56</v>
      </c>
      <c r="R60" s="94">
        <v>1</v>
      </c>
      <c r="S60" s="92" t="s">
        <v>5</v>
      </c>
      <c r="T60" s="101">
        <v>17551.169999999998</v>
      </c>
      <c r="U60" s="101">
        <f t="shared" si="26"/>
        <v>17551.169999999998</v>
      </c>
      <c r="V60" s="101">
        <f t="shared" si="27"/>
        <v>0</v>
      </c>
      <c r="W60" s="101">
        <f t="shared" si="28"/>
        <v>0</v>
      </c>
      <c r="X60" s="101">
        <f t="shared" si="29"/>
        <v>3042.2027999999996</v>
      </c>
      <c r="Y60" s="101">
        <f t="shared" si="30"/>
        <v>3042.2</v>
      </c>
      <c r="Z60" s="101">
        <f t="shared" si="31"/>
        <v>30422.027999999995</v>
      </c>
      <c r="AA60" s="101">
        <f t="shared" si="32"/>
        <v>30422.03</v>
      </c>
      <c r="AB60" s="101">
        <f t="shared" si="33"/>
        <v>9126.6083999999992</v>
      </c>
      <c r="AC60" s="101">
        <f t="shared" si="34"/>
        <v>9126.61</v>
      </c>
      <c r="AD60" s="88">
        <f t="shared" si="35"/>
        <v>3194.3129399999993</v>
      </c>
      <c r="AE60" s="101">
        <f t="shared" si="36"/>
        <v>3194.31</v>
      </c>
      <c r="AF60" s="88">
        <f t="shared" si="37"/>
        <v>547.59650399999998</v>
      </c>
      <c r="AG60" s="101">
        <f t="shared" si="38"/>
        <v>547.6</v>
      </c>
      <c r="AH60" s="101">
        <v>932.67</v>
      </c>
      <c r="AI60" s="101">
        <f t="shared" si="39"/>
        <v>932.67</v>
      </c>
      <c r="AJ60" s="88">
        <f t="shared" si="40"/>
        <v>365.06433599999997</v>
      </c>
      <c r="AK60" s="101">
        <f t="shared" si="41"/>
        <v>365.06</v>
      </c>
      <c r="AL60" s="88">
        <v>650</v>
      </c>
      <c r="AM60" s="101">
        <f t="shared" si="42"/>
        <v>650</v>
      </c>
      <c r="AN60" s="88">
        <v>350</v>
      </c>
      <c r="AO60" s="101">
        <f t="shared" si="43"/>
        <v>350</v>
      </c>
      <c r="AP60" s="88">
        <f t="shared" si="44"/>
        <v>8424.5615999999991</v>
      </c>
      <c r="AQ60" s="88">
        <f t="shared" si="45"/>
        <v>8424.56</v>
      </c>
      <c r="AR60" s="88">
        <f t="shared" si="46"/>
        <v>334105.16616000002</v>
      </c>
      <c r="AS60" s="88">
        <f t="shared" si="47"/>
        <v>334105.11999999994</v>
      </c>
      <c r="AT60" s="144"/>
      <c r="AU60" s="68"/>
      <c r="AV60" s="68"/>
      <c r="AW60" s="68"/>
      <c r="AX60" s="68"/>
      <c r="BF60" s="89">
        <v>0</v>
      </c>
    </row>
    <row r="61" spans="2:64" s="84" customFormat="1" x14ac:dyDescent="0.2">
      <c r="B61" s="98">
        <f t="shared" si="48"/>
        <v>48</v>
      </c>
      <c r="C61" s="98">
        <v>13</v>
      </c>
      <c r="D61" s="98">
        <v>56</v>
      </c>
      <c r="E61" s="98">
        <v>266</v>
      </c>
      <c r="F61" s="98">
        <v>795</v>
      </c>
      <c r="G61" s="97" t="s">
        <v>55</v>
      </c>
      <c r="H61" s="92" t="s">
        <v>51</v>
      </c>
      <c r="I61" s="92"/>
      <c r="J61" s="146"/>
      <c r="K61" s="145"/>
      <c r="L61" s="145"/>
      <c r="M61" s="145"/>
      <c r="N61" s="94">
        <v>14</v>
      </c>
      <c r="O61" s="94">
        <v>40</v>
      </c>
      <c r="P61" s="94" t="s">
        <v>7</v>
      </c>
      <c r="Q61" s="92" t="s">
        <v>50</v>
      </c>
      <c r="R61" s="94">
        <v>1</v>
      </c>
      <c r="S61" s="92" t="s">
        <v>5</v>
      </c>
      <c r="T61" s="101">
        <v>0</v>
      </c>
      <c r="U61" s="101">
        <f t="shared" si="26"/>
        <v>0</v>
      </c>
      <c r="V61" s="101">
        <f t="shared" si="27"/>
        <v>0</v>
      </c>
      <c r="W61" s="101">
        <f t="shared" si="28"/>
        <v>0</v>
      </c>
      <c r="X61" s="101">
        <f t="shared" si="29"/>
        <v>0</v>
      </c>
      <c r="Y61" s="101">
        <f t="shared" si="30"/>
        <v>0</v>
      </c>
      <c r="Z61" s="101">
        <f t="shared" si="31"/>
        <v>0</v>
      </c>
      <c r="AA61" s="101">
        <f t="shared" si="32"/>
        <v>0</v>
      </c>
      <c r="AB61" s="101">
        <f t="shared" si="33"/>
        <v>0</v>
      </c>
      <c r="AC61" s="101">
        <f t="shared" si="34"/>
        <v>0</v>
      </c>
      <c r="AD61" s="88">
        <f t="shared" si="35"/>
        <v>0</v>
      </c>
      <c r="AE61" s="101">
        <f t="shared" si="36"/>
        <v>0</v>
      </c>
      <c r="AF61" s="88">
        <f t="shared" si="37"/>
        <v>0</v>
      </c>
      <c r="AG61" s="101">
        <f t="shared" si="38"/>
        <v>0</v>
      </c>
      <c r="AH61" s="101">
        <v>0</v>
      </c>
      <c r="AI61" s="101">
        <f t="shared" si="39"/>
        <v>0</v>
      </c>
      <c r="AJ61" s="88">
        <f t="shared" si="40"/>
        <v>0</v>
      </c>
      <c r="AK61" s="101">
        <f t="shared" si="41"/>
        <v>0</v>
      </c>
      <c r="AL61" s="88">
        <v>0</v>
      </c>
      <c r="AM61" s="101">
        <f t="shared" si="42"/>
        <v>0</v>
      </c>
      <c r="AN61" s="88">
        <v>0</v>
      </c>
      <c r="AO61" s="101">
        <f t="shared" si="43"/>
        <v>0</v>
      </c>
      <c r="AP61" s="88">
        <f>T61*0.06*12</f>
        <v>0</v>
      </c>
      <c r="AQ61" s="88">
        <f t="shared" si="45"/>
        <v>0</v>
      </c>
      <c r="AR61" s="88">
        <f t="shared" si="46"/>
        <v>0</v>
      </c>
      <c r="AS61" s="88">
        <f t="shared" si="47"/>
        <v>0</v>
      </c>
      <c r="AT61" s="81"/>
      <c r="AU61" s="85"/>
      <c r="AV61" s="142"/>
      <c r="BF61" s="87">
        <f>400*12</f>
        <v>4800</v>
      </c>
    </row>
    <row r="62" spans="2:64" s="143" customFormat="1" x14ac:dyDescent="0.2">
      <c r="B62" s="98">
        <f t="shared" si="48"/>
        <v>49</v>
      </c>
      <c r="C62" s="98">
        <v>13</v>
      </c>
      <c r="D62" s="98">
        <v>56</v>
      </c>
      <c r="E62" s="98">
        <v>266</v>
      </c>
      <c r="F62" s="98">
        <v>795</v>
      </c>
      <c r="G62" s="97" t="s">
        <v>54</v>
      </c>
      <c r="H62" s="92" t="s">
        <v>53</v>
      </c>
      <c r="I62" s="92"/>
      <c r="J62" s="146"/>
      <c r="K62" s="145"/>
      <c r="L62" s="145"/>
      <c r="M62" s="145"/>
      <c r="N62" s="94">
        <v>14</v>
      </c>
      <c r="O62" s="94">
        <v>40</v>
      </c>
      <c r="P62" s="94" t="s">
        <v>7</v>
      </c>
      <c r="Q62" s="92" t="s">
        <v>50</v>
      </c>
      <c r="R62" s="94">
        <v>1</v>
      </c>
      <c r="S62" s="92" t="s">
        <v>5</v>
      </c>
      <c r="T62" s="101">
        <v>0</v>
      </c>
      <c r="U62" s="101">
        <f t="shared" si="26"/>
        <v>0</v>
      </c>
      <c r="V62" s="101">
        <f t="shared" si="27"/>
        <v>0</v>
      </c>
      <c r="W62" s="101">
        <f t="shared" si="28"/>
        <v>0</v>
      </c>
      <c r="X62" s="101">
        <f t="shared" si="29"/>
        <v>0</v>
      </c>
      <c r="Y62" s="101">
        <f t="shared" si="30"/>
        <v>0</v>
      </c>
      <c r="Z62" s="101">
        <f t="shared" si="31"/>
        <v>0</v>
      </c>
      <c r="AA62" s="101">
        <f t="shared" si="32"/>
        <v>0</v>
      </c>
      <c r="AB62" s="101">
        <f t="shared" si="33"/>
        <v>0</v>
      </c>
      <c r="AC62" s="101">
        <f t="shared" si="34"/>
        <v>0</v>
      </c>
      <c r="AD62" s="88">
        <f t="shared" si="35"/>
        <v>0</v>
      </c>
      <c r="AE62" s="101">
        <f t="shared" si="36"/>
        <v>0</v>
      </c>
      <c r="AF62" s="88">
        <f t="shared" si="37"/>
        <v>0</v>
      </c>
      <c r="AG62" s="101">
        <f t="shared" si="38"/>
        <v>0</v>
      </c>
      <c r="AH62" s="101">
        <v>0</v>
      </c>
      <c r="AI62" s="101">
        <f t="shared" si="39"/>
        <v>0</v>
      </c>
      <c r="AJ62" s="88">
        <f t="shared" si="40"/>
        <v>0</v>
      </c>
      <c r="AK62" s="101">
        <f t="shared" si="41"/>
        <v>0</v>
      </c>
      <c r="AL62" s="88">
        <v>0</v>
      </c>
      <c r="AM62" s="101">
        <f t="shared" si="42"/>
        <v>0</v>
      </c>
      <c r="AN62" s="88">
        <v>0</v>
      </c>
      <c r="AO62" s="101">
        <f t="shared" si="43"/>
        <v>0</v>
      </c>
      <c r="AP62" s="88">
        <f>T62*0.06*12</f>
        <v>0</v>
      </c>
      <c r="AQ62" s="88">
        <f t="shared" si="45"/>
        <v>0</v>
      </c>
      <c r="AR62" s="88">
        <f t="shared" si="46"/>
        <v>0</v>
      </c>
      <c r="AS62" s="88">
        <f t="shared" si="47"/>
        <v>0</v>
      </c>
      <c r="AT62" s="81"/>
      <c r="AU62" s="85"/>
      <c r="AV62" s="142"/>
      <c r="BF62" s="87">
        <f>400*12</f>
        <v>4800</v>
      </c>
    </row>
    <row r="63" spans="2:64" s="84" customFormat="1" x14ac:dyDescent="0.2">
      <c r="B63" s="98">
        <f t="shared" si="48"/>
        <v>50</v>
      </c>
      <c r="C63" s="98">
        <v>13</v>
      </c>
      <c r="D63" s="98">
        <v>56</v>
      </c>
      <c r="E63" s="98">
        <v>266</v>
      </c>
      <c r="F63" s="98">
        <v>795</v>
      </c>
      <c r="G63" s="97" t="s">
        <v>52</v>
      </c>
      <c r="H63" s="92" t="s">
        <v>51</v>
      </c>
      <c r="I63" s="92"/>
      <c r="J63" s="146"/>
      <c r="K63" s="145"/>
      <c r="L63" s="145"/>
      <c r="M63" s="145"/>
      <c r="N63" s="94">
        <v>14</v>
      </c>
      <c r="O63" s="94">
        <v>40</v>
      </c>
      <c r="P63" s="94" t="s">
        <v>7</v>
      </c>
      <c r="Q63" s="92" t="s">
        <v>50</v>
      </c>
      <c r="R63" s="94">
        <v>1</v>
      </c>
      <c r="S63" s="92" t="s">
        <v>5</v>
      </c>
      <c r="T63" s="101">
        <v>0</v>
      </c>
      <c r="U63" s="101">
        <f t="shared" si="26"/>
        <v>0</v>
      </c>
      <c r="V63" s="101">
        <f t="shared" si="27"/>
        <v>0</v>
      </c>
      <c r="W63" s="101">
        <f t="shared" si="28"/>
        <v>0</v>
      </c>
      <c r="X63" s="101">
        <f t="shared" si="29"/>
        <v>0</v>
      </c>
      <c r="Y63" s="101">
        <f t="shared" si="30"/>
        <v>0</v>
      </c>
      <c r="Z63" s="101">
        <f t="shared" si="31"/>
        <v>0</v>
      </c>
      <c r="AA63" s="101">
        <f t="shared" si="32"/>
        <v>0</v>
      </c>
      <c r="AB63" s="101">
        <f t="shared" si="33"/>
        <v>0</v>
      </c>
      <c r="AC63" s="101">
        <f t="shared" si="34"/>
        <v>0</v>
      </c>
      <c r="AD63" s="88">
        <f t="shared" si="35"/>
        <v>0</v>
      </c>
      <c r="AE63" s="101">
        <f t="shared" si="36"/>
        <v>0</v>
      </c>
      <c r="AF63" s="88">
        <f t="shared" si="37"/>
        <v>0</v>
      </c>
      <c r="AG63" s="101">
        <f t="shared" si="38"/>
        <v>0</v>
      </c>
      <c r="AH63" s="101">
        <v>0</v>
      </c>
      <c r="AI63" s="101">
        <f t="shared" si="39"/>
        <v>0</v>
      </c>
      <c r="AJ63" s="88">
        <f t="shared" si="40"/>
        <v>0</v>
      </c>
      <c r="AK63" s="101">
        <f t="shared" si="41"/>
        <v>0</v>
      </c>
      <c r="AL63" s="88">
        <v>0</v>
      </c>
      <c r="AM63" s="101">
        <f t="shared" si="42"/>
        <v>0</v>
      </c>
      <c r="AN63" s="88">
        <v>0</v>
      </c>
      <c r="AO63" s="101">
        <f t="shared" si="43"/>
        <v>0</v>
      </c>
      <c r="AP63" s="88">
        <f>T63*0.06*12</f>
        <v>0</v>
      </c>
      <c r="AQ63" s="88">
        <f t="shared" si="45"/>
        <v>0</v>
      </c>
      <c r="AR63" s="88">
        <f t="shared" si="46"/>
        <v>0</v>
      </c>
      <c r="AS63" s="88">
        <f t="shared" si="47"/>
        <v>0</v>
      </c>
      <c r="AT63" s="81"/>
      <c r="AU63" s="85"/>
      <c r="AV63" s="142"/>
      <c r="BF63" s="87">
        <f>400*12</f>
        <v>4800</v>
      </c>
    </row>
    <row r="64" spans="2:64" s="28" customFormat="1" ht="18" customHeight="1" x14ac:dyDescent="0.2">
      <c r="B64" s="76"/>
      <c r="C64" s="139"/>
      <c r="D64" s="76"/>
      <c r="E64" s="76"/>
      <c r="F64" s="76"/>
      <c r="G64" s="139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41"/>
      <c r="S64" s="72" t="s">
        <v>49</v>
      </c>
      <c r="T64" s="70">
        <f t="shared" ref="T64:AS64" si="51">SUM(T31:T63)</f>
        <v>385201.18999999989</v>
      </c>
      <c r="U64" s="70">
        <f t="shared" si="51"/>
        <v>385201.18999999989</v>
      </c>
      <c r="V64" s="70">
        <f t="shared" si="51"/>
        <v>5750.08</v>
      </c>
      <c r="W64" s="70">
        <f t="shared" si="51"/>
        <v>5750.08</v>
      </c>
      <c r="X64" s="70">
        <f t="shared" si="51"/>
        <v>66768.206266666661</v>
      </c>
      <c r="Y64" s="70">
        <f t="shared" si="51"/>
        <v>66768.139999999985</v>
      </c>
      <c r="Z64" s="70">
        <f t="shared" si="51"/>
        <v>667682.06266666658</v>
      </c>
      <c r="AA64" s="70">
        <f t="shared" si="51"/>
        <v>667682.06999999983</v>
      </c>
      <c r="AB64" s="70">
        <f t="shared" si="51"/>
        <v>200304.61879999997</v>
      </c>
      <c r="AC64" s="70">
        <f t="shared" si="51"/>
        <v>200304.65000000002</v>
      </c>
      <c r="AD64" s="70">
        <f t="shared" si="51"/>
        <v>70106.616580000002</v>
      </c>
      <c r="AE64" s="70">
        <f t="shared" si="51"/>
        <v>70106.640000000029</v>
      </c>
      <c r="AF64" s="70">
        <f t="shared" si="51"/>
        <v>12018.277128000002</v>
      </c>
      <c r="AG64" s="70">
        <f t="shared" si="51"/>
        <v>12018.330000000002</v>
      </c>
      <c r="AH64" s="70">
        <f t="shared" si="51"/>
        <v>24099.97</v>
      </c>
      <c r="AI64" s="70">
        <f t="shared" si="51"/>
        <v>24099.97</v>
      </c>
      <c r="AJ64" s="70">
        <f t="shared" si="51"/>
        <v>8012.1847519999983</v>
      </c>
      <c r="AK64" s="70">
        <f t="shared" si="51"/>
        <v>8012.1200000000026</v>
      </c>
      <c r="AL64" s="70">
        <f t="shared" si="51"/>
        <v>16950</v>
      </c>
      <c r="AM64" s="70">
        <f t="shared" si="51"/>
        <v>16950</v>
      </c>
      <c r="AN64" s="70">
        <f t="shared" si="51"/>
        <v>9143.0208333333321</v>
      </c>
      <c r="AO64" s="70">
        <f t="shared" si="51"/>
        <v>9143.0299999999988</v>
      </c>
      <c r="AP64" s="70">
        <f t="shared" si="51"/>
        <v>184896.57119999998</v>
      </c>
      <c r="AQ64" s="70">
        <f t="shared" si="51"/>
        <v>184896.54</v>
      </c>
      <c r="AR64" s="70">
        <f t="shared" si="51"/>
        <v>7495027.5304533336</v>
      </c>
      <c r="AS64" s="70">
        <f t="shared" si="51"/>
        <v>7495027.7200000016</v>
      </c>
      <c r="AT64" s="2"/>
      <c r="AU64" s="140"/>
      <c r="AV64" s="140"/>
      <c r="AW64" s="140"/>
      <c r="AX64" s="140"/>
      <c r="AY64" s="140"/>
      <c r="BF64" s="70">
        <f>SUM(BF31:BF63)</f>
        <v>138000</v>
      </c>
      <c r="BK64" s="78"/>
      <c r="BL64" s="78"/>
    </row>
    <row r="65" spans="2:62" s="28" customFormat="1" ht="17.25" customHeight="1" x14ac:dyDescent="0.25">
      <c r="B65" s="76"/>
      <c r="C65" s="139"/>
      <c r="D65" s="76"/>
      <c r="E65" s="76"/>
      <c r="F65" s="76"/>
      <c r="G65" s="139"/>
      <c r="H65" s="61"/>
      <c r="I65" s="133"/>
      <c r="J65" s="133"/>
      <c r="K65" s="138"/>
      <c r="L65" s="138"/>
      <c r="M65" s="137"/>
      <c r="N65" s="136"/>
      <c r="O65" s="136"/>
      <c r="P65" s="136"/>
      <c r="Q65" s="44"/>
      <c r="R65" s="224" t="s">
        <v>48</v>
      </c>
      <c r="S65" s="225"/>
      <c r="T65" s="71">
        <f>+(T29+T64)*12</f>
        <v>7415837.879999999</v>
      </c>
      <c r="U65" s="71">
        <f>+(U29+U64)*12</f>
        <v>7415837.879999999</v>
      </c>
      <c r="V65" s="71">
        <f>(V29+V64)*12</f>
        <v>121983.84000000003</v>
      </c>
      <c r="W65" s="71">
        <f>(W29+W64)*12</f>
        <v>121983.84000000003</v>
      </c>
      <c r="X65" s="71">
        <f t="shared" ref="X65:AC65" si="52">+X64+X29</f>
        <v>107117.65826666667</v>
      </c>
      <c r="Y65" s="71">
        <f t="shared" si="52"/>
        <v>107117.59</v>
      </c>
      <c r="Z65" s="71">
        <f t="shared" si="52"/>
        <v>1071176.5826666667</v>
      </c>
      <c r="AA65" s="71">
        <f t="shared" si="52"/>
        <v>1071176.5899999999</v>
      </c>
      <c r="AB65" s="71">
        <f t="shared" si="52"/>
        <v>296857.85479999997</v>
      </c>
      <c r="AC65" s="71">
        <f t="shared" si="52"/>
        <v>296857.90000000002</v>
      </c>
      <c r="AD65" s="71">
        <f t="shared" ref="AD65:AO65" si="53">(AD29+AD64)*12</f>
        <v>1349682.49416</v>
      </c>
      <c r="AE65" s="71">
        <f t="shared" si="53"/>
        <v>1349682.3600000003</v>
      </c>
      <c r="AF65" s="71">
        <f t="shared" si="53"/>
        <v>231374.141856</v>
      </c>
      <c r="AG65" s="71">
        <f t="shared" si="53"/>
        <v>231374.64</v>
      </c>
      <c r="AH65" s="71">
        <f t="shared" si="53"/>
        <v>457676.76</v>
      </c>
      <c r="AI65" s="71">
        <f t="shared" si="53"/>
        <v>457676.76</v>
      </c>
      <c r="AJ65" s="71">
        <f t="shared" si="53"/>
        <v>154249.42790399998</v>
      </c>
      <c r="AK65" s="71">
        <f t="shared" si="53"/>
        <v>154248.72000000003</v>
      </c>
      <c r="AL65" s="71">
        <f t="shared" si="53"/>
        <v>332100</v>
      </c>
      <c r="AM65" s="71">
        <f t="shared" si="53"/>
        <v>332100</v>
      </c>
      <c r="AN65" s="71">
        <f t="shared" si="53"/>
        <v>179016.25</v>
      </c>
      <c r="AO65" s="71">
        <f t="shared" si="53"/>
        <v>179016.36</v>
      </c>
      <c r="AP65" s="71">
        <f>+AP64+AP29</f>
        <v>296633.51520000002</v>
      </c>
      <c r="AQ65" s="71">
        <f>+AQ64+AQ29</f>
        <v>296633.47000000003</v>
      </c>
      <c r="AR65" s="71">
        <f>+T65+V65+X65+Z65+AB65+AD65+AF65+AH65+AJ65+AL65+AN65+AP65</f>
        <v>12013706.404853333</v>
      </c>
      <c r="AS65" s="71">
        <f>+U65+W65+Y65+AA65+AC65+AE65+AG65+AI65+AK65+AM65+AO65+AQ65</f>
        <v>12013706.110000001</v>
      </c>
      <c r="AT65" s="2"/>
      <c r="AU65" s="68"/>
      <c r="BF65" s="70">
        <f>+BF64+BF29</f>
        <v>226200</v>
      </c>
    </row>
    <row r="66" spans="2:62" s="28" customFormat="1" ht="3.75" customHeight="1" x14ac:dyDescent="0.25">
      <c r="B66" s="76"/>
      <c r="C66" s="76"/>
      <c r="D66" s="76"/>
      <c r="E66" s="76"/>
      <c r="F66" s="76"/>
      <c r="G66" s="135"/>
      <c r="H66" s="44"/>
      <c r="I66" s="44"/>
      <c r="J66" s="133"/>
      <c r="K66" s="134"/>
      <c r="L66" s="134"/>
      <c r="M66" s="134"/>
      <c r="N66" s="133"/>
      <c r="O66" s="133"/>
      <c r="P66" s="133"/>
      <c r="Q66" s="44"/>
      <c r="R66" s="129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</row>
    <row r="67" spans="2:62" s="127" customFormat="1" ht="6.75" customHeight="1" x14ac:dyDescent="0.25">
      <c r="B67" s="132"/>
      <c r="C67" s="132"/>
      <c r="D67" s="132"/>
      <c r="E67" s="132"/>
      <c r="F67" s="132"/>
      <c r="G67" s="131"/>
      <c r="H67" s="44"/>
      <c r="I67" s="44"/>
      <c r="J67" s="130"/>
      <c r="K67" s="48"/>
      <c r="L67" s="48"/>
      <c r="M67" s="48"/>
      <c r="N67" s="129"/>
      <c r="O67" s="129"/>
      <c r="P67" s="129"/>
      <c r="Q67" s="44"/>
      <c r="R67" s="129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</row>
    <row r="68" spans="2:62" s="28" customFormat="1" ht="13.5" thickBot="1" x14ac:dyDescent="0.25">
      <c r="B68" s="104">
        <f>+B63+1</f>
        <v>51</v>
      </c>
      <c r="C68" s="98">
        <v>13</v>
      </c>
      <c r="D68" s="98">
        <v>56</v>
      </c>
      <c r="E68" s="98">
        <v>266</v>
      </c>
      <c r="F68" s="98">
        <v>795</v>
      </c>
      <c r="G68" s="126" t="s">
        <v>47</v>
      </c>
      <c r="H68" s="125" t="s">
        <v>46</v>
      </c>
      <c r="I68" s="92" t="s">
        <v>45</v>
      </c>
      <c r="J68" s="96" t="s">
        <v>14</v>
      </c>
      <c r="K68" s="95"/>
      <c r="L68" s="95"/>
      <c r="M68" s="95"/>
      <c r="N68" s="94"/>
      <c r="O68" s="94">
        <v>2</v>
      </c>
      <c r="P68" s="94" t="s">
        <v>7</v>
      </c>
      <c r="Q68" s="92" t="s">
        <v>11</v>
      </c>
      <c r="R68" s="94">
        <v>1</v>
      </c>
      <c r="S68" s="92" t="s">
        <v>5</v>
      </c>
      <c r="T68" s="101">
        <f>+(O68*4)*230.56</f>
        <v>1844.48</v>
      </c>
      <c r="U68" s="101">
        <f t="shared" ref="U68:U81" si="54">ROUND(T68,2)</f>
        <v>1844.48</v>
      </c>
      <c r="V68" s="102">
        <v>0</v>
      </c>
      <c r="W68" s="102">
        <f t="shared" ref="W68:W81" si="55">ROUND(V68,2)</f>
        <v>0</v>
      </c>
      <c r="X68" s="101">
        <f t="shared" ref="X68:X75" si="56">+((T68+AP68/12)/30)*10*25%</f>
        <v>159.85493333333332</v>
      </c>
      <c r="Y68" s="101">
        <f t="shared" ref="Y68:Y81" si="57">ROUND(X68,2)</f>
        <v>159.85</v>
      </c>
      <c r="Z68" s="101">
        <f t="shared" ref="Z68:Z75" si="58">(T68+(AP68/12))/30*50/2</f>
        <v>1598.5493333333332</v>
      </c>
      <c r="AA68" s="101">
        <f t="shared" ref="AA68:AA81" si="59">ROUND(Z68,2)</f>
        <v>1598.55</v>
      </c>
      <c r="AB68" s="101">
        <v>0</v>
      </c>
      <c r="AC68" s="101">
        <f t="shared" ref="AC68:AC81" si="60">ROUND(AB68,2)</f>
        <v>0</v>
      </c>
      <c r="AD68" s="88">
        <v>0</v>
      </c>
      <c r="AE68" s="88">
        <f t="shared" ref="AE68:AE81" si="61">ROUND(AD68,2)</f>
        <v>0</v>
      </c>
      <c r="AF68" s="88">
        <v>0</v>
      </c>
      <c r="AG68" s="88">
        <f t="shared" ref="AG68:AG81" si="62">ROUND(AF68,2)</f>
        <v>0</v>
      </c>
      <c r="AH68" s="88">
        <v>560.65</v>
      </c>
      <c r="AI68" s="88">
        <f t="shared" ref="AI68:AI81" si="63">ROUND(AH68,2)</f>
        <v>560.65</v>
      </c>
      <c r="AJ68" s="88">
        <v>0</v>
      </c>
      <c r="AK68" s="88">
        <f t="shared" ref="AK68:AK81" si="64">ROUND(AJ68,2)</f>
        <v>0</v>
      </c>
      <c r="AL68" s="88">
        <f>+(O68*4)*$BH$32+FIXED(0.5)</f>
        <v>33</v>
      </c>
      <c r="AM68" s="101">
        <f t="shared" ref="AM68:AM81" si="65">ROUND(AL68,2)</f>
        <v>33</v>
      </c>
      <c r="AN68" s="88">
        <f t="shared" ref="AN68:AN76" si="66">+(($BI$32*O68)*52)/12</f>
        <v>18.958333333333332</v>
      </c>
      <c r="AO68" s="88">
        <f t="shared" ref="AO68:AO81" si="67">ROUND(AN68,2)</f>
        <v>18.96</v>
      </c>
      <c r="AP68" s="88">
        <f t="shared" ref="AP68:AP76" si="68">T68*0.04*12</f>
        <v>885.35040000000004</v>
      </c>
      <c r="AQ68" s="88">
        <f t="shared" ref="AQ68:AQ81" si="69">ROUND(AP68,2)</f>
        <v>885.35</v>
      </c>
      <c r="AR68" s="88">
        <f t="shared" ref="AR68:AS75" si="70">+(T68+V68+AD68+AF68+AH68+AJ68+AL68+AN68)*6+X68+Z68+AB68+AP68</f>
        <v>17386.28466666667</v>
      </c>
      <c r="AS68" s="88">
        <f t="shared" si="70"/>
        <v>17386.29</v>
      </c>
      <c r="AT68" s="2"/>
      <c r="AU68" s="68"/>
      <c r="AV68" s="68"/>
      <c r="AW68" s="68"/>
      <c r="BF68" s="88">
        <v>0</v>
      </c>
    </row>
    <row r="69" spans="2:62" s="28" customFormat="1" ht="13.5" customHeight="1" x14ac:dyDescent="0.2">
      <c r="B69" s="104">
        <f>+B68+1</f>
        <v>52</v>
      </c>
      <c r="C69" s="98">
        <v>13</v>
      </c>
      <c r="D69" s="98">
        <v>56</v>
      </c>
      <c r="E69" s="98">
        <v>266</v>
      </c>
      <c r="F69" s="98">
        <v>795</v>
      </c>
      <c r="G69" s="97" t="s">
        <v>44</v>
      </c>
      <c r="H69" s="92" t="s">
        <v>43</v>
      </c>
      <c r="I69" s="92" t="s">
        <v>42</v>
      </c>
      <c r="J69" s="96" t="s">
        <v>14</v>
      </c>
      <c r="K69" s="95"/>
      <c r="L69" s="95"/>
      <c r="M69" s="95"/>
      <c r="N69" s="94"/>
      <c r="O69" s="94">
        <v>4</v>
      </c>
      <c r="P69" s="94" t="s">
        <v>7</v>
      </c>
      <c r="Q69" s="92" t="s">
        <v>11</v>
      </c>
      <c r="R69" s="93">
        <v>1</v>
      </c>
      <c r="S69" s="92" t="s">
        <v>5</v>
      </c>
      <c r="T69" s="101">
        <f>+(O69*4)*230.56</f>
        <v>3688.96</v>
      </c>
      <c r="U69" s="101">
        <f t="shared" si="54"/>
        <v>3688.96</v>
      </c>
      <c r="V69" s="102">
        <v>0</v>
      </c>
      <c r="W69" s="102">
        <f t="shared" si="55"/>
        <v>0</v>
      </c>
      <c r="X69" s="101">
        <f t="shared" si="56"/>
        <v>319.70986666666664</v>
      </c>
      <c r="Y69" s="101">
        <f t="shared" si="57"/>
        <v>319.70999999999998</v>
      </c>
      <c r="Z69" s="101">
        <f t="shared" si="58"/>
        <v>3197.0986666666663</v>
      </c>
      <c r="AA69" s="101">
        <f t="shared" si="59"/>
        <v>3197.1</v>
      </c>
      <c r="AB69" s="101">
        <v>0</v>
      </c>
      <c r="AC69" s="101">
        <f t="shared" si="60"/>
        <v>0</v>
      </c>
      <c r="AD69" s="88">
        <v>0</v>
      </c>
      <c r="AE69" s="88">
        <f t="shared" si="61"/>
        <v>0</v>
      </c>
      <c r="AF69" s="88">
        <v>0</v>
      </c>
      <c r="AG69" s="88">
        <f t="shared" si="62"/>
        <v>0</v>
      </c>
      <c r="AH69" s="88">
        <v>570.23</v>
      </c>
      <c r="AI69" s="88">
        <f t="shared" si="63"/>
        <v>570.23</v>
      </c>
      <c r="AJ69" s="88">
        <v>0</v>
      </c>
      <c r="AK69" s="88">
        <f t="shared" si="64"/>
        <v>0</v>
      </c>
      <c r="AL69" s="88">
        <f>+(O69*4)*$BH$32</f>
        <v>65</v>
      </c>
      <c r="AM69" s="101">
        <f t="shared" si="65"/>
        <v>65</v>
      </c>
      <c r="AN69" s="89">
        <f t="shared" si="66"/>
        <v>37.916666666666664</v>
      </c>
      <c r="AO69" s="88">
        <f t="shared" si="67"/>
        <v>37.92</v>
      </c>
      <c r="AP69" s="88">
        <f t="shared" si="68"/>
        <v>1770.7008000000001</v>
      </c>
      <c r="AQ69" s="88">
        <f t="shared" si="69"/>
        <v>1770.7</v>
      </c>
      <c r="AR69" s="88">
        <f t="shared" si="70"/>
        <v>31460.149333333338</v>
      </c>
      <c r="AS69" s="88">
        <f t="shared" si="70"/>
        <v>31460.170000000002</v>
      </c>
      <c r="AT69" s="2"/>
      <c r="AU69" s="68"/>
      <c r="AV69" s="68"/>
      <c r="AW69" s="68"/>
      <c r="BF69" s="117">
        <v>0</v>
      </c>
    </row>
    <row r="70" spans="2:62" s="38" customFormat="1" ht="23.1" customHeight="1" thickBot="1" x14ac:dyDescent="0.25">
      <c r="B70" s="124">
        <f>+B69+1</f>
        <v>53</v>
      </c>
      <c r="C70" s="98">
        <v>13</v>
      </c>
      <c r="D70" s="98">
        <v>56</v>
      </c>
      <c r="E70" s="98">
        <v>266</v>
      </c>
      <c r="F70" s="98">
        <v>795</v>
      </c>
      <c r="G70" s="123" t="s">
        <v>41</v>
      </c>
      <c r="H70" s="92" t="s">
        <v>40</v>
      </c>
      <c r="I70" s="92" t="s">
        <v>39</v>
      </c>
      <c r="J70" s="96" t="s">
        <v>14</v>
      </c>
      <c r="K70" s="109"/>
      <c r="L70" s="109"/>
      <c r="M70" s="109"/>
      <c r="N70" s="94"/>
      <c r="O70" s="94">
        <v>6</v>
      </c>
      <c r="P70" s="94" t="s">
        <v>7</v>
      </c>
      <c r="Q70" s="92" t="s">
        <v>29</v>
      </c>
      <c r="R70" s="94">
        <v>1</v>
      </c>
      <c r="S70" s="92" t="s">
        <v>5</v>
      </c>
      <c r="T70" s="103">
        <f>+(O70*4)*211.55</f>
        <v>5077.2000000000007</v>
      </c>
      <c r="U70" s="192">
        <f t="shared" si="54"/>
        <v>5077.2</v>
      </c>
      <c r="V70" s="193">
        <v>0</v>
      </c>
      <c r="W70" s="193">
        <f t="shared" si="55"/>
        <v>0</v>
      </c>
      <c r="X70" s="192">
        <f t="shared" si="56"/>
        <v>440.024</v>
      </c>
      <c r="Y70" s="192">
        <f t="shared" si="57"/>
        <v>440.02</v>
      </c>
      <c r="Z70" s="192">
        <f t="shared" si="58"/>
        <v>4400.24</v>
      </c>
      <c r="AA70" s="192">
        <f t="shared" si="59"/>
        <v>4400.24</v>
      </c>
      <c r="AB70" s="192">
        <v>0</v>
      </c>
      <c r="AC70" s="192">
        <f t="shared" si="60"/>
        <v>0</v>
      </c>
      <c r="AD70" s="194">
        <v>0</v>
      </c>
      <c r="AE70" s="194">
        <f t="shared" si="61"/>
        <v>0</v>
      </c>
      <c r="AF70" s="194">
        <v>0</v>
      </c>
      <c r="AG70" s="194">
        <f t="shared" si="62"/>
        <v>0</v>
      </c>
      <c r="AH70" s="194">
        <v>585.54</v>
      </c>
      <c r="AI70" s="194">
        <f t="shared" si="63"/>
        <v>585.54</v>
      </c>
      <c r="AJ70" s="194">
        <v>0</v>
      </c>
      <c r="AK70" s="194">
        <f t="shared" si="64"/>
        <v>0</v>
      </c>
      <c r="AL70" s="194">
        <f t="shared" ref="AL70:AL76" si="71">+(O70*4)*$BH$32+FIXED(0.5)</f>
        <v>98</v>
      </c>
      <c r="AM70" s="192">
        <f t="shared" si="65"/>
        <v>98</v>
      </c>
      <c r="AN70" s="195">
        <f t="shared" si="66"/>
        <v>56.875</v>
      </c>
      <c r="AO70" s="194">
        <f t="shared" si="67"/>
        <v>56.88</v>
      </c>
      <c r="AP70" s="194">
        <f t="shared" si="68"/>
        <v>2437.0560000000005</v>
      </c>
      <c r="AQ70" s="194">
        <f t="shared" si="69"/>
        <v>2437.06</v>
      </c>
      <c r="AR70" s="194">
        <f t="shared" si="70"/>
        <v>42183.009999999995</v>
      </c>
      <c r="AS70" s="194">
        <f t="shared" si="70"/>
        <v>42183.039999999994</v>
      </c>
      <c r="AT70" s="2"/>
      <c r="AU70" s="105"/>
      <c r="AV70" s="105"/>
      <c r="AW70" s="105"/>
      <c r="BF70" s="90">
        <v>0</v>
      </c>
    </row>
    <row r="71" spans="2:62" ht="29.25" customHeight="1" x14ac:dyDescent="0.2">
      <c r="B71" s="228">
        <f>+B70+1</f>
        <v>54</v>
      </c>
      <c r="C71" s="98">
        <v>13</v>
      </c>
      <c r="D71" s="98">
        <v>56</v>
      </c>
      <c r="E71" s="98">
        <v>266</v>
      </c>
      <c r="F71" s="98">
        <v>795</v>
      </c>
      <c r="G71" s="226" t="s">
        <v>38</v>
      </c>
      <c r="H71" s="119" t="s">
        <v>37</v>
      </c>
      <c r="I71" s="119" t="s">
        <v>36</v>
      </c>
      <c r="J71" s="122" t="s">
        <v>8</v>
      </c>
      <c r="K71" s="121"/>
      <c r="L71" s="121"/>
      <c r="M71" s="121"/>
      <c r="N71" s="120"/>
      <c r="O71" s="120">
        <v>2</v>
      </c>
      <c r="P71" s="120" t="s">
        <v>7</v>
      </c>
      <c r="Q71" s="119" t="s">
        <v>11</v>
      </c>
      <c r="R71" s="120">
        <v>1</v>
      </c>
      <c r="S71" s="119" t="s">
        <v>5</v>
      </c>
      <c r="T71" s="118">
        <f>+(O71*4)*230.56</f>
        <v>1844.48</v>
      </c>
      <c r="U71" s="118">
        <f t="shared" si="54"/>
        <v>1844.48</v>
      </c>
      <c r="V71" s="196">
        <v>0</v>
      </c>
      <c r="W71" s="196">
        <f t="shared" si="55"/>
        <v>0</v>
      </c>
      <c r="X71" s="118">
        <f t="shared" si="56"/>
        <v>159.85493333333332</v>
      </c>
      <c r="Y71" s="118">
        <f t="shared" si="57"/>
        <v>159.85</v>
      </c>
      <c r="Z71" s="118">
        <f t="shared" si="58"/>
        <v>1598.5493333333332</v>
      </c>
      <c r="AA71" s="118">
        <f t="shared" si="59"/>
        <v>1598.55</v>
      </c>
      <c r="AB71" s="118">
        <v>0</v>
      </c>
      <c r="AC71" s="118">
        <f t="shared" si="60"/>
        <v>0</v>
      </c>
      <c r="AD71" s="117">
        <v>0</v>
      </c>
      <c r="AE71" s="117">
        <f t="shared" si="61"/>
        <v>0</v>
      </c>
      <c r="AF71" s="117">
        <v>0</v>
      </c>
      <c r="AG71" s="117">
        <f t="shared" si="62"/>
        <v>0</v>
      </c>
      <c r="AH71" s="117">
        <v>560.65</v>
      </c>
      <c r="AI71" s="117">
        <f t="shared" si="63"/>
        <v>560.65</v>
      </c>
      <c r="AJ71" s="117">
        <v>0</v>
      </c>
      <c r="AK71" s="117">
        <f t="shared" si="64"/>
        <v>0</v>
      </c>
      <c r="AL71" s="117">
        <f t="shared" si="71"/>
        <v>33</v>
      </c>
      <c r="AM71" s="118">
        <f t="shared" si="65"/>
        <v>33</v>
      </c>
      <c r="AN71" s="117">
        <f t="shared" si="66"/>
        <v>18.958333333333332</v>
      </c>
      <c r="AO71" s="117">
        <f t="shared" si="67"/>
        <v>18.96</v>
      </c>
      <c r="AP71" s="117">
        <f t="shared" si="68"/>
        <v>885.35040000000004</v>
      </c>
      <c r="AQ71" s="117">
        <f t="shared" si="69"/>
        <v>885.35</v>
      </c>
      <c r="AR71" s="117">
        <f t="shared" si="70"/>
        <v>17386.28466666667</v>
      </c>
      <c r="AS71" s="197">
        <f t="shared" si="70"/>
        <v>17386.29</v>
      </c>
      <c r="AU71" s="68"/>
      <c r="AV71" s="68"/>
      <c r="AW71" s="68"/>
      <c r="AX71" s="28"/>
      <c r="AY71" s="28"/>
      <c r="AZ71" s="28"/>
      <c r="BA71" s="28"/>
      <c r="BB71" s="28"/>
      <c r="BC71" s="28"/>
      <c r="BD71" s="28"/>
      <c r="BE71" s="28"/>
      <c r="BF71" s="89">
        <v>0</v>
      </c>
      <c r="BG71" s="28"/>
      <c r="BH71" s="28"/>
      <c r="BI71" s="28"/>
      <c r="BJ71" s="28"/>
    </row>
    <row r="72" spans="2:62" ht="14.25" customHeight="1" thickBot="1" x14ac:dyDescent="0.25">
      <c r="B72" s="229"/>
      <c r="C72" s="98">
        <v>13</v>
      </c>
      <c r="D72" s="98">
        <v>56</v>
      </c>
      <c r="E72" s="98">
        <v>266</v>
      </c>
      <c r="F72" s="98">
        <v>795</v>
      </c>
      <c r="G72" s="227"/>
      <c r="H72" s="112" t="s">
        <v>35</v>
      </c>
      <c r="I72" s="112" t="s">
        <v>34</v>
      </c>
      <c r="J72" s="116" t="s">
        <v>33</v>
      </c>
      <c r="K72" s="115"/>
      <c r="L72" s="115"/>
      <c r="M72" s="115"/>
      <c r="N72" s="114"/>
      <c r="O72" s="114">
        <v>2</v>
      </c>
      <c r="P72" s="114" t="s">
        <v>7</v>
      </c>
      <c r="Q72" s="112" t="s">
        <v>11</v>
      </c>
      <c r="R72" s="113">
        <v>1</v>
      </c>
      <c r="S72" s="112" t="s">
        <v>5</v>
      </c>
      <c r="T72" s="111">
        <f>+(O72*4)*230.56</f>
        <v>1844.48</v>
      </c>
      <c r="U72" s="111">
        <f t="shared" si="54"/>
        <v>1844.48</v>
      </c>
      <c r="V72" s="198">
        <v>0</v>
      </c>
      <c r="W72" s="198">
        <f t="shared" si="55"/>
        <v>0</v>
      </c>
      <c r="X72" s="111">
        <f t="shared" si="56"/>
        <v>159.85493333333332</v>
      </c>
      <c r="Y72" s="111">
        <f t="shared" si="57"/>
        <v>159.85</v>
      </c>
      <c r="Z72" s="111">
        <f t="shared" si="58"/>
        <v>1598.5493333333332</v>
      </c>
      <c r="AA72" s="111">
        <f t="shared" si="59"/>
        <v>1598.55</v>
      </c>
      <c r="AB72" s="111">
        <v>0</v>
      </c>
      <c r="AC72" s="111">
        <f t="shared" si="60"/>
        <v>0</v>
      </c>
      <c r="AD72" s="110">
        <v>0</v>
      </c>
      <c r="AE72" s="110">
        <f t="shared" si="61"/>
        <v>0</v>
      </c>
      <c r="AF72" s="110">
        <v>0</v>
      </c>
      <c r="AG72" s="110">
        <f t="shared" si="62"/>
        <v>0</v>
      </c>
      <c r="AH72" s="110">
        <v>560.65</v>
      </c>
      <c r="AI72" s="110">
        <f t="shared" si="63"/>
        <v>560.65</v>
      </c>
      <c r="AJ72" s="110">
        <v>0</v>
      </c>
      <c r="AK72" s="110">
        <f t="shared" si="64"/>
        <v>0</v>
      </c>
      <c r="AL72" s="110">
        <f t="shared" si="71"/>
        <v>33</v>
      </c>
      <c r="AM72" s="111">
        <f t="shared" si="65"/>
        <v>33</v>
      </c>
      <c r="AN72" s="199">
        <f t="shared" si="66"/>
        <v>18.958333333333332</v>
      </c>
      <c r="AO72" s="110">
        <f t="shared" si="67"/>
        <v>18.96</v>
      </c>
      <c r="AP72" s="110">
        <f t="shared" si="68"/>
        <v>885.35040000000004</v>
      </c>
      <c r="AQ72" s="110">
        <f t="shared" si="69"/>
        <v>885.35</v>
      </c>
      <c r="AR72" s="110">
        <f t="shared" si="70"/>
        <v>17386.28466666667</v>
      </c>
      <c r="AS72" s="200">
        <f t="shared" si="70"/>
        <v>17386.29</v>
      </c>
      <c r="AU72" s="68"/>
      <c r="AV72" s="68"/>
      <c r="AW72" s="68"/>
      <c r="AX72" s="28"/>
      <c r="AY72" s="28"/>
      <c r="AZ72" s="28"/>
      <c r="BA72" s="28"/>
      <c r="BB72" s="28"/>
      <c r="BC72" s="28"/>
      <c r="BD72" s="28"/>
      <c r="BE72" s="28"/>
      <c r="BF72" s="88">
        <v>0</v>
      </c>
      <c r="BG72" s="28"/>
      <c r="BH72" s="28"/>
      <c r="BI72" s="28"/>
      <c r="BJ72" s="28"/>
    </row>
    <row r="73" spans="2:62" s="38" customFormat="1" ht="14.25" customHeight="1" x14ac:dyDescent="0.2">
      <c r="B73" s="97">
        <f>+B71+1</f>
        <v>55</v>
      </c>
      <c r="C73" s="98">
        <v>13</v>
      </c>
      <c r="D73" s="98">
        <v>56</v>
      </c>
      <c r="E73" s="98">
        <v>266</v>
      </c>
      <c r="F73" s="98">
        <v>795</v>
      </c>
      <c r="G73" s="97" t="s">
        <v>32</v>
      </c>
      <c r="H73" s="92" t="s">
        <v>31</v>
      </c>
      <c r="I73" s="92" t="s">
        <v>30</v>
      </c>
      <c r="J73" s="96" t="s">
        <v>14</v>
      </c>
      <c r="K73" s="109"/>
      <c r="L73" s="109"/>
      <c r="M73" s="109"/>
      <c r="N73" s="94"/>
      <c r="O73" s="94">
        <v>6</v>
      </c>
      <c r="P73" s="94" t="s">
        <v>7</v>
      </c>
      <c r="Q73" s="92" t="s">
        <v>29</v>
      </c>
      <c r="R73" s="93">
        <v>1</v>
      </c>
      <c r="S73" s="92" t="s">
        <v>5</v>
      </c>
      <c r="T73" s="108">
        <f>+(O73*4)*211.55</f>
        <v>5077.2000000000007</v>
      </c>
      <c r="U73" s="91">
        <f t="shared" si="54"/>
        <v>5077.2</v>
      </c>
      <c r="V73" s="201">
        <v>0</v>
      </c>
      <c r="W73" s="201">
        <f t="shared" si="55"/>
        <v>0</v>
      </c>
      <c r="X73" s="91">
        <f t="shared" si="56"/>
        <v>440.024</v>
      </c>
      <c r="Y73" s="91">
        <f t="shared" si="57"/>
        <v>440.02</v>
      </c>
      <c r="Z73" s="91">
        <f t="shared" si="58"/>
        <v>4400.24</v>
      </c>
      <c r="AA73" s="91">
        <f t="shared" si="59"/>
        <v>4400.24</v>
      </c>
      <c r="AB73" s="91">
        <v>0</v>
      </c>
      <c r="AC73" s="91">
        <f t="shared" si="60"/>
        <v>0</v>
      </c>
      <c r="AD73" s="89">
        <v>0</v>
      </c>
      <c r="AE73" s="89">
        <f t="shared" si="61"/>
        <v>0</v>
      </c>
      <c r="AF73" s="89">
        <v>0</v>
      </c>
      <c r="AG73" s="89">
        <f t="shared" si="62"/>
        <v>0</v>
      </c>
      <c r="AH73" s="89">
        <v>585.54</v>
      </c>
      <c r="AI73" s="89">
        <f t="shared" si="63"/>
        <v>585.54</v>
      </c>
      <c r="AJ73" s="89">
        <v>0</v>
      </c>
      <c r="AK73" s="89">
        <f t="shared" si="64"/>
        <v>0</v>
      </c>
      <c r="AL73" s="89">
        <f t="shared" si="71"/>
        <v>98</v>
      </c>
      <c r="AM73" s="91">
        <f t="shared" si="65"/>
        <v>98</v>
      </c>
      <c r="AN73" s="89">
        <f t="shared" si="66"/>
        <v>56.875</v>
      </c>
      <c r="AO73" s="89">
        <f t="shared" si="67"/>
        <v>56.88</v>
      </c>
      <c r="AP73" s="89">
        <f t="shared" si="68"/>
        <v>2437.0560000000005</v>
      </c>
      <c r="AQ73" s="89">
        <f t="shared" si="69"/>
        <v>2437.06</v>
      </c>
      <c r="AR73" s="89">
        <f t="shared" si="70"/>
        <v>42183.009999999995</v>
      </c>
      <c r="AS73" s="89">
        <f t="shared" si="70"/>
        <v>42183.039999999994</v>
      </c>
      <c r="AT73" s="2"/>
      <c r="AU73" s="107"/>
      <c r="AV73" s="105"/>
      <c r="AW73" s="105"/>
      <c r="BF73" s="100">
        <v>0</v>
      </c>
    </row>
    <row r="74" spans="2:62" s="38" customFormat="1" ht="14.25" customHeight="1" x14ac:dyDescent="0.2">
      <c r="B74" s="104">
        <f t="shared" ref="B74:B81" si="72">+B73+1</f>
        <v>56</v>
      </c>
      <c r="C74" s="98">
        <v>13</v>
      </c>
      <c r="D74" s="98">
        <v>56</v>
      </c>
      <c r="E74" s="98">
        <v>266</v>
      </c>
      <c r="F74" s="98">
        <v>795</v>
      </c>
      <c r="G74" s="97" t="s">
        <v>28</v>
      </c>
      <c r="H74" s="106" t="s">
        <v>27</v>
      </c>
      <c r="I74" s="92" t="s">
        <v>26</v>
      </c>
      <c r="J74" s="96" t="s">
        <v>14</v>
      </c>
      <c r="K74" s="95"/>
      <c r="L74" s="95"/>
      <c r="M74" s="95"/>
      <c r="N74" s="94"/>
      <c r="O74" s="94">
        <v>2</v>
      </c>
      <c r="P74" s="94" t="s">
        <v>7</v>
      </c>
      <c r="Q74" s="92" t="s">
        <v>11</v>
      </c>
      <c r="R74" s="93">
        <v>1</v>
      </c>
      <c r="S74" s="92" t="s">
        <v>5</v>
      </c>
      <c r="T74" s="103">
        <f>+(O74*4)*230.56</f>
        <v>1844.48</v>
      </c>
      <c r="U74" s="101">
        <f t="shared" si="54"/>
        <v>1844.48</v>
      </c>
      <c r="V74" s="102">
        <v>0</v>
      </c>
      <c r="W74" s="102">
        <f t="shared" si="55"/>
        <v>0</v>
      </c>
      <c r="X74" s="101">
        <f t="shared" si="56"/>
        <v>159.85493333333332</v>
      </c>
      <c r="Y74" s="101">
        <f t="shared" si="57"/>
        <v>159.85</v>
      </c>
      <c r="Z74" s="101">
        <f t="shared" si="58"/>
        <v>1598.5493333333332</v>
      </c>
      <c r="AA74" s="101">
        <f t="shared" si="59"/>
        <v>1598.55</v>
      </c>
      <c r="AB74" s="101">
        <v>0</v>
      </c>
      <c r="AC74" s="101">
        <f t="shared" si="60"/>
        <v>0</v>
      </c>
      <c r="AD74" s="88">
        <v>0</v>
      </c>
      <c r="AE74" s="88">
        <f t="shared" si="61"/>
        <v>0</v>
      </c>
      <c r="AF74" s="88">
        <v>0</v>
      </c>
      <c r="AG74" s="88">
        <f t="shared" si="62"/>
        <v>0</v>
      </c>
      <c r="AH74" s="88">
        <v>560.65</v>
      </c>
      <c r="AI74" s="88">
        <f t="shared" si="63"/>
        <v>560.65</v>
      </c>
      <c r="AJ74" s="88">
        <v>0</v>
      </c>
      <c r="AK74" s="88">
        <f t="shared" si="64"/>
        <v>0</v>
      </c>
      <c r="AL74" s="88">
        <f t="shared" si="71"/>
        <v>33</v>
      </c>
      <c r="AM74" s="101">
        <f t="shared" si="65"/>
        <v>33</v>
      </c>
      <c r="AN74" s="89">
        <f t="shared" si="66"/>
        <v>18.958333333333332</v>
      </c>
      <c r="AO74" s="88">
        <f t="shared" si="67"/>
        <v>18.96</v>
      </c>
      <c r="AP74" s="88">
        <f t="shared" si="68"/>
        <v>885.35040000000004</v>
      </c>
      <c r="AQ74" s="88">
        <f t="shared" si="69"/>
        <v>885.35</v>
      </c>
      <c r="AR74" s="88">
        <f t="shared" si="70"/>
        <v>17386.28466666667</v>
      </c>
      <c r="AS74" s="88">
        <f t="shared" si="70"/>
        <v>17386.29</v>
      </c>
      <c r="AT74" s="2"/>
      <c r="AU74" s="29"/>
      <c r="AV74" s="105"/>
      <c r="AW74" s="105"/>
      <c r="BF74" s="100">
        <v>0</v>
      </c>
    </row>
    <row r="75" spans="2:62" ht="14.25" customHeight="1" x14ac:dyDescent="0.2">
      <c r="B75" s="104">
        <f t="shared" si="72"/>
        <v>57</v>
      </c>
      <c r="C75" s="98">
        <v>13</v>
      </c>
      <c r="D75" s="98">
        <v>56</v>
      </c>
      <c r="E75" s="98">
        <v>266</v>
      </c>
      <c r="F75" s="98">
        <v>795</v>
      </c>
      <c r="G75" s="97" t="s">
        <v>25</v>
      </c>
      <c r="H75" s="92" t="s">
        <v>24</v>
      </c>
      <c r="I75" s="92" t="s">
        <v>23</v>
      </c>
      <c r="J75" s="96" t="s">
        <v>8</v>
      </c>
      <c r="K75" s="95"/>
      <c r="L75" s="95"/>
      <c r="M75" s="95"/>
      <c r="N75" s="94"/>
      <c r="O75" s="94">
        <v>2</v>
      </c>
      <c r="P75" s="94" t="s">
        <v>7</v>
      </c>
      <c r="Q75" s="92" t="s">
        <v>6</v>
      </c>
      <c r="R75" s="94">
        <v>1</v>
      </c>
      <c r="S75" s="92" t="s">
        <v>5</v>
      </c>
      <c r="T75" s="103">
        <f>+(O75*4)*236.91</f>
        <v>1895.28</v>
      </c>
      <c r="U75" s="101">
        <f t="shared" si="54"/>
        <v>1895.28</v>
      </c>
      <c r="V75" s="102">
        <v>0</v>
      </c>
      <c r="W75" s="102">
        <f t="shared" si="55"/>
        <v>0</v>
      </c>
      <c r="X75" s="101">
        <f t="shared" si="56"/>
        <v>164.2576</v>
      </c>
      <c r="Y75" s="101">
        <f t="shared" si="57"/>
        <v>164.26</v>
      </c>
      <c r="Z75" s="101">
        <f t="shared" si="58"/>
        <v>1642.576</v>
      </c>
      <c r="AA75" s="101">
        <f t="shared" si="59"/>
        <v>1642.58</v>
      </c>
      <c r="AB75" s="101">
        <v>0</v>
      </c>
      <c r="AC75" s="101">
        <f t="shared" si="60"/>
        <v>0</v>
      </c>
      <c r="AD75" s="88">
        <v>0</v>
      </c>
      <c r="AE75" s="88">
        <f t="shared" si="61"/>
        <v>0</v>
      </c>
      <c r="AF75" s="88">
        <v>0</v>
      </c>
      <c r="AG75" s="88">
        <f t="shared" si="62"/>
        <v>0</v>
      </c>
      <c r="AH75" s="88">
        <v>560.65</v>
      </c>
      <c r="AI75" s="88">
        <f t="shared" si="63"/>
        <v>560.65</v>
      </c>
      <c r="AJ75" s="88">
        <v>0</v>
      </c>
      <c r="AK75" s="88">
        <f t="shared" si="64"/>
        <v>0</v>
      </c>
      <c r="AL75" s="88">
        <f t="shared" si="71"/>
        <v>33</v>
      </c>
      <c r="AM75" s="101">
        <f t="shared" si="65"/>
        <v>33</v>
      </c>
      <c r="AN75" s="89">
        <f t="shared" si="66"/>
        <v>18.958333333333332</v>
      </c>
      <c r="AO75" s="88">
        <f t="shared" si="67"/>
        <v>18.96</v>
      </c>
      <c r="AP75" s="88">
        <f t="shared" si="68"/>
        <v>909.73440000000005</v>
      </c>
      <c r="AQ75" s="88">
        <f t="shared" si="69"/>
        <v>909.73</v>
      </c>
      <c r="AR75" s="88">
        <f t="shared" si="70"/>
        <v>17763.898000000001</v>
      </c>
      <c r="AS75" s="88">
        <f t="shared" si="70"/>
        <v>17763.91</v>
      </c>
      <c r="AU75" s="29"/>
      <c r="AV75" s="68"/>
      <c r="AW75" s="68"/>
      <c r="AX75" s="28"/>
      <c r="AY75" s="28"/>
      <c r="AZ75" s="28"/>
      <c r="BA75" s="28"/>
      <c r="BB75" s="28"/>
      <c r="BC75" s="28"/>
      <c r="BD75" s="28"/>
      <c r="BE75" s="28"/>
      <c r="BF75" s="99">
        <v>0</v>
      </c>
      <c r="BG75" s="28"/>
      <c r="BH75" s="28"/>
      <c r="BI75" s="28"/>
      <c r="BJ75" s="28"/>
    </row>
    <row r="76" spans="2:62" ht="14.25" customHeight="1" x14ac:dyDescent="0.2">
      <c r="B76" s="98">
        <f t="shared" si="72"/>
        <v>58</v>
      </c>
      <c r="C76" s="98">
        <v>13</v>
      </c>
      <c r="D76" s="98">
        <v>56</v>
      </c>
      <c r="E76" s="98">
        <v>266</v>
      </c>
      <c r="F76" s="98">
        <v>795</v>
      </c>
      <c r="G76" s="97" t="s">
        <v>22</v>
      </c>
      <c r="H76" s="92" t="s">
        <v>21</v>
      </c>
      <c r="I76" s="92" t="s">
        <v>20</v>
      </c>
      <c r="J76" s="96" t="s">
        <v>18</v>
      </c>
      <c r="K76" s="95"/>
      <c r="L76" s="95"/>
      <c r="M76" s="95"/>
      <c r="N76" s="94"/>
      <c r="O76" s="94">
        <v>6</v>
      </c>
      <c r="P76" s="94" t="s">
        <v>7</v>
      </c>
      <c r="Q76" s="92" t="s">
        <v>6</v>
      </c>
      <c r="R76" s="93">
        <v>1</v>
      </c>
      <c r="S76" s="92" t="s">
        <v>5</v>
      </c>
      <c r="T76" s="91">
        <f>+(O76*4)*236.91</f>
        <v>5685.84</v>
      </c>
      <c r="U76" s="91">
        <f t="shared" si="54"/>
        <v>5685.84</v>
      </c>
      <c r="V76" s="201">
        <v>0</v>
      </c>
      <c r="W76" s="201">
        <f t="shared" si="55"/>
        <v>0</v>
      </c>
      <c r="X76" s="91">
        <f t="shared" ref="X76:X81" si="73">+((T76+AP76/12)/30)*20*25%</f>
        <v>985.54560000000015</v>
      </c>
      <c r="Y76" s="91">
        <f t="shared" si="57"/>
        <v>985.55</v>
      </c>
      <c r="Z76" s="91">
        <f t="shared" ref="Z76:Z81" si="74">(T76+(AP76/12))/30*50</f>
        <v>9855.4560000000001</v>
      </c>
      <c r="AA76" s="91">
        <f t="shared" si="59"/>
        <v>9855.4599999999991</v>
      </c>
      <c r="AB76" s="91">
        <v>0</v>
      </c>
      <c r="AC76" s="91">
        <f t="shared" si="60"/>
        <v>0</v>
      </c>
      <c r="AD76" s="89">
        <v>0</v>
      </c>
      <c r="AE76" s="89">
        <f t="shared" si="61"/>
        <v>0</v>
      </c>
      <c r="AF76" s="89">
        <v>0</v>
      </c>
      <c r="AG76" s="89">
        <f t="shared" si="62"/>
        <v>0</v>
      </c>
      <c r="AH76" s="89">
        <v>591.62</v>
      </c>
      <c r="AI76" s="89">
        <f t="shared" si="63"/>
        <v>591.62</v>
      </c>
      <c r="AJ76" s="89">
        <v>0</v>
      </c>
      <c r="AK76" s="89">
        <f t="shared" si="64"/>
        <v>0</v>
      </c>
      <c r="AL76" s="89">
        <f t="shared" si="71"/>
        <v>98</v>
      </c>
      <c r="AM76" s="91">
        <f t="shared" si="65"/>
        <v>98</v>
      </c>
      <c r="AN76" s="89">
        <f t="shared" si="66"/>
        <v>56.875</v>
      </c>
      <c r="AO76" s="89">
        <f t="shared" si="67"/>
        <v>56.88</v>
      </c>
      <c r="AP76" s="89">
        <f t="shared" si="68"/>
        <v>2729.2031999999999</v>
      </c>
      <c r="AQ76" s="89">
        <f t="shared" si="69"/>
        <v>2729.2</v>
      </c>
      <c r="AR76" s="89">
        <f>+(T76+V76+AD76+AF76+AH76+AJ76+AL76+AN76)*12+X76+Z76+AB76+AP76</f>
        <v>90758.224800000011</v>
      </c>
      <c r="AS76" s="89">
        <f>+(U76+W76+AE76+AG76+AI76+AK76+AM76+AO76)*12+Y76+AA76+AC76+AQ76</f>
        <v>90758.29</v>
      </c>
      <c r="AU76" s="29"/>
      <c r="AV76" s="68"/>
      <c r="AW76" s="68"/>
      <c r="AX76" s="28"/>
      <c r="AY76" s="28"/>
      <c r="AZ76" s="28"/>
      <c r="BA76" s="28"/>
      <c r="BB76" s="28"/>
      <c r="BC76" s="28"/>
      <c r="BD76" s="28"/>
      <c r="BE76" s="28"/>
      <c r="BF76" s="88">
        <v>0</v>
      </c>
      <c r="BG76" s="28"/>
      <c r="BH76" s="28"/>
      <c r="BI76" s="28"/>
      <c r="BJ76" s="28"/>
    </row>
    <row r="77" spans="2:62" s="83" customFormat="1" ht="14.25" customHeight="1" x14ac:dyDescent="0.2">
      <c r="B77" s="98">
        <f t="shared" si="72"/>
        <v>59</v>
      </c>
      <c r="C77" s="98">
        <v>13</v>
      </c>
      <c r="D77" s="98">
        <v>56</v>
      </c>
      <c r="E77" s="98">
        <v>266</v>
      </c>
      <c r="F77" s="98">
        <v>795</v>
      </c>
      <c r="G77" s="98" t="s">
        <v>19</v>
      </c>
      <c r="H77" s="147" t="s">
        <v>12</v>
      </c>
      <c r="I77" s="147"/>
      <c r="J77" s="202" t="s">
        <v>18</v>
      </c>
      <c r="K77" s="203"/>
      <c r="L77" s="203"/>
      <c r="M77" s="203"/>
      <c r="N77" s="148"/>
      <c r="O77" s="94">
        <v>4</v>
      </c>
      <c r="P77" s="94" t="s">
        <v>7</v>
      </c>
      <c r="Q77" s="92" t="s">
        <v>11</v>
      </c>
      <c r="R77" s="93">
        <v>1</v>
      </c>
      <c r="S77" s="92" t="s">
        <v>5</v>
      </c>
      <c r="T77" s="91">
        <v>0</v>
      </c>
      <c r="U77" s="91">
        <f t="shared" si="54"/>
        <v>0</v>
      </c>
      <c r="V77" s="201">
        <v>0</v>
      </c>
      <c r="W77" s="201">
        <f t="shared" si="55"/>
        <v>0</v>
      </c>
      <c r="X77" s="91">
        <f t="shared" si="73"/>
        <v>0</v>
      </c>
      <c r="Y77" s="91">
        <f t="shared" si="57"/>
        <v>0</v>
      </c>
      <c r="Z77" s="91">
        <f t="shared" si="74"/>
        <v>0</v>
      </c>
      <c r="AA77" s="91">
        <f t="shared" si="59"/>
        <v>0</v>
      </c>
      <c r="AB77" s="91">
        <v>0</v>
      </c>
      <c r="AC77" s="91">
        <f t="shared" si="60"/>
        <v>0</v>
      </c>
      <c r="AD77" s="89">
        <v>0</v>
      </c>
      <c r="AE77" s="89">
        <f t="shared" si="61"/>
        <v>0</v>
      </c>
      <c r="AF77" s="89">
        <v>0</v>
      </c>
      <c r="AG77" s="89">
        <f t="shared" si="62"/>
        <v>0</v>
      </c>
      <c r="AH77" s="89"/>
      <c r="AI77" s="89">
        <f t="shared" si="63"/>
        <v>0</v>
      </c>
      <c r="AJ77" s="89">
        <v>0</v>
      </c>
      <c r="AK77" s="89">
        <f t="shared" si="64"/>
        <v>0</v>
      </c>
      <c r="AL77" s="89">
        <v>0</v>
      </c>
      <c r="AM77" s="91">
        <f t="shared" si="65"/>
        <v>0</v>
      </c>
      <c r="AN77" s="89">
        <v>0</v>
      </c>
      <c r="AO77" s="89">
        <f t="shared" si="67"/>
        <v>0</v>
      </c>
      <c r="AP77" s="89">
        <f>T77*0.06*12</f>
        <v>0</v>
      </c>
      <c r="AQ77" s="89">
        <f t="shared" si="69"/>
        <v>0</v>
      </c>
      <c r="AR77" s="89">
        <f>+(T77+V77+AD77+AF77+AH77+AJ77+AL77+AN77)*12+X77+Z77+AB77+AP77</f>
        <v>0</v>
      </c>
      <c r="AS77" s="89">
        <f>+(U77+W77+AE77+AG77+AI77+AK77+AM77+AO77)*12+Y77+AA77+AC77+AQ77</f>
        <v>0</v>
      </c>
      <c r="AT77" s="86"/>
      <c r="AU77" s="80"/>
      <c r="AV77" s="85"/>
      <c r="AW77" s="85"/>
      <c r="AX77" s="84"/>
      <c r="AY77" s="84"/>
      <c r="AZ77" s="84"/>
      <c r="BA77" s="84"/>
      <c r="BB77" s="84"/>
      <c r="BC77" s="84"/>
      <c r="BD77" s="84"/>
      <c r="BE77" s="84"/>
      <c r="BF77" s="82">
        <v>0</v>
      </c>
      <c r="BG77" s="84"/>
      <c r="BH77" s="84"/>
      <c r="BI77" s="84"/>
      <c r="BJ77" s="84"/>
    </row>
    <row r="78" spans="2:62" s="83" customFormat="1" ht="14.25" customHeight="1" x14ac:dyDescent="0.2">
      <c r="B78" s="104">
        <f t="shared" si="72"/>
        <v>60</v>
      </c>
      <c r="C78" s="98">
        <v>13</v>
      </c>
      <c r="D78" s="98">
        <v>56</v>
      </c>
      <c r="E78" s="98">
        <v>266</v>
      </c>
      <c r="F78" s="98">
        <v>795</v>
      </c>
      <c r="G78" s="98" t="s">
        <v>17</v>
      </c>
      <c r="H78" s="147" t="s">
        <v>12</v>
      </c>
      <c r="I78" s="147"/>
      <c r="J78" s="202" t="s">
        <v>14</v>
      </c>
      <c r="K78" s="203"/>
      <c r="L78" s="203"/>
      <c r="M78" s="203"/>
      <c r="N78" s="148"/>
      <c r="O78" s="94">
        <v>2</v>
      </c>
      <c r="P78" s="94" t="s">
        <v>7</v>
      </c>
      <c r="Q78" s="92" t="s">
        <v>16</v>
      </c>
      <c r="R78" s="93">
        <v>1</v>
      </c>
      <c r="S78" s="92" t="s">
        <v>5</v>
      </c>
      <c r="T78" s="101">
        <v>0</v>
      </c>
      <c r="U78" s="101">
        <f t="shared" si="54"/>
        <v>0</v>
      </c>
      <c r="V78" s="102">
        <v>0</v>
      </c>
      <c r="W78" s="102">
        <f t="shared" si="55"/>
        <v>0</v>
      </c>
      <c r="X78" s="101">
        <f t="shared" si="73"/>
        <v>0</v>
      </c>
      <c r="Y78" s="101">
        <f t="shared" si="57"/>
        <v>0</v>
      </c>
      <c r="Z78" s="101">
        <f t="shared" si="74"/>
        <v>0</v>
      </c>
      <c r="AA78" s="101">
        <f t="shared" si="59"/>
        <v>0</v>
      </c>
      <c r="AB78" s="101">
        <v>0</v>
      </c>
      <c r="AC78" s="101">
        <f t="shared" si="60"/>
        <v>0</v>
      </c>
      <c r="AD78" s="88">
        <v>0</v>
      </c>
      <c r="AE78" s="88">
        <f t="shared" si="61"/>
        <v>0</v>
      </c>
      <c r="AF78" s="88">
        <v>0</v>
      </c>
      <c r="AG78" s="88">
        <f t="shared" si="62"/>
        <v>0</v>
      </c>
      <c r="AH78" s="88"/>
      <c r="AI78" s="88">
        <f t="shared" si="63"/>
        <v>0</v>
      </c>
      <c r="AJ78" s="88">
        <v>0</v>
      </c>
      <c r="AK78" s="88">
        <f t="shared" si="64"/>
        <v>0</v>
      </c>
      <c r="AL78" s="88">
        <v>0</v>
      </c>
      <c r="AM78" s="88">
        <f t="shared" si="65"/>
        <v>0</v>
      </c>
      <c r="AN78" s="88">
        <v>0</v>
      </c>
      <c r="AO78" s="88">
        <f t="shared" si="67"/>
        <v>0</v>
      </c>
      <c r="AP78" s="88">
        <f>T78*0.06*12</f>
        <v>0</v>
      </c>
      <c r="AQ78" s="88">
        <f t="shared" si="69"/>
        <v>0</v>
      </c>
      <c r="AR78" s="88">
        <f>+(T78+V78+AD78+AF78+AH78+AJ78+AL78+AN78)*6+X78+Z78+AB78+AP78</f>
        <v>0</v>
      </c>
      <c r="AS78" s="88">
        <f>+(U78+W78+AE78+AG78+AI78+AK78+AM78+AO78)*12+Y78+AA78+AC78+AQ78</f>
        <v>0</v>
      </c>
      <c r="AT78" s="81"/>
      <c r="AU78" s="80"/>
      <c r="AV78" s="85"/>
      <c r="AW78" s="85"/>
      <c r="AX78" s="84"/>
      <c r="AY78" s="84"/>
      <c r="AZ78" s="84"/>
      <c r="BA78" s="84"/>
      <c r="BB78" s="84"/>
      <c r="BC78" s="84"/>
      <c r="BD78" s="84"/>
      <c r="BE78" s="84"/>
      <c r="BF78" s="79">
        <v>0</v>
      </c>
      <c r="BG78" s="84"/>
      <c r="BH78" s="84"/>
      <c r="BI78" s="84"/>
      <c r="BJ78" s="84"/>
    </row>
    <row r="79" spans="2:62" s="83" customFormat="1" ht="14.25" customHeight="1" x14ac:dyDescent="0.2">
      <c r="B79" s="104">
        <f t="shared" si="72"/>
        <v>61</v>
      </c>
      <c r="C79" s="98">
        <v>13</v>
      </c>
      <c r="D79" s="98">
        <v>56</v>
      </c>
      <c r="E79" s="98">
        <v>266</v>
      </c>
      <c r="F79" s="98">
        <v>795</v>
      </c>
      <c r="G79" s="98" t="s">
        <v>15</v>
      </c>
      <c r="H79" s="147" t="s">
        <v>12</v>
      </c>
      <c r="I79" s="147"/>
      <c r="J79" s="202" t="s">
        <v>14</v>
      </c>
      <c r="K79" s="203"/>
      <c r="L79" s="203"/>
      <c r="M79" s="203"/>
      <c r="N79" s="148"/>
      <c r="O79" s="94">
        <v>3</v>
      </c>
      <c r="P79" s="94" t="s">
        <v>7</v>
      </c>
      <c r="Q79" s="92" t="s">
        <v>11</v>
      </c>
      <c r="R79" s="93">
        <v>1</v>
      </c>
      <c r="S79" s="92" t="s">
        <v>5</v>
      </c>
      <c r="T79" s="101">
        <v>0</v>
      </c>
      <c r="U79" s="101">
        <f t="shared" si="54"/>
        <v>0</v>
      </c>
      <c r="V79" s="102">
        <v>0</v>
      </c>
      <c r="W79" s="102">
        <f t="shared" si="55"/>
        <v>0</v>
      </c>
      <c r="X79" s="101">
        <f t="shared" si="73"/>
        <v>0</v>
      </c>
      <c r="Y79" s="101">
        <f t="shared" si="57"/>
        <v>0</v>
      </c>
      <c r="Z79" s="101">
        <f t="shared" si="74"/>
        <v>0</v>
      </c>
      <c r="AA79" s="101">
        <f t="shared" si="59"/>
        <v>0</v>
      </c>
      <c r="AB79" s="101">
        <v>0</v>
      </c>
      <c r="AC79" s="101">
        <f t="shared" si="60"/>
        <v>0</v>
      </c>
      <c r="AD79" s="88">
        <v>0</v>
      </c>
      <c r="AE79" s="88">
        <f t="shared" si="61"/>
        <v>0</v>
      </c>
      <c r="AF79" s="88">
        <v>0</v>
      </c>
      <c r="AG79" s="88">
        <f t="shared" si="62"/>
        <v>0</v>
      </c>
      <c r="AH79" s="88"/>
      <c r="AI79" s="88">
        <f t="shared" si="63"/>
        <v>0</v>
      </c>
      <c r="AJ79" s="88">
        <v>0</v>
      </c>
      <c r="AK79" s="88">
        <f t="shared" si="64"/>
        <v>0</v>
      </c>
      <c r="AL79" s="88">
        <v>0</v>
      </c>
      <c r="AM79" s="88">
        <f t="shared" si="65"/>
        <v>0</v>
      </c>
      <c r="AN79" s="88">
        <v>0</v>
      </c>
      <c r="AO79" s="88">
        <f t="shared" si="67"/>
        <v>0</v>
      </c>
      <c r="AP79" s="88">
        <f>T79*0.06*12</f>
        <v>0</v>
      </c>
      <c r="AQ79" s="88">
        <f t="shared" si="69"/>
        <v>0</v>
      </c>
      <c r="AR79" s="88">
        <f>+(T79+V79+AD79+AF79+AH79+AJ79+AL79+AN79)*6+X79+Z79+AB79+AP79</f>
        <v>0</v>
      </c>
      <c r="AS79" s="88">
        <f>+(U79+W79+AE79+AG79+AI79+AK79+AM79+AO79)*12+Y79+AA79+AC79+AQ79</f>
        <v>0</v>
      </c>
      <c r="AT79" s="81"/>
      <c r="AU79" s="80"/>
      <c r="AV79" s="85"/>
      <c r="AW79" s="85"/>
      <c r="AX79" s="84"/>
      <c r="AY79" s="84"/>
      <c r="AZ79" s="84"/>
      <c r="BA79" s="84"/>
      <c r="BB79" s="84"/>
      <c r="BC79" s="84"/>
      <c r="BD79" s="84"/>
      <c r="BE79" s="84"/>
      <c r="BF79" s="79">
        <v>0</v>
      </c>
      <c r="BG79" s="84"/>
      <c r="BH79" s="84"/>
      <c r="BI79" s="84"/>
      <c r="BJ79" s="84"/>
    </row>
    <row r="80" spans="2:62" s="83" customFormat="1" ht="14.25" customHeight="1" x14ac:dyDescent="0.2">
      <c r="B80" s="104">
        <f t="shared" si="72"/>
        <v>62</v>
      </c>
      <c r="C80" s="98">
        <v>13</v>
      </c>
      <c r="D80" s="98">
        <v>56</v>
      </c>
      <c r="E80" s="98">
        <v>266</v>
      </c>
      <c r="F80" s="98">
        <v>795</v>
      </c>
      <c r="G80" s="98" t="s">
        <v>13</v>
      </c>
      <c r="H80" s="147" t="s">
        <v>12</v>
      </c>
      <c r="I80" s="147"/>
      <c r="J80" s="202" t="s">
        <v>8</v>
      </c>
      <c r="K80" s="203"/>
      <c r="L80" s="203"/>
      <c r="M80" s="203"/>
      <c r="N80" s="148"/>
      <c r="O80" s="94">
        <v>4</v>
      </c>
      <c r="P80" s="94" t="s">
        <v>7</v>
      </c>
      <c r="Q80" s="92" t="s">
        <v>11</v>
      </c>
      <c r="R80" s="93">
        <v>1</v>
      </c>
      <c r="S80" s="92" t="s">
        <v>5</v>
      </c>
      <c r="T80" s="101">
        <v>0</v>
      </c>
      <c r="U80" s="101">
        <f t="shared" si="54"/>
        <v>0</v>
      </c>
      <c r="V80" s="102">
        <v>0</v>
      </c>
      <c r="W80" s="102">
        <f t="shared" si="55"/>
        <v>0</v>
      </c>
      <c r="X80" s="101">
        <f t="shared" si="73"/>
        <v>0</v>
      </c>
      <c r="Y80" s="101">
        <f t="shared" si="57"/>
        <v>0</v>
      </c>
      <c r="Z80" s="101">
        <f t="shared" si="74"/>
        <v>0</v>
      </c>
      <c r="AA80" s="101">
        <f t="shared" si="59"/>
        <v>0</v>
      </c>
      <c r="AB80" s="101">
        <v>0</v>
      </c>
      <c r="AC80" s="101">
        <f t="shared" si="60"/>
        <v>0</v>
      </c>
      <c r="AD80" s="88">
        <v>0</v>
      </c>
      <c r="AE80" s="88">
        <f t="shared" si="61"/>
        <v>0</v>
      </c>
      <c r="AF80" s="88">
        <v>0</v>
      </c>
      <c r="AG80" s="88">
        <f t="shared" si="62"/>
        <v>0</v>
      </c>
      <c r="AH80" s="88"/>
      <c r="AI80" s="88">
        <f t="shared" si="63"/>
        <v>0</v>
      </c>
      <c r="AJ80" s="88">
        <v>0</v>
      </c>
      <c r="AK80" s="88">
        <f t="shared" si="64"/>
        <v>0</v>
      </c>
      <c r="AL80" s="88">
        <v>0</v>
      </c>
      <c r="AM80" s="88">
        <f t="shared" si="65"/>
        <v>0</v>
      </c>
      <c r="AN80" s="88">
        <v>0</v>
      </c>
      <c r="AO80" s="88">
        <f t="shared" si="67"/>
        <v>0</v>
      </c>
      <c r="AP80" s="88">
        <f>T80*0.06*12</f>
        <v>0</v>
      </c>
      <c r="AQ80" s="88">
        <f t="shared" si="69"/>
        <v>0</v>
      </c>
      <c r="AR80" s="88">
        <f>+(T80+V80+AD80+AF80+AH80+AJ80+AL80+AN80)*6+X80+Z80+AB80+AP80</f>
        <v>0</v>
      </c>
      <c r="AS80" s="88">
        <f>+(U80+W80+AE80+AG80+AI80+AK80+AM80+AO80)*12+Y80+AA80+AC80+AQ80</f>
        <v>0</v>
      </c>
      <c r="AT80" s="81"/>
      <c r="AU80" s="80"/>
      <c r="AV80" s="85"/>
      <c r="AW80" s="85"/>
      <c r="AX80" s="84"/>
      <c r="AY80" s="84"/>
      <c r="AZ80" s="84"/>
      <c r="BA80" s="84"/>
      <c r="BB80" s="84"/>
      <c r="BC80" s="84"/>
      <c r="BD80" s="84"/>
      <c r="BE80" s="84"/>
      <c r="BF80" s="79">
        <v>0</v>
      </c>
      <c r="BG80" s="84"/>
      <c r="BH80" s="84"/>
      <c r="BI80" s="84"/>
      <c r="BJ80" s="84"/>
    </row>
    <row r="81" spans="2:64" s="84" customFormat="1" ht="14.25" customHeight="1" x14ac:dyDescent="0.2">
      <c r="B81" s="104">
        <f t="shared" si="72"/>
        <v>63</v>
      </c>
      <c r="C81" s="98">
        <v>13</v>
      </c>
      <c r="D81" s="98">
        <v>56</v>
      </c>
      <c r="E81" s="98">
        <v>266</v>
      </c>
      <c r="F81" s="98">
        <v>795</v>
      </c>
      <c r="G81" s="98" t="s">
        <v>10</v>
      </c>
      <c r="H81" s="147" t="s">
        <v>9</v>
      </c>
      <c r="I81" s="147"/>
      <c r="J81" s="202" t="s">
        <v>8</v>
      </c>
      <c r="K81" s="203"/>
      <c r="L81" s="203"/>
      <c r="M81" s="203"/>
      <c r="N81" s="148"/>
      <c r="O81" s="148">
        <v>4</v>
      </c>
      <c r="P81" s="148" t="s">
        <v>7</v>
      </c>
      <c r="Q81" s="147" t="s">
        <v>6</v>
      </c>
      <c r="R81" s="175">
        <v>1</v>
      </c>
      <c r="S81" s="147" t="s">
        <v>5</v>
      </c>
      <c r="T81" s="101">
        <v>0</v>
      </c>
      <c r="U81" s="101">
        <f t="shared" si="54"/>
        <v>0</v>
      </c>
      <c r="V81" s="102">
        <v>0</v>
      </c>
      <c r="W81" s="102">
        <f t="shared" si="55"/>
        <v>0</v>
      </c>
      <c r="X81" s="101">
        <f t="shared" si="73"/>
        <v>0</v>
      </c>
      <c r="Y81" s="101">
        <f t="shared" si="57"/>
        <v>0</v>
      </c>
      <c r="Z81" s="101">
        <f t="shared" si="74"/>
        <v>0</v>
      </c>
      <c r="AA81" s="101">
        <f t="shared" si="59"/>
        <v>0</v>
      </c>
      <c r="AB81" s="101">
        <v>0</v>
      </c>
      <c r="AC81" s="101">
        <f t="shared" si="60"/>
        <v>0</v>
      </c>
      <c r="AD81" s="88">
        <v>0</v>
      </c>
      <c r="AE81" s="88">
        <f t="shared" si="61"/>
        <v>0</v>
      </c>
      <c r="AF81" s="88">
        <v>0</v>
      </c>
      <c r="AG81" s="88">
        <f t="shared" si="62"/>
        <v>0</v>
      </c>
      <c r="AH81" s="88"/>
      <c r="AI81" s="88">
        <f t="shared" si="63"/>
        <v>0</v>
      </c>
      <c r="AJ81" s="88">
        <v>0</v>
      </c>
      <c r="AK81" s="88">
        <f t="shared" si="64"/>
        <v>0</v>
      </c>
      <c r="AL81" s="88">
        <v>0</v>
      </c>
      <c r="AM81" s="88">
        <f t="shared" si="65"/>
        <v>0</v>
      </c>
      <c r="AN81" s="88">
        <v>0</v>
      </c>
      <c r="AO81" s="88">
        <f t="shared" si="67"/>
        <v>0</v>
      </c>
      <c r="AP81" s="88">
        <f>T81*0.06*12</f>
        <v>0</v>
      </c>
      <c r="AQ81" s="88">
        <f t="shared" si="69"/>
        <v>0</v>
      </c>
      <c r="AR81" s="88">
        <f>+(T81+V81+AD81+AF81+AH81+AJ81+AL81+AN81)*12+X81+Z81+AB81+AP81</f>
        <v>0</v>
      </c>
      <c r="AS81" s="88">
        <f>+(U81+W81+AE81+AG81+AI81+AK81+AM81+AO81)*12+Y81+AA81+AC81+AQ81</f>
        <v>0</v>
      </c>
      <c r="AT81" s="81"/>
      <c r="AU81" s="80"/>
      <c r="AV81" s="85"/>
      <c r="AW81" s="85"/>
      <c r="BF81" s="82">
        <v>0</v>
      </c>
    </row>
    <row r="82" spans="2:64" s="28" customFormat="1" ht="15" customHeight="1" x14ac:dyDescent="0.2">
      <c r="B82" s="76"/>
      <c r="C82" s="76"/>
      <c r="D82" s="76"/>
      <c r="E82" s="76"/>
      <c r="F82" s="76"/>
      <c r="G82" s="76"/>
      <c r="H82" s="61"/>
      <c r="I82" s="61"/>
      <c r="J82" s="60"/>
      <c r="K82" s="6"/>
      <c r="L82" s="6"/>
      <c r="M82" s="6"/>
      <c r="N82" s="27"/>
      <c r="O82" s="27"/>
      <c r="P82" s="27"/>
      <c r="Q82" s="74"/>
      <c r="R82" s="73"/>
      <c r="S82" s="72" t="s">
        <v>4</v>
      </c>
      <c r="T82" s="70">
        <f t="shared" ref="T82:AS82" si="75">SUM(T68:T81)</f>
        <v>28802.400000000001</v>
      </c>
      <c r="U82" s="71">
        <f t="shared" si="75"/>
        <v>28802.399999999998</v>
      </c>
      <c r="V82" s="70">
        <f t="shared" si="75"/>
        <v>0</v>
      </c>
      <c r="W82" s="71">
        <f t="shared" si="75"/>
        <v>0</v>
      </c>
      <c r="X82" s="70">
        <f t="shared" si="75"/>
        <v>2988.9807999999998</v>
      </c>
      <c r="Y82" s="71">
        <f t="shared" si="75"/>
        <v>2988.9599999999996</v>
      </c>
      <c r="Z82" s="70">
        <f t="shared" si="75"/>
        <v>29889.807999999997</v>
      </c>
      <c r="AA82" s="71">
        <f t="shared" si="75"/>
        <v>29889.819999999992</v>
      </c>
      <c r="AB82" s="70">
        <f t="shared" si="75"/>
        <v>0</v>
      </c>
      <c r="AC82" s="71">
        <f t="shared" si="75"/>
        <v>0</v>
      </c>
      <c r="AD82" s="70">
        <f t="shared" si="75"/>
        <v>0</v>
      </c>
      <c r="AE82" s="71">
        <f t="shared" si="75"/>
        <v>0</v>
      </c>
      <c r="AF82" s="70">
        <f t="shared" si="75"/>
        <v>0</v>
      </c>
      <c r="AG82" s="71">
        <f t="shared" si="75"/>
        <v>0</v>
      </c>
      <c r="AH82" s="71">
        <f t="shared" si="75"/>
        <v>5136.18</v>
      </c>
      <c r="AI82" s="71">
        <f t="shared" si="75"/>
        <v>5136.18</v>
      </c>
      <c r="AJ82" s="70">
        <f t="shared" si="75"/>
        <v>0</v>
      </c>
      <c r="AK82" s="71">
        <f t="shared" si="75"/>
        <v>0</v>
      </c>
      <c r="AL82" s="70">
        <f t="shared" si="75"/>
        <v>524</v>
      </c>
      <c r="AM82" s="71">
        <f t="shared" si="75"/>
        <v>524</v>
      </c>
      <c r="AN82" s="70">
        <f t="shared" si="75"/>
        <v>303.33333333333337</v>
      </c>
      <c r="AO82" s="71">
        <f t="shared" si="75"/>
        <v>303.36</v>
      </c>
      <c r="AP82" s="70">
        <f t="shared" si="75"/>
        <v>13825.152</v>
      </c>
      <c r="AQ82" s="71">
        <f t="shared" si="75"/>
        <v>13825.150000000001</v>
      </c>
      <c r="AR82" s="70">
        <f t="shared" si="75"/>
        <v>293893.43080000003</v>
      </c>
      <c r="AS82" s="71">
        <f t="shared" si="75"/>
        <v>293893.61</v>
      </c>
      <c r="AT82" s="2"/>
      <c r="AU82" s="29"/>
      <c r="AV82" s="68"/>
      <c r="AW82" s="68"/>
      <c r="BF82" s="70"/>
      <c r="BK82" s="78"/>
      <c r="BL82" s="78"/>
    </row>
    <row r="83" spans="2:64" s="28" customFormat="1" ht="15" customHeight="1" x14ac:dyDescent="0.2">
      <c r="B83" s="76"/>
      <c r="C83" s="76"/>
      <c r="D83" s="76"/>
      <c r="E83" s="76"/>
      <c r="F83" s="76"/>
      <c r="G83" s="76"/>
      <c r="H83" s="61"/>
      <c r="I83" s="61"/>
      <c r="J83" s="60"/>
      <c r="K83" s="6"/>
      <c r="L83" s="6"/>
      <c r="M83" s="6"/>
      <c r="N83" s="27"/>
      <c r="O83" s="27"/>
      <c r="P83" s="27"/>
      <c r="Q83" s="74"/>
      <c r="R83" s="73"/>
      <c r="S83" s="72" t="s">
        <v>3</v>
      </c>
      <c r="T83" s="70">
        <f>((T68+T69+T70+T71+T72+T73+T74+T75+T78+T79+T80+T81)*6+(T76+T77)*12)</f>
        <v>206929.44</v>
      </c>
      <c r="U83" s="71">
        <f>((U68+U69+U70+U71+U72+U73+U74+U75+U78+U79+U80+U81)*6+(U76+U77)*12)</f>
        <v>206929.44</v>
      </c>
      <c r="V83" s="70">
        <f>((V68+V69+V70+V71+V72+V73+V74+V75+V78+V79+V80+V81)*6+(V76+V77)*12)</f>
        <v>0</v>
      </c>
      <c r="W83" s="71">
        <f>((W68+W69+W70+W71+W72+W73+W74+W75+W78+W79+W80+W81)*6+(W76+W77)*12)</f>
        <v>0</v>
      </c>
      <c r="X83" s="70">
        <f t="shared" ref="X83:AC83" si="76">X82</f>
        <v>2988.9807999999998</v>
      </c>
      <c r="Y83" s="71">
        <f t="shared" si="76"/>
        <v>2988.9599999999996</v>
      </c>
      <c r="Z83" s="70">
        <f t="shared" si="76"/>
        <v>29889.807999999997</v>
      </c>
      <c r="AA83" s="71">
        <f t="shared" si="76"/>
        <v>29889.819999999992</v>
      </c>
      <c r="AB83" s="70">
        <f t="shared" si="76"/>
        <v>0</v>
      </c>
      <c r="AC83" s="71">
        <f t="shared" si="76"/>
        <v>0</v>
      </c>
      <c r="AD83" s="70">
        <f t="shared" ref="AD83:AO83" si="77">((AD68+AD69+AD70+AD71+AD72+AD73+AD74+AD75+AD78+AD79+AD80+AD81)*6+(AD76+AD77)*12)</f>
        <v>0</v>
      </c>
      <c r="AE83" s="71">
        <f t="shared" si="77"/>
        <v>0</v>
      </c>
      <c r="AF83" s="70">
        <f t="shared" si="77"/>
        <v>0</v>
      </c>
      <c r="AG83" s="71">
        <f t="shared" si="77"/>
        <v>0</v>
      </c>
      <c r="AH83" s="71">
        <f t="shared" si="77"/>
        <v>34366.800000000003</v>
      </c>
      <c r="AI83" s="71">
        <f t="shared" si="77"/>
        <v>34366.800000000003</v>
      </c>
      <c r="AJ83" s="70">
        <f t="shared" si="77"/>
        <v>0</v>
      </c>
      <c r="AK83" s="71">
        <f t="shared" si="77"/>
        <v>0</v>
      </c>
      <c r="AL83" s="70">
        <f t="shared" si="77"/>
        <v>3732</v>
      </c>
      <c r="AM83" s="71">
        <f t="shared" si="77"/>
        <v>3732</v>
      </c>
      <c r="AN83" s="70">
        <f t="shared" si="77"/>
        <v>2161.25</v>
      </c>
      <c r="AO83" s="71">
        <f t="shared" si="77"/>
        <v>2161.44</v>
      </c>
      <c r="AP83" s="70">
        <f>AP82</f>
        <v>13825.152</v>
      </c>
      <c r="AQ83" s="71">
        <f>AQ82</f>
        <v>13825.150000000001</v>
      </c>
      <c r="AR83" s="70">
        <f>+T83+V83+X83+Z83+AB83+AD83+AF83+AH83+AJ83+AL83+AN83+AP83</f>
        <v>293893.43079999997</v>
      </c>
      <c r="AS83" s="71">
        <f>+U83+W83+Y83+AA83+AC83+AE83+AG83+AI83+AK83+AM83+AO83+AQ83</f>
        <v>293893.61</v>
      </c>
      <c r="AT83" s="2"/>
      <c r="AU83" s="29"/>
      <c r="AV83" s="68"/>
      <c r="AW83" s="68"/>
      <c r="BF83" s="70"/>
      <c r="BI83" s="29"/>
    </row>
    <row r="84" spans="2:64" s="28" customFormat="1" ht="15" customHeight="1" x14ac:dyDescent="0.2">
      <c r="B84" s="75"/>
      <c r="C84" s="77" t="s">
        <v>2</v>
      </c>
      <c r="D84" s="76"/>
      <c r="E84" s="75"/>
      <c r="F84" s="75"/>
      <c r="G84" s="75"/>
      <c r="H84" s="61"/>
      <c r="I84" s="61"/>
      <c r="J84" s="60"/>
      <c r="K84" s="6"/>
      <c r="L84" s="6"/>
      <c r="M84" s="6"/>
      <c r="N84" s="27"/>
      <c r="O84" s="27"/>
      <c r="P84" s="27"/>
      <c r="Q84" s="74"/>
      <c r="R84" s="73"/>
      <c r="S84" s="72" t="s">
        <v>1</v>
      </c>
      <c r="T84" s="71">
        <f t="shared" ref="T84:AQ84" si="78">(+T65+T83)</f>
        <v>7622767.3199999994</v>
      </c>
      <c r="U84" s="71">
        <f t="shared" si="78"/>
        <v>7622767.3199999994</v>
      </c>
      <c r="V84" s="71">
        <f t="shared" si="78"/>
        <v>121983.84000000003</v>
      </c>
      <c r="W84" s="71">
        <f t="shared" si="78"/>
        <v>121983.84000000003</v>
      </c>
      <c r="X84" s="71">
        <f t="shared" si="78"/>
        <v>110106.63906666667</v>
      </c>
      <c r="Y84" s="71">
        <f t="shared" si="78"/>
        <v>110106.55</v>
      </c>
      <c r="Z84" s="71">
        <f t="shared" si="78"/>
        <v>1101066.3906666667</v>
      </c>
      <c r="AA84" s="71">
        <f t="shared" si="78"/>
        <v>1101066.4099999999</v>
      </c>
      <c r="AB84" s="71">
        <f t="shared" si="78"/>
        <v>296857.85479999997</v>
      </c>
      <c r="AC84" s="71">
        <f t="shared" si="78"/>
        <v>296857.90000000002</v>
      </c>
      <c r="AD84" s="71">
        <f t="shared" si="78"/>
        <v>1349682.49416</v>
      </c>
      <c r="AE84" s="71">
        <f t="shared" si="78"/>
        <v>1349682.3600000003</v>
      </c>
      <c r="AF84" s="71">
        <f t="shared" si="78"/>
        <v>231374.141856</v>
      </c>
      <c r="AG84" s="71">
        <f t="shared" si="78"/>
        <v>231374.64</v>
      </c>
      <c r="AH84" s="71">
        <f t="shared" si="78"/>
        <v>492043.56</v>
      </c>
      <c r="AI84" s="71">
        <f t="shared" si="78"/>
        <v>492043.56</v>
      </c>
      <c r="AJ84" s="71">
        <f t="shared" si="78"/>
        <v>154249.42790399998</v>
      </c>
      <c r="AK84" s="71">
        <f t="shared" si="78"/>
        <v>154248.72000000003</v>
      </c>
      <c r="AL84" s="71">
        <f t="shared" si="78"/>
        <v>335832</v>
      </c>
      <c r="AM84" s="71">
        <f t="shared" si="78"/>
        <v>335832</v>
      </c>
      <c r="AN84" s="71">
        <f t="shared" si="78"/>
        <v>181177.5</v>
      </c>
      <c r="AO84" s="71">
        <f t="shared" si="78"/>
        <v>181177.8</v>
      </c>
      <c r="AP84" s="71">
        <f t="shared" si="78"/>
        <v>310458.66720000003</v>
      </c>
      <c r="AQ84" s="71">
        <f t="shared" si="78"/>
        <v>310458.62000000005</v>
      </c>
      <c r="AR84" s="71">
        <f>+AR65+AR83</f>
        <v>12307599.835653333</v>
      </c>
      <c r="AS84" s="71">
        <f>+AS65+AS83</f>
        <v>12307599.720000001</v>
      </c>
      <c r="AT84" s="2"/>
      <c r="AU84" s="29"/>
      <c r="AV84" s="68"/>
      <c r="AW84" s="68"/>
      <c r="BF84" s="70"/>
    </row>
    <row r="85" spans="2:64" x14ac:dyDescent="0.2">
      <c r="B85" s="64"/>
      <c r="C85" s="62">
        <v>211.55</v>
      </c>
      <c r="D85" s="29"/>
      <c r="E85" s="63"/>
      <c r="F85" s="63"/>
      <c r="G85" s="62"/>
      <c r="H85" s="61"/>
      <c r="I85" s="28"/>
      <c r="J85" s="60"/>
      <c r="N85" s="27"/>
      <c r="O85" s="27"/>
      <c r="P85" s="27"/>
      <c r="Q85" s="38"/>
      <c r="R85" s="28"/>
      <c r="S85" s="27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U85" s="29"/>
      <c r="AV85" s="68"/>
      <c r="AW85" s="6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</row>
    <row r="86" spans="2:64" x14ac:dyDescent="0.2">
      <c r="B86" s="64"/>
      <c r="C86" s="62">
        <v>230.56</v>
      </c>
      <c r="D86" s="29"/>
      <c r="E86" s="63"/>
      <c r="F86" s="63"/>
      <c r="G86" s="62"/>
      <c r="H86" s="61"/>
      <c r="I86" s="28"/>
      <c r="J86" s="60"/>
      <c r="N86" s="27"/>
      <c r="O86" s="27"/>
      <c r="P86" s="27"/>
      <c r="Q86" s="38"/>
      <c r="R86" s="28"/>
      <c r="S86" s="27"/>
      <c r="X86" s="25"/>
      <c r="Y86" s="25"/>
      <c r="AH86" s="8"/>
      <c r="AM86" s="67"/>
      <c r="AR86" s="66"/>
      <c r="AS86" s="65"/>
      <c r="AU86" s="29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</row>
    <row r="87" spans="2:64" x14ac:dyDescent="0.2">
      <c r="B87" s="64"/>
      <c r="C87" s="62">
        <v>236.91</v>
      </c>
      <c r="D87" s="29"/>
      <c r="E87" s="63"/>
      <c r="F87" s="63"/>
      <c r="G87" s="62"/>
      <c r="H87" s="61"/>
      <c r="I87" s="28"/>
      <c r="J87" s="60"/>
      <c r="N87" s="27"/>
      <c r="O87" s="27"/>
      <c r="P87" s="27"/>
      <c r="Q87" s="38"/>
      <c r="R87" s="28"/>
      <c r="S87" s="27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U87" s="29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</row>
    <row r="88" spans="2:64" ht="15.75" x14ac:dyDescent="0.2">
      <c r="B88" s="58"/>
      <c r="C88" s="55">
        <v>247.86</v>
      </c>
      <c r="D88" s="57"/>
      <c r="E88" s="56"/>
      <c r="F88" s="56"/>
      <c r="G88" s="55"/>
      <c r="H88" s="50"/>
      <c r="I88" s="50"/>
      <c r="J88" s="49"/>
      <c r="K88" s="48"/>
      <c r="L88" s="48"/>
      <c r="M88" s="48"/>
      <c r="N88" s="45"/>
      <c r="O88" s="45"/>
      <c r="P88" s="45"/>
      <c r="Q88" s="44"/>
      <c r="R88" s="54"/>
      <c r="S88" s="43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53"/>
      <c r="AS88" s="53"/>
    </row>
    <row r="89" spans="2:64" ht="15" x14ac:dyDescent="0.2">
      <c r="B89" s="46"/>
      <c r="C89" s="52"/>
      <c r="D89" s="52"/>
      <c r="E89" s="46"/>
      <c r="F89" s="46"/>
      <c r="G89" s="46"/>
      <c r="H89" s="51"/>
      <c r="I89" s="50"/>
      <c r="J89" s="49"/>
      <c r="K89" s="48"/>
      <c r="L89" s="48"/>
      <c r="M89" s="48"/>
      <c r="N89" s="45"/>
      <c r="O89" s="45"/>
      <c r="P89" s="45"/>
      <c r="Q89" s="44"/>
      <c r="R89" s="43"/>
      <c r="S89" s="47"/>
      <c r="T89" s="29"/>
      <c r="U89" s="29"/>
      <c r="V89" s="29"/>
      <c r="W89" s="25"/>
      <c r="X89" s="3"/>
      <c r="Y89" s="3"/>
      <c r="AJ89" s="29"/>
      <c r="AN89" s="29"/>
      <c r="AP89" s="29"/>
    </row>
    <row r="90" spans="2:64" ht="15" x14ac:dyDescent="0.2">
      <c r="B90" s="46"/>
      <c r="C90" s="46"/>
      <c r="D90" s="46"/>
      <c r="E90" s="46"/>
      <c r="F90" s="46"/>
      <c r="G90" s="16"/>
      <c r="H90" s="16"/>
      <c r="I90" s="16"/>
      <c r="J90" s="16"/>
      <c r="K90" s="17"/>
      <c r="L90" s="17"/>
      <c r="M90" s="17"/>
      <c r="N90" s="16"/>
      <c r="O90" s="45"/>
      <c r="P90" s="45"/>
      <c r="Q90" s="44"/>
      <c r="R90" s="43"/>
      <c r="S90" s="42"/>
      <c r="T90" s="29"/>
      <c r="U90" s="29"/>
      <c r="V90" s="29"/>
      <c r="W90" s="25"/>
      <c r="X90" s="3"/>
      <c r="Y90" s="3"/>
      <c r="AH90" s="41"/>
      <c r="AI90" s="41"/>
      <c r="AJ90" s="29"/>
      <c r="AN90" s="29"/>
      <c r="AO90" s="8"/>
      <c r="AP90" s="29"/>
    </row>
    <row r="91" spans="2:64" ht="18" x14ac:dyDescent="0.2">
      <c r="B91" s="12"/>
      <c r="C91" s="16"/>
      <c r="D91" s="16"/>
      <c r="E91" s="16"/>
      <c r="F91" s="16"/>
      <c r="G91" s="16"/>
      <c r="H91" s="16"/>
      <c r="I91" s="16"/>
      <c r="J91" s="16"/>
      <c r="K91" s="17"/>
      <c r="L91" s="17"/>
      <c r="M91" s="17"/>
      <c r="N91" s="16"/>
      <c r="O91" s="27"/>
      <c r="P91" s="27"/>
      <c r="Q91" s="38"/>
      <c r="R91" s="30"/>
      <c r="S91" s="37"/>
      <c r="T91" s="29"/>
      <c r="U91" s="29"/>
      <c r="V91" s="29"/>
      <c r="W91" s="29"/>
      <c r="X91" s="3"/>
      <c r="Y91" s="3"/>
      <c r="AJ91" s="29"/>
      <c r="AN91" s="29"/>
      <c r="AO91" s="41"/>
      <c r="AP91" s="29"/>
    </row>
    <row r="92" spans="2:64" ht="15" hidden="1" x14ac:dyDescent="0.2">
      <c r="B92" s="16"/>
      <c r="C92" s="1"/>
      <c r="D92" s="1"/>
      <c r="E92" s="1"/>
      <c r="F92" s="1"/>
      <c r="G92" s="1"/>
      <c r="H92" s="40" t="s">
        <v>0</v>
      </c>
      <c r="I92" s="39"/>
      <c r="J92" s="39"/>
      <c r="K92" s="39"/>
      <c r="L92" s="16"/>
      <c r="M92" s="16"/>
      <c r="N92" s="16"/>
      <c r="O92" s="27"/>
      <c r="P92" s="27"/>
      <c r="Q92" s="38"/>
      <c r="R92" s="30"/>
      <c r="S92" s="27"/>
      <c r="T92" s="29"/>
      <c r="U92" s="29"/>
      <c r="V92" s="29"/>
      <c r="W92" s="29"/>
      <c r="X92" s="3"/>
      <c r="Y92" s="3"/>
      <c r="AJ92" s="29"/>
      <c r="AN92" s="29"/>
      <c r="AP92" s="29"/>
    </row>
    <row r="93" spans="2:64" ht="15" hidden="1" x14ac:dyDescent="0.2">
      <c r="B93" s="16"/>
      <c r="C93" s="1"/>
      <c r="D93" s="1"/>
      <c r="E93" s="1"/>
      <c r="F93" s="1"/>
      <c r="G93" s="1"/>
      <c r="H93" s="40"/>
      <c r="I93" s="39"/>
      <c r="J93" s="39"/>
      <c r="K93" s="39"/>
      <c r="L93" s="16"/>
      <c r="M93" s="16"/>
      <c r="N93" s="16"/>
      <c r="O93" s="27"/>
      <c r="P93" s="27"/>
      <c r="Q93" s="38"/>
      <c r="R93" s="28"/>
      <c r="S93" s="37"/>
      <c r="T93" s="29"/>
      <c r="U93" s="29"/>
      <c r="V93" s="29"/>
      <c r="W93" s="29"/>
      <c r="X93" s="3"/>
      <c r="Y93" s="3"/>
      <c r="AJ93" s="29"/>
      <c r="AN93" s="29"/>
      <c r="AP93" s="29"/>
    </row>
    <row r="94" spans="2:64" ht="15.75" hidden="1" x14ac:dyDescent="0.2">
      <c r="B94" s="16"/>
      <c r="C94" s="1"/>
      <c r="D94" s="1"/>
      <c r="E94" s="1"/>
      <c r="F94" s="1"/>
      <c r="G94" s="1"/>
      <c r="H94" s="36">
        <v>102.68</v>
      </c>
      <c r="I94" s="35"/>
      <c r="J94" s="35"/>
      <c r="K94" s="35"/>
      <c r="L94" s="16"/>
      <c r="M94" s="16"/>
      <c r="N94" s="16"/>
      <c r="O94" s="27"/>
      <c r="P94" s="27"/>
      <c r="Q94" s="28"/>
      <c r="R94" s="28"/>
      <c r="S94" s="34"/>
      <c r="T94" s="29"/>
      <c r="U94" s="29"/>
      <c r="V94" s="29"/>
      <c r="W94" s="29"/>
      <c r="X94" s="3"/>
      <c r="Y94" s="3"/>
      <c r="AJ94" s="29"/>
      <c r="AN94" s="29"/>
      <c r="AP94" s="29"/>
    </row>
    <row r="95" spans="2:64" ht="15" x14ac:dyDescent="0.2">
      <c r="B95" s="16"/>
      <c r="C95" s="1"/>
      <c r="D95" s="1"/>
      <c r="E95" s="1"/>
      <c r="F95" s="1"/>
      <c r="G95" s="1"/>
      <c r="H95" s="16"/>
      <c r="I95" s="16"/>
      <c r="J95" s="16"/>
      <c r="K95" s="16"/>
      <c r="L95" s="16"/>
      <c r="M95" s="16"/>
      <c r="N95" s="16"/>
      <c r="O95" s="27"/>
      <c r="P95" s="27"/>
      <c r="Q95" s="28"/>
      <c r="R95" s="28"/>
      <c r="S95" s="33"/>
      <c r="T95" s="29"/>
      <c r="U95" s="29"/>
      <c r="V95" s="29"/>
      <c r="W95" s="32"/>
      <c r="X95" s="3"/>
      <c r="Y95" s="3"/>
      <c r="AJ95" s="29"/>
      <c r="AN95" s="29"/>
      <c r="AP95" s="29"/>
    </row>
    <row r="96" spans="2:64" ht="15" x14ac:dyDescent="0.2">
      <c r="B96" s="16"/>
      <c r="C96" s="1"/>
      <c r="D96" s="1"/>
      <c r="E96" s="1"/>
      <c r="F96" s="1"/>
      <c r="G96" s="1"/>
      <c r="H96" s="16"/>
      <c r="I96" s="16"/>
      <c r="J96" s="16"/>
      <c r="K96" s="16"/>
      <c r="L96" s="16"/>
      <c r="M96" s="16"/>
      <c r="N96" s="16"/>
      <c r="O96" s="27"/>
      <c r="P96" s="27"/>
      <c r="Q96" s="28"/>
      <c r="R96" s="28"/>
      <c r="S96" s="33"/>
      <c r="T96" s="29"/>
      <c r="U96" s="29"/>
      <c r="V96" s="29"/>
      <c r="W96" s="32"/>
      <c r="X96" s="3"/>
      <c r="Y96" s="3"/>
      <c r="AJ96" s="29"/>
      <c r="AN96" s="29"/>
      <c r="AP96" s="29"/>
    </row>
    <row r="97" spans="2:42" ht="15" x14ac:dyDescent="0.2">
      <c r="B97" s="16"/>
      <c r="C97" s="1"/>
      <c r="D97" s="1"/>
      <c r="E97" s="1"/>
      <c r="F97" s="1"/>
      <c r="G97" s="1"/>
      <c r="H97" s="16"/>
      <c r="I97" s="16"/>
      <c r="J97" s="16"/>
      <c r="K97" s="16"/>
      <c r="L97" s="16"/>
      <c r="M97" s="31"/>
      <c r="N97" s="16"/>
      <c r="O97" s="27"/>
      <c r="P97" s="27"/>
      <c r="Q97" s="28"/>
      <c r="R97" s="28"/>
      <c r="S97" s="30"/>
      <c r="T97" s="29"/>
      <c r="U97" s="29"/>
      <c r="V97" s="29"/>
      <c r="W97" s="25"/>
      <c r="X97" s="3"/>
      <c r="Y97" s="3"/>
      <c r="AJ97" s="29"/>
      <c r="AN97" s="29"/>
      <c r="AP97" s="29"/>
    </row>
    <row r="98" spans="2:42" ht="15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7"/>
      <c r="L98" s="17"/>
      <c r="M98" s="17"/>
      <c r="N98" s="16"/>
      <c r="O98" s="27"/>
      <c r="P98" s="27"/>
      <c r="Q98" s="28"/>
      <c r="R98" s="28"/>
      <c r="S98" s="30"/>
      <c r="T98" s="29"/>
      <c r="U98" s="29"/>
      <c r="V98" s="29"/>
      <c r="W98" s="25"/>
      <c r="X98" s="3"/>
      <c r="Y98" s="3"/>
      <c r="AJ98" s="29"/>
      <c r="AN98" s="29"/>
      <c r="AP98" s="29"/>
    </row>
    <row r="99" spans="2:42" ht="15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7"/>
      <c r="M99" s="17"/>
      <c r="N99" s="16"/>
      <c r="O99" s="27"/>
      <c r="P99" s="27"/>
      <c r="Q99" s="28"/>
      <c r="R99" s="28"/>
      <c r="S99" s="30"/>
      <c r="T99" s="30"/>
      <c r="U99" s="29"/>
      <c r="V99" s="29"/>
      <c r="W99" s="25"/>
      <c r="X99" s="3"/>
      <c r="Y99" s="3"/>
      <c r="AJ99" s="29"/>
      <c r="AN99" s="29"/>
      <c r="AP99" s="29"/>
    </row>
    <row r="100" spans="2:42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7"/>
      <c r="M100" s="17"/>
      <c r="N100" s="16"/>
      <c r="O100" s="27"/>
      <c r="P100" s="27"/>
      <c r="Q100" s="28"/>
      <c r="R100" s="28"/>
      <c r="S100" s="27"/>
      <c r="T100" s="27"/>
      <c r="U100" s="29"/>
      <c r="V100" s="29"/>
      <c r="W100" s="25"/>
      <c r="X100" s="3"/>
      <c r="Y100" s="3"/>
      <c r="AJ100" s="29"/>
      <c r="AN100" s="29"/>
      <c r="AP100" s="29"/>
    </row>
    <row r="101" spans="2:42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7"/>
      <c r="L101" s="17"/>
      <c r="M101" s="17"/>
      <c r="N101" s="16"/>
      <c r="O101" s="27"/>
      <c r="P101" s="27"/>
      <c r="Q101" s="28"/>
      <c r="R101" s="28"/>
      <c r="S101" s="27"/>
      <c r="T101" s="27"/>
      <c r="U101" s="29"/>
      <c r="V101" s="29"/>
      <c r="W101" s="25"/>
      <c r="X101" s="3"/>
      <c r="Y101" s="3"/>
      <c r="AJ101" s="29"/>
      <c r="AN101" s="29"/>
      <c r="AP101" s="29"/>
    </row>
    <row r="102" spans="2:42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7"/>
      <c r="L102" s="17"/>
      <c r="M102" s="17"/>
      <c r="N102" s="16"/>
      <c r="O102" s="27"/>
      <c r="P102" s="27"/>
      <c r="Q102" s="28"/>
      <c r="R102" s="28"/>
      <c r="S102" s="27"/>
      <c r="T102" s="27"/>
      <c r="U102" s="29"/>
      <c r="V102" s="25"/>
      <c r="W102" s="25"/>
      <c r="X102" s="3"/>
      <c r="Y102" s="3"/>
    </row>
    <row r="103" spans="2:42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7"/>
      <c r="L103" s="17"/>
      <c r="M103" s="17"/>
      <c r="N103" s="16"/>
      <c r="O103" s="27"/>
      <c r="P103" s="27"/>
      <c r="Q103" s="28"/>
      <c r="R103" s="28"/>
      <c r="S103" s="27"/>
      <c r="T103" s="27"/>
      <c r="U103" s="29"/>
      <c r="V103" s="25"/>
      <c r="W103" s="25"/>
      <c r="X103" s="3"/>
      <c r="Y103" s="3"/>
    </row>
    <row r="104" spans="2:42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7"/>
      <c r="L104" s="17"/>
      <c r="M104" s="17"/>
      <c r="N104" s="16"/>
      <c r="O104" s="27"/>
      <c r="P104" s="27"/>
      <c r="Q104" s="28"/>
      <c r="R104" s="28"/>
      <c r="S104" s="27"/>
      <c r="T104" s="27"/>
      <c r="U104" s="27"/>
      <c r="V104" s="25"/>
      <c r="W104" s="25"/>
      <c r="X104" s="3"/>
      <c r="Y104" s="3"/>
    </row>
    <row r="105" spans="2:42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7"/>
      <c r="L105" s="17"/>
      <c r="M105" s="17"/>
      <c r="N105" s="16"/>
      <c r="O105" s="27"/>
      <c r="P105" s="27"/>
      <c r="Q105" s="28"/>
      <c r="R105" s="28"/>
      <c r="S105" s="27"/>
      <c r="T105" s="27"/>
      <c r="U105" s="27"/>
      <c r="V105" s="25"/>
      <c r="W105" s="25"/>
      <c r="X105" s="3"/>
      <c r="Y105" s="3"/>
    </row>
    <row r="106" spans="2:42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7"/>
      <c r="L106" s="17"/>
      <c r="M106" s="17"/>
      <c r="N106" s="16"/>
      <c r="O106" s="27"/>
      <c r="P106" s="27"/>
      <c r="Q106" s="28"/>
      <c r="R106" s="28"/>
      <c r="S106" s="27"/>
      <c r="T106" s="27"/>
      <c r="U106" s="27"/>
      <c r="V106" s="25"/>
      <c r="W106" s="25"/>
      <c r="X106" s="3"/>
      <c r="Y106" s="3"/>
    </row>
    <row r="107" spans="2:42" x14ac:dyDescent="0.2">
      <c r="B107" s="16"/>
      <c r="C107" s="16"/>
      <c r="D107" s="16"/>
      <c r="E107" s="16"/>
      <c r="F107" s="16"/>
      <c r="G107" s="16"/>
      <c r="H107" s="15"/>
      <c r="I107" s="15"/>
      <c r="J107" s="18"/>
      <c r="K107" s="17"/>
      <c r="L107" s="17"/>
      <c r="M107" s="17"/>
      <c r="N107" s="27"/>
      <c r="O107" s="27"/>
      <c r="P107" s="27"/>
      <c r="Q107" s="28"/>
      <c r="R107" s="28"/>
      <c r="S107" s="27"/>
      <c r="T107" s="27"/>
      <c r="U107" s="27"/>
      <c r="V107" s="25"/>
      <c r="W107" s="25"/>
      <c r="X107" s="3"/>
      <c r="Y107" s="3"/>
    </row>
    <row r="108" spans="2:42" x14ac:dyDescent="0.2">
      <c r="B108" s="16"/>
      <c r="C108" s="16"/>
      <c r="D108" s="16"/>
      <c r="E108" s="16"/>
      <c r="F108" s="16"/>
      <c r="G108" s="16"/>
      <c r="H108" s="15"/>
      <c r="I108" s="15"/>
      <c r="J108" s="18"/>
      <c r="K108" s="17"/>
      <c r="L108" s="17"/>
      <c r="M108" s="17"/>
      <c r="N108" s="27"/>
      <c r="O108" s="27"/>
      <c r="P108" s="27"/>
      <c r="Q108" s="28"/>
      <c r="R108" s="28"/>
      <c r="S108" s="27"/>
      <c r="T108" s="27"/>
      <c r="U108" s="27"/>
      <c r="V108" s="25"/>
      <c r="W108" s="25"/>
      <c r="X108" s="3"/>
      <c r="Y108" s="3"/>
    </row>
    <row r="109" spans="2:42" x14ac:dyDescent="0.2">
      <c r="B109" s="16"/>
      <c r="C109" s="16"/>
      <c r="D109" s="16"/>
      <c r="E109" s="16"/>
      <c r="F109" s="16"/>
      <c r="G109" s="16"/>
      <c r="H109" s="15"/>
      <c r="I109" s="15"/>
      <c r="J109" s="18"/>
      <c r="K109" s="17"/>
      <c r="L109" s="17"/>
      <c r="M109" s="17"/>
      <c r="N109" s="27"/>
      <c r="O109" s="27"/>
      <c r="P109" s="27"/>
      <c r="Q109" s="28"/>
      <c r="R109" s="28"/>
      <c r="S109" s="27"/>
      <c r="T109" s="27"/>
      <c r="U109" s="27"/>
      <c r="V109" s="25"/>
      <c r="W109" s="25"/>
      <c r="X109" s="3"/>
      <c r="Y109" s="3"/>
    </row>
    <row r="110" spans="2:42" x14ac:dyDescent="0.2">
      <c r="B110" s="16"/>
      <c r="C110" s="16"/>
      <c r="D110" s="16"/>
      <c r="E110" s="16"/>
      <c r="F110" s="16"/>
      <c r="G110" s="16"/>
      <c r="H110" s="15"/>
      <c r="I110" s="15"/>
      <c r="J110" s="18"/>
      <c r="K110" s="17"/>
      <c r="L110" s="17"/>
      <c r="M110" s="17"/>
      <c r="N110" s="27"/>
      <c r="O110" s="27"/>
      <c r="P110" s="27"/>
      <c r="Q110" s="28"/>
      <c r="R110" s="28"/>
      <c r="S110" s="27"/>
      <c r="T110" s="27"/>
      <c r="U110" s="27"/>
      <c r="V110" s="25"/>
      <c r="W110" s="25"/>
      <c r="X110" s="3"/>
      <c r="Y110" s="3"/>
    </row>
    <row r="111" spans="2:42" x14ac:dyDescent="0.2">
      <c r="B111" s="16"/>
      <c r="C111" s="16"/>
      <c r="D111" s="16"/>
      <c r="E111" s="16"/>
      <c r="F111" s="16"/>
      <c r="G111" s="16"/>
      <c r="H111" s="15"/>
      <c r="I111" s="15"/>
      <c r="J111" s="18"/>
      <c r="K111" s="17"/>
      <c r="L111" s="17"/>
      <c r="M111" s="17"/>
      <c r="N111" s="27"/>
      <c r="O111" s="27"/>
      <c r="P111" s="27"/>
      <c r="Q111" s="28"/>
      <c r="R111" s="28"/>
      <c r="S111" s="27"/>
      <c r="T111" s="27"/>
      <c r="U111" s="27"/>
      <c r="V111" s="25"/>
      <c r="W111" s="25"/>
      <c r="X111" s="3"/>
      <c r="Y111" s="3"/>
    </row>
    <row r="112" spans="2:42" x14ac:dyDescent="0.2">
      <c r="B112" s="16"/>
      <c r="C112" s="16"/>
      <c r="D112" s="16"/>
      <c r="E112" s="16"/>
      <c r="F112" s="16"/>
      <c r="G112" s="16"/>
      <c r="H112" s="15"/>
      <c r="I112" s="15"/>
      <c r="J112" s="18"/>
      <c r="K112" s="17"/>
      <c r="L112" s="17"/>
      <c r="M112" s="17"/>
      <c r="N112" s="27"/>
      <c r="O112" s="27"/>
      <c r="P112" s="27"/>
      <c r="Q112" s="28"/>
      <c r="R112" s="28"/>
      <c r="S112" s="27"/>
      <c r="T112" s="27"/>
      <c r="U112" s="27"/>
      <c r="V112" s="25"/>
      <c r="W112" s="25"/>
      <c r="X112" s="3"/>
      <c r="Y112" s="3"/>
    </row>
    <row r="113" spans="2:25" x14ac:dyDescent="0.2">
      <c r="B113" s="16"/>
      <c r="C113" s="16"/>
      <c r="D113" s="16"/>
      <c r="E113" s="16"/>
      <c r="F113" s="16"/>
      <c r="G113" s="16"/>
      <c r="H113" s="15"/>
      <c r="I113" s="15"/>
      <c r="J113" s="18"/>
      <c r="K113" s="17"/>
      <c r="L113" s="17"/>
      <c r="M113" s="17"/>
      <c r="N113" s="27"/>
      <c r="O113" s="27"/>
      <c r="P113" s="27"/>
      <c r="Q113" s="28"/>
      <c r="R113" s="28"/>
      <c r="S113" s="27"/>
      <c r="T113" s="27"/>
      <c r="U113" s="27"/>
      <c r="V113" s="25"/>
      <c r="W113" s="25"/>
      <c r="X113" s="3"/>
      <c r="Y113" s="3"/>
    </row>
    <row r="114" spans="2:25" x14ac:dyDescent="0.2">
      <c r="B114" s="16"/>
      <c r="C114" s="16"/>
      <c r="D114" s="16"/>
      <c r="E114" s="16"/>
      <c r="F114" s="16"/>
      <c r="G114" s="16"/>
      <c r="H114" s="15"/>
      <c r="I114" s="15"/>
      <c r="J114" s="18"/>
      <c r="K114" s="17"/>
      <c r="L114" s="17"/>
      <c r="M114" s="17"/>
      <c r="N114" s="27"/>
      <c r="O114" s="27"/>
      <c r="P114" s="27"/>
      <c r="Q114" s="28"/>
      <c r="R114" s="28"/>
      <c r="S114" s="27"/>
      <c r="T114" s="27"/>
      <c r="U114" s="27"/>
      <c r="V114" s="25"/>
      <c r="W114" s="25"/>
      <c r="X114" s="3"/>
      <c r="Y114" s="3"/>
    </row>
    <row r="115" spans="2:25" x14ac:dyDescent="0.2">
      <c r="B115" s="16"/>
      <c r="C115" s="16"/>
      <c r="D115" s="16"/>
      <c r="E115" s="16"/>
      <c r="F115" s="16"/>
      <c r="G115" s="16"/>
      <c r="H115" s="15"/>
      <c r="I115" s="15"/>
      <c r="J115" s="18"/>
      <c r="K115" s="17"/>
      <c r="L115" s="17"/>
      <c r="M115" s="17"/>
      <c r="N115" s="27"/>
      <c r="O115" s="27"/>
      <c r="P115" s="27"/>
      <c r="Q115" s="28"/>
      <c r="R115" s="28"/>
      <c r="S115" s="27"/>
      <c r="T115" s="27"/>
      <c r="U115" s="27"/>
      <c r="V115" s="25"/>
      <c r="W115" s="25"/>
      <c r="X115" s="3"/>
      <c r="Y115" s="3"/>
    </row>
    <row r="116" spans="2:25" x14ac:dyDescent="0.2">
      <c r="B116" s="16"/>
      <c r="C116" s="16"/>
      <c r="D116" s="16"/>
      <c r="E116" s="16"/>
      <c r="F116" s="16"/>
      <c r="G116" s="16"/>
      <c r="H116" s="15"/>
      <c r="I116" s="15"/>
      <c r="J116" s="18"/>
      <c r="K116" s="17"/>
      <c r="L116" s="17"/>
      <c r="M116" s="17"/>
      <c r="N116" s="27"/>
      <c r="O116" s="27"/>
      <c r="P116" s="27"/>
      <c r="Q116" s="28"/>
      <c r="R116" s="28"/>
      <c r="S116" s="27"/>
      <c r="T116" s="27"/>
      <c r="U116" s="27"/>
      <c r="V116" s="25"/>
      <c r="W116" s="25"/>
      <c r="X116" s="3"/>
      <c r="Y116" s="3"/>
    </row>
    <row r="117" spans="2:25" x14ac:dyDescent="0.2">
      <c r="B117" s="1"/>
      <c r="C117" s="1"/>
      <c r="D117" s="1"/>
      <c r="E117" s="1"/>
      <c r="F117" s="1"/>
      <c r="G117" s="1"/>
      <c r="I117" s="15"/>
      <c r="J117" s="18"/>
      <c r="K117" s="17"/>
      <c r="L117" s="17"/>
      <c r="M117" s="17"/>
      <c r="N117" s="27"/>
      <c r="O117" s="27"/>
      <c r="P117" s="27"/>
      <c r="Q117" s="28"/>
      <c r="R117" s="28"/>
      <c r="S117" s="27"/>
      <c r="T117" s="27"/>
      <c r="U117" s="27"/>
      <c r="V117" s="25"/>
      <c r="W117" s="25"/>
      <c r="X117" s="3"/>
      <c r="Y117" s="3"/>
    </row>
    <row r="118" spans="2:25" x14ac:dyDescent="0.2">
      <c r="B118" s="1"/>
      <c r="C118" s="1"/>
      <c r="D118" s="1"/>
      <c r="E118" s="1"/>
      <c r="F118" s="1"/>
      <c r="G118" s="1"/>
      <c r="I118" s="15"/>
      <c r="J118" s="18"/>
      <c r="K118" s="17"/>
      <c r="L118" s="17"/>
      <c r="M118" s="17"/>
      <c r="N118" s="27"/>
      <c r="O118" s="27"/>
      <c r="P118" s="27"/>
      <c r="Q118" s="28"/>
      <c r="R118" s="28"/>
      <c r="S118" s="27"/>
      <c r="T118" s="26"/>
      <c r="U118" s="26"/>
      <c r="V118" s="25"/>
      <c r="W118" s="25"/>
      <c r="X118" s="3"/>
      <c r="Y118" s="3"/>
    </row>
    <row r="119" spans="2:25" x14ac:dyDescent="0.2">
      <c r="B119" s="1"/>
      <c r="C119" s="1"/>
      <c r="D119" s="1"/>
      <c r="E119" s="1"/>
      <c r="F119" s="1"/>
      <c r="G119" s="1"/>
      <c r="I119" s="15"/>
      <c r="J119" s="18"/>
      <c r="K119" s="17"/>
      <c r="L119" s="17"/>
      <c r="M119" s="17"/>
      <c r="X119" s="3"/>
      <c r="Y119" s="3"/>
    </row>
    <row r="120" spans="2:25" x14ac:dyDescent="0.2">
      <c r="B120" s="1"/>
      <c r="C120" s="1"/>
      <c r="D120" s="1"/>
      <c r="E120" s="1"/>
      <c r="F120" s="1"/>
      <c r="G120" s="1"/>
      <c r="I120" s="15"/>
      <c r="J120" s="18"/>
      <c r="K120" s="17"/>
      <c r="L120" s="17"/>
      <c r="M120" s="17"/>
      <c r="X120" s="3"/>
      <c r="Y120" s="3"/>
    </row>
    <row r="121" spans="2:25" x14ac:dyDescent="0.2">
      <c r="B121" s="1"/>
      <c r="C121" s="1"/>
      <c r="D121" s="1"/>
      <c r="E121" s="1"/>
      <c r="F121" s="1"/>
      <c r="G121" s="1"/>
      <c r="I121" s="15"/>
      <c r="J121" s="18"/>
      <c r="K121" s="17"/>
      <c r="L121" s="17"/>
      <c r="M121" s="17"/>
      <c r="X121" s="3"/>
      <c r="Y121" s="3"/>
    </row>
    <row r="122" spans="2:25" x14ac:dyDescent="0.2">
      <c r="B122" s="1"/>
      <c r="C122" s="1"/>
      <c r="D122" s="1"/>
      <c r="E122" s="1"/>
      <c r="F122" s="1"/>
      <c r="G122" s="1"/>
      <c r="I122" s="15"/>
      <c r="J122" s="18"/>
      <c r="K122" s="17"/>
      <c r="L122" s="17"/>
      <c r="M122" s="17"/>
      <c r="X122" s="3"/>
      <c r="Y122" s="3"/>
    </row>
    <row r="123" spans="2:25" x14ac:dyDescent="0.2">
      <c r="B123" s="16"/>
      <c r="C123" s="16"/>
      <c r="D123" s="16"/>
      <c r="E123" s="16"/>
      <c r="F123" s="16"/>
      <c r="G123" s="16"/>
      <c r="H123" s="15"/>
      <c r="I123" s="15"/>
      <c r="J123" s="18"/>
      <c r="K123" s="17"/>
      <c r="L123" s="17"/>
      <c r="M123" s="17"/>
      <c r="X123" s="3"/>
      <c r="Y123" s="3"/>
    </row>
    <row r="124" spans="2:25" x14ac:dyDescent="0.2">
      <c r="B124" s="16"/>
      <c r="C124" s="16"/>
      <c r="D124" s="16"/>
      <c r="E124" s="16"/>
      <c r="F124" s="16"/>
      <c r="G124" s="16"/>
      <c r="H124" s="15"/>
      <c r="I124" s="15"/>
      <c r="J124" s="18"/>
      <c r="K124" s="17"/>
      <c r="L124" s="17"/>
      <c r="M124" s="17"/>
      <c r="X124" s="3"/>
      <c r="Y124" s="3"/>
    </row>
    <row r="125" spans="2:25" ht="23.25" x14ac:dyDescent="0.2">
      <c r="B125" s="16"/>
      <c r="C125" s="16"/>
      <c r="D125" s="16"/>
      <c r="E125" s="16"/>
      <c r="F125" s="16"/>
      <c r="G125" s="16"/>
      <c r="H125" s="15"/>
      <c r="I125" s="15"/>
      <c r="J125" s="24"/>
      <c r="K125" s="23"/>
      <c r="L125" s="23"/>
      <c r="M125" s="23"/>
      <c r="X125" s="3"/>
      <c r="Y125" s="3"/>
    </row>
    <row r="126" spans="2:25" x14ac:dyDescent="0.2">
      <c r="B126" s="16"/>
      <c r="C126" s="16"/>
      <c r="D126" s="16"/>
      <c r="E126" s="16"/>
      <c r="F126" s="16"/>
      <c r="G126" s="16"/>
      <c r="H126" s="15"/>
      <c r="I126" s="15"/>
      <c r="J126" s="18"/>
      <c r="K126" s="17"/>
      <c r="L126" s="17"/>
      <c r="M126" s="17"/>
      <c r="X126" s="3"/>
      <c r="Y126" s="3"/>
    </row>
    <row r="127" spans="2:25" x14ac:dyDescent="0.2">
      <c r="B127" s="16"/>
      <c r="C127" s="16"/>
      <c r="D127" s="16"/>
      <c r="E127" s="16"/>
      <c r="F127" s="16"/>
      <c r="G127" s="16"/>
      <c r="H127" s="15"/>
      <c r="I127" s="15"/>
      <c r="J127" s="18"/>
      <c r="K127" s="17"/>
      <c r="L127" s="17"/>
      <c r="M127" s="17"/>
      <c r="X127" s="3"/>
      <c r="Y127" s="3"/>
    </row>
    <row r="128" spans="2:25" x14ac:dyDescent="0.2">
      <c r="B128" s="16"/>
      <c r="C128" s="16"/>
      <c r="D128" s="16"/>
      <c r="E128" s="16"/>
      <c r="F128" s="16"/>
      <c r="G128" s="16"/>
      <c r="H128" s="15"/>
      <c r="I128" s="15"/>
      <c r="J128" s="18"/>
      <c r="K128" s="17"/>
      <c r="L128" s="17"/>
      <c r="M128" s="17"/>
      <c r="X128" s="3"/>
      <c r="Y128" s="3"/>
    </row>
    <row r="129" spans="2:25" x14ac:dyDescent="0.2">
      <c r="B129" s="16"/>
      <c r="C129" s="16"/>
      <c r="D129" s="16"/>
      <c r="E129" s="16"/>
      <c r="F129" s="16"/>
      <c r="G129" s="16"/>
      <c r="H129" s="15"/>
      <c r="I129" s="15"/>
      <c r="J129" s="18"/>
      <c r="K129" s="17"/>
      <c r="L129" s="17"/>
      <c r="M129" s="17"/>
      <c r="X129" s="3"/>
      <c r="Y129" s="3"/>
    </row>
    <row r="130" spans="2:25" x14ac:dyDescent="0.2">
      <c r="B130" s="16"/>
      <c r="C130" s="16"/>
      <c r="D130" s="16"/>
      <c r="E130" s="16"/>
      <c r="F130" s="16"/>
      <c r="G130" s="16"/>
      <c r="H130" s="15"/>
      <c r="I130" s="15"/>
      <c r="J130" s="18"/>
      <c r="K130" s="17"/>
      <c r="L130" s="17"/>
      <c r="M130" s="17"/>
      <c r="X130" s="3"/>
      <c r="Y130" s="3"/>
    </row>
    <row r="131" spans="2:25" x14ac:dyDescent="0.2">
      <c r="B131" s="16"/>
      <c r="C131" s="16"/>
      <c r="D131" s="16"/>
      <c r="E131" s="16"/>
      <c r="F131" s="16"/>
      <c r="G131" s="16"/>
      <c r="H131" s="15"/>
      <c r="I131" s="15"/>
      <c r="J131" s="18"/>
      <c r="K131" s="17"/>
      <c r="L131" s="17"/>
      <c r="M131" s="17"/>
      <c r="X131" s="3"/>
      <c r="Y131" s="3"/>
    </row>
    <row r="132" spans="2:25" x14ac:dyDescent="0.2">
      <c r="B132" s="16"/>
      <c r="C132" s="16"/>
      <c r="D132" s="16"/>
      <c r="E132" s="16"/>
      <c r="F132" s="16"/>
      <c r="G132" s="16"/>
      <c r="H132" s="15"/>
      <c r="I132" s="15"/>
      <c r="J132" s="18"/>
      <c r="K132" s="17"/>
      <c r="L132" s="17"/>
      <c r="M132" s="17"/>
      <c r="X132" s="3"/>
      <c r="Y132" s="3"/>
    </row>
    <row r="133" spans="2:25" x14ac:dyDescent="0.2">
      <c r="B133" s="16"/>
      <c r="C133" s="16"/>
      <c r="D133" s="16"/>
      <c r="E133" s="16"/>
      <c r="F133" s="16"/>
      <c r="G133" s="16"/>
      <c r="H133" s="15"/>
      <c r="I133" s="15"/>
      <c r="J133" s="18"/>
      <c r="K133" s="17"/>
      <c r="L133" s="17"/>
      <c r="M133" s="17"/>
      <c r="X133" s="3"/>
      <c r="Y133" s="3"/>
    </row>
    <row r="134" spans="2:25" x14ac:dyDescent="0.2">
      <c r="B134" s="16"/>
      <c r="C134" s="16"/>
      <c r="D134" s="16"/>
      <c r="E134" s="16"/>
      <c r="F134" s="16"/>
      <c r="G134" s="16"/>
      <c r="H134" s="15"/>
      <c r="I134" s="15"/>
      <c r="J134" s="18"/>
      <c r="K134" s="17"/>
      <c r="L134" s="17"/>
      <c r="M134" s="17"/>
      <c r="X134" s="3"/>
      <c r="Y134" s="3"/>
    </row>
    <row r="135" spans="2:25" x14ac:dyDescent="0.2">
      <c r="B135" s="16"/>
      <c r="C135" s="16"/>
      <c r="D135" s="16"/>
      <c r="E135" s="16"/>
      <c r="F135" s="16"/>
      <c r="G135" s="16"/>
      <c r="H135" s="15"/>
      <c r="I135" s="15"/>
      <c r="J135" s="18"/>
      <c r="K135" s="17"/>
      <c r="L135" s="17"/>
      <c r="M135" s="17"/>
      <c r="X135" s="3"/>
      <c r="Y135" s="3"/>
    </row>
    <row r="136" spans="2:25" x14ac:dyDescent="0.2">
      <c r="B136" s="16"/>
      <c r="C136" s="16"/>
      <c r="D136" s="16"/>
      <c r="E136" s="16"/>
      <c r="F136" s="16"/>
      <c r="G136" s="16"/>
      <c r="H136" s="15"/>
      <c r="I136" s="15"/>
      <c r="J136" s="18"/>
      <c r="K136" s="17"/>
      <c r="L136" s="17"/>
      <c r="M136" s="17"/>
      <c r="X136" s="3"/>
      <c r="Y136" s="3"/>
    </row>
    <row r="137" spans="2:25" x14ac:dyDescent="0.2">
      <c r="B137" s="16"/>
      <c r="C137" s="16"/>
      <c r="D137" s="16"/>
      <c r="E137" s="16"/>
      <c r="F137" s="16"/>
      <c r="G137" s="16"/>
      <c r="H137" s="15"/>
      <c r="I137" s="15"/>
      <c r="J137" s="18"/>
      <c r="K137" s="17"/>
      <c r="L137" s="17"/>
      <c r="M137" s="17"/>
      <c r="X137" s="3"/>
      <c r="Y137" s="3"/>
    </row>
    <row r="138" spans="2:25" x14ac:dyDescent="0.2">
      <c r="B138" s="16"/>
      <c r="C138" s="16"/>
      <c r="D138" s="16"/>
      <c r="E138" s="16"/>
      <c r="F138" s="16"/>
      <c r="G138" s="16"/>
      <c r="H138" s="15"/>
      <c r="I138" s="15"/>
      <c r="J138" s="18"/>
      <c r="K138" s="17"/>
      <c r="L138" s="17"/>
      <c r="M138" s="17"/>
      <c r="X138" s="3"/>
      <c r="Y138" s="3"/>
    </row>
    <row r="139" spans="2:25" x14ac:dyDescent="0.2">
      <c r="B139" s="16"/>
      <c r="C139" s="16"/>
      <c r="D139" s="16"/>
      <c r="E139" s="16"/>
      <c r="F139" s="16"/>
      <c r="G139" s="16"/>
      <c r="H139" s="15"/>
      <c r="I139" s="15"/>
      <c r="J139" s="18"/>
      <c r="K139" s="17"/>
      <c r="L139" s="17"/>
      <c r="M139" s="17"/>
      <c r="X139" s="3"/>
      <c r="Y139" s="3"/>
    </row>
    <row r="140" spans="2:25" x14ac:dyDescent="0.2">
      <c r="B140" s="16"/>
      <c r="C140" s="16"/>
      <c r="D140" s="16"/>
      <c r="E140" s="16"/>
      <c r="F140" s="16"/>
      <c r="G140" s="16"/>
      <c r="H140" s="15"/>
      <c r="I140" s="15"/>
      <c r="J140" s="18"/>
      <c r="K140" s="17"/>
      <c r="L140" s="17"/>
      <c r="M140" s="17"/>
      <c r="X140" s="3"/>
      <c r="Y140" s="3"/>
    </row>
    <row r="141" spans="2:25" x14ac:dyDescent="0.2">
      <c r="B141" s="16"/>
      <c r="C141" s="16"/>
      <c r="D141" s="16"/>
      <c r="E141" s="16"/>
      <c r="F141" s="16"/>
      <c r="G141" s="16"/>
      <c r="H141" s="15"/>
      <c r="I141" s="15"/>
      <c r="J141" s="18"/>
      <c r="K141" s="17"/>
      <c r="L141" s="17"/>
      <c r="M141" s="17"/>
      <c r="X141" s="3"/>
      <c r="Y141" s="3"/>
    </row>
    <row r="142" spans="2:25" x14ac:dyDescent="0.2">
      <c r="J142" s="18"/>
      <c r="K142" s="17"/>
      <c r="L142" s="17"/>
      <c r="M142" s="17"/>
      <c r="X142" s="3"/>
      <c r="Y142" s="3"/>
    </row>
    <row r="143" spans="2:25" x14ac:dyDescent="0.2">
      <c r="J143" s="18"/>
      <c r="K143" s="17"/>
      <c r="L143" s="17"/>
      <c r="M143" s="17"/>
      <c r="X143" s="3"/>
      <c r="Y143" s="3"/>
    </row>
    <row r="144" spans="2:25" ht="23.25" x14ac:dyDescent="0.2">
      <c r="B144" s="22"/>
      <c r="C144" s="22"/>
      <c r="D144" s="21"/>
      <c r="E144" s="21"/>
      <c r="F144" s="20"/>
      <c r="G144" s="19"/>
      <c r="H144" s="19"/>
      <c r="I144" s="19"/>
      <c r="J144" s="18"/>
      <c r="K144" s="17"/>
      <c r="L144" s="17"/>
      <c r="M144" s="17"/>
      <c r="X144" s="3"/>
      <c r="Y144" s="3"/>
    </row>
    <row r="145" spans="2:25" x14ac:dyDescent="0.2">
      <c r="B145" s="16"/>
      <c r="C145" s="16"/>
      <c r="D145" s="16"/>
      <c r="E145" s="16"/>
      <c r="F145" s="16"/>
      <c r="G145" s="16"/>
      <c r="H145" s="15"/>
      <c r="I145" s="15"/>
      <c r="J145" s="18"/>
      <c r="K145" s="17"/>
      <c r="L145" s="17"/>
      <c r="M145" s="17"/>
      <c r="X145" s="3"/>
      <c r="Y145" s="3"/>
    </row>
    <row r="146" spans="2:25" x14ac:dyDescent="0.2">
      <c r="B146" s="16"/>
      <c r="C146" s="16"/>
      <c r="D146" s="16"/>
      <c r="E146" s="16"/>
      <c r="F146" s="16"/>
      <c r="G146" s="16"/>
      <c r="H146" s="15"/>
      <c r="I146" s="15"/>
      <c r="J146" s="18"/>
      <c r="K146" s="17"/>
      <c r="L146" s="17"/>
      <c r="M146" s="17"/>
      <c r="X146" s="3"/>
      <c r="Y146" s="3"/>
    </row>
    <row r="147" spans="2:25" ht="18" x14ac:dyDescent="0.2">
      <c r="B147" s="16"/>
      <c r="C147" s="16"/>
      <c r="D147" s="16"/>
      <c r="E147" s="16"/>
      <c r="F147" s="16"/>
      <c r="G147" s="16"/>
      <c r="H147" s="15"/>
      <c r="I147" s="15"/>
      <c r="R147" s="13"/>
      <c r="S147" s="9"/>
      <c r="X147" s="3"/>
      <c r="Y147" s="3"/>
    </row>
    <row r="148" spans="2:25" ht="18" x14ac:dyDescent="0.2">
      <c r="B148" s="16"/>
      <c r="C148" s="16"/>
      <c r="D148" s="16"/>
      <c r="E148" s="16"/>
      <c r="F148" s="16"/>
      <c r="G148" s="16"/>
      <c r="H148" s="15"/>
      <c r="I148" s="15"/>
      <c r="R148" s="13"/>
      <c r="S148" s="9"/>
      <c r="X148" s="3"/>
      <c r="Y148" s="3"/>
    </row>
    <row r="149" spans="2:25" x14ac:dyDescent="0.2">
      <c r="B149" s="16"/>
      <c r="C149" s="16"/>
      <c r="D149" s="16"/>
      <c r="E149" s="16"/>
      <c r="F149" s="16"/>
      <c r="G149" s="16"/>
      <c r="H149" s="15"/>
      <c r="I149" s="15"/>
      <c r="X149" s="3"/>
      <c r="Y149" s="3"/>
    </row>
    <row r="150" spans="2:25" x14ac:dyDescent="0.2">
      <c r="B150" s="16"/>
      <c r="C150" s="16"/>
      <c r="D150" s="16"/>
      <c r="E150" s="16"/>
      <c r="F150" s="16"/>
      <c r="G150" s="16"/>
      <c r="H150" s="15"/>
      <c r="I150" s="15"/>
      <c r="X150" s="3"/>
      <c r="Y150" s="3"/>
    </row>
    <row r="151" spans="2:25" x14ac:dyDescent="0.2">
      <c r="B151" s="16"/>
      <c r="C151" s="16"/>
      <c r="D151" s="16"/>
      <c r="E151" s="16"/>
      <c r="F151" s="16"/>
      <c r="G151" s="16"/>
      <c r="H151" s="15"/>
      <c r="I151" s="15"/>
      <c r="X151" s="3"/>
      <c r="Y151" s="3"/>
    </row>
    <row r="152" spans="2:25" x14ac:dyDescent="0.2">
      <c r="B152" s="16"/>
      <c r="C152" s="16"/>
      <c r="D152" s="16"/>
      <c r="E152" s="16"/>
      <c r="F152" s="16"/>
      <c r="G152" s="16"/>
      <c r="H152" s="15"/>
      <c r="I152" s="15"/>
      <c r="X152" s="3"/>
      <c r="Y152" s="3"/>
    </row>
    <row r="153" spans="2:25" x14ac:dyDescent="0.2">
      <c r="B153" s="16"/>
      <c r="C153" s="16"/>
      <c r="D153" s="16"/>
      <c r="E153" s="16"/>
      <c r="F153" s="16"/>
      <c r="G153" s="16"/>
      <c r="H153" s="15"/>
      <c r="I153" s="15"/>
      <c r="X153" s="3"/>
      <c r="Y153" s="3"/>
    </row>
    <row r="154" spans="2:25" x14ac:dyDescent="0.2">
      <c r="B154" s="16"/>
      <c r="C154" s="16"/>
      <c r="D154" s="16"/>
      <c r="E154" s="16"/>
      <c r="F154" s="16"/>
      <c r="G154" s="16"/>
      <c r="H154" s="15"/>
      <c r="I154" s="15"/>
      <c r="X154" s="3"/>
      <c r="Y154" s="3"/>
    </row>
    <row r="155" spans="2:25" x14ac:dyDescent="0.2">
      <c r="B155" s="16"/>
      <c r="C155" s="16"/>
      <c r="D155" s="16"/>
      <c r="E155" s="16"/>
      <c r="F155" s="16"/>
      <c r="G155" s="16"/>
      <c r="H155" s="15"/>
      <c r="I155" s="15"/>
      <c r="X155" s="3"/>
      <c r="Y155" s="3"/>
    </row>
    <row r="156" spans="2:25" x14ac:dyDescent="0.2">
      <c r="B156" s="16"/>
      <c r="C156" s="16"/>
      <c r="D156" s="16"/>
      <c r="E156" s="16"/>
      <c r="F156" s="16"/>
      <c r="G156" s="16"/>
      <c r="H156" s="15"/>
      <c r="I156" s="15"/>
      <c r="X156" s="3"/>
      <c r="Y156" s="3"/>
    </row>
    <row r="157" spans="2:25" x14ac:dyDescent="0.2">
      <c r="B157" s="16"/>
      <c r="C157" s="16"/>
      <c r="D157" s="16"/>
      <c r="E157" s="16"/>
      <c r="F157" s="16"/>
      <c r="G157" s="16"/>
      <c r="H157" s="15"/>
      <c r="I157" s="15"/>
      <c r="X157" s="3"/>
      <c r="Y157" s="3"/>
    </row>
    <row r="158" spans="2:25" x14ac:dyDescent="0.2">
      <c r="B158" s="16"/>
      <c r="C158" s="16"/>
      <c r="D158" s="16"/>
      <c r="E158" s="16"/>
      <c r="F158" s="16"/>
      <c r="G158" s="16"/>
      <c r="H158" s="15"/>
      <c r="I158" s="15"/>
      <c r="X158" s="3"/>
      <c r="Y158" s="3"/>
    </row>
    <row r="159" spans="2:25" x14ac:dyDescent="0.2">
      <c r="B159" s="16"/>
      <c r="C159" s="16"/>
      <c r="D159" s="16"/>
      <c r="E159" s="16"/>
      <c r="F159" s="16"/>
      <c r="G159" s="16"/>
      <c r="H159" s="15"/>
      <c r="I159" s="15"/>
      <c r="X159" s="3"/>
      <c r="Y159" s="3"/>
    </row>
    <row r="160" spans="2:25" x14ac:dyDescent="0.2">
      <c r="B160" s="16"/>
      <c r="C160" s="16"/>
      <c r="D160" s="16"/>
      <c r="E160" s="16"/>
      <c r="F160" s="16"/>
      <c r="G160" s="16"/>
      <c r="H160" s="15"/>
      <c r="I160" s="15"/>
      <c r="X160" s="3"/>
      <c r="Y160" s="3"/>
    </row>
    <row r="161" spans="2:25" x14ac:dyDescent="0.2">
      <c r="B161" s="16"/>
      <c r="C161" s="16"/>
      <c r="D161" s="16"/>
      <c r="E161" s="16"/>
      <c r="F161" s="16"/>
      <c r="G161" s="16"/>
      <c r="H161" s="15"/>
      <c r="I161" s="15"/>
      <c r="X161" s="3"/>
      <c r="Y161" s="3"/>
    </row>
    <row r="162" spans="2:25" x14ac:dyDescent="0.2">
      <c r="B162" s="16"/>
      <c r="C162" s="16"/>
      <c r="D162" s="16"/>
      <c r="E162" s="16"/>
      <c r="F162" s="16"/>
      <c r="G162" s="16"/>
      <c r="H162" s="15"/>
      <c r="I162" s="15"/>
      <c r="X162" s="3"/>
      <c r="Y162" s="3"/>
    </row>
    <row r="163" spans="2:25" x14ac:dyDescent="0.2">
      <c r="B163" s="16"/>
      <c r="C163" s="16"/>
      <c r="D163" s="16"/>
      <c r="E163" s="16"/>
      <c r="F163" s="16"/>
      <c r="G163" s="16"/>
      <c r="H163" s="15"/>
      <c r="I163" s="15"/>
      <c r="X163" s="3"/>
      <c r="Y163" s="3"/>
    </row>
    <row r="164" spans="2:25" x14ac:dyDescent="0.2">
      <c r="B164" s="16"/>
      <c r="C164" s="16"/>
      <c r="D164" s="16"/>
      <c r="E164" s="16"/>
      <c r="F164" s="16"/>
      <c r="G164" s="16"/>
      <c r="H164" s="15"/>
      <c r="I164" s="15"/>
      <c r="X164" s="3"/>
      <c r="Y164" s="3"/>
    </row>
    <row r="165" spans="2:25" x14ac:dyDescent="0.2">
      <c r="B165" s="16"/>
      <c r="C165" s="16"/>
      <c r="D165" s="16"/>
      <c r="E165" s="16"/>
      <c r="F165" s="16"/>
      <c r="G165" s="16"/>
      <c r="H165" s="15"/>
      <c r="I165" s="15"/>
      <c r="J165" s="18"/>
      <c r="K165" s="17"/>
      <c r="L165" s="17"/>
      <c r="M165" s="17"/>
      <c r="X165" s="3"/>
      <c r="Y165" s="3"/>
    </row>
    <row r="166" spans="2:25" x14ac:dyDescent="0.2">
      <c r="X166" s="3"/>
      <c r="Y166" s="3"/>
    </row>
    <row r="167" spans="2:25" x14ac:dyDescent="0.2">
      <c r="X167" s="3"/>
      <c r="Y167" s="3"/>
    </row>
    <row r="168" spans="2:25" x14ac:dyDescent="0.2">
      <c r="X168" s="3"/>
      <c r="Y168" s="3"/>
    </row>
    <row r="169" spans="2:25" x14ac:dyDescent="0.2">
      <c r="X169" s="3"/>
      <c r="Y169" s="3"/>
    </row>
    <row r="170" spans="2:25" x14ac:dyDescent="0.2">
      <c r="X170" s="3"/>
      <c r="Y170" s="3"/>
    </row>
    <row r="171" spans="2:25" x14ac:dyDescent="0.2">
      <c r="X171" s="3"/>
      <c r="Y171" s="3"/>
    </row>
    <row r="172" spans="2:25" x14ac:dyDescent="0.2">
      <c r="X172" s="3"/>
      <c r="Y172" s="3"/>
    </row>
    <row r="173" spans="2:25" x14ac:dyDescent="0.2">
      <c r="X173" s="3"/>
      <c r="Y173" s="3"/>
    </row>
    <row r="174" spans="2:25" x14ac:dyDescent="0.2">
      <c r="X174" s="3"/>
      <c r="Y174" s="3"/>
    </row>
    <row r="175" spans="2:25" x14ac:dyDescent="0.2">
      <c r="X175" s="3"/>
      <c r="Y175" s="3"/>
    </row>
    <row r="176" spans="2:25" x14ac:dyDescent="0.2">
      <c r="X176" s="3"/>
      <c r="Y176" s="3"/>
    </row>
    <row r="177" spans="2:25" x14ac:dyDescent="0.2">
      <c r="X177" s="3"/>
      <c r="Y177" s="3"/>
    </row>
    <row r="178" spans="2:25" x14ac:dyDescent="0.2">
      <c r="X178" s="3"/>
      <c r="Y178" s="3"/>
    </row>
    <row r="179" spans="2:25" x14ac:dyDescent="0.2">
      <c r="X179" s="3"/>
      <c r="Y179" s="3"/>
    </row>
    <row r="180" spans="2:25" x14ac:dyDescent="0.2">
      <c r="X180" s="3"/>
      <c r="Y180" s="3"/>
    </row>
    <row r="181" spans="2:25" x14ac:dyDescent="0.2">
      <c r="X181" s="3"/>
      <c r="Y181" s="3"/>
    </row>
    <row r="182" spans="2:25" x14ac:dyDescent="0.2">
      <c r="X182" s="3"/>
      <c r="Y182" s="3"/>
    </row>
    <row r="183" spans="2:25" ht="18" x14ac:dyDescent="0.2">
      <c r="J183" s="9"/>
      <c r="K183" s="14"/>
      <c r="L183" s="14"/>
      <c r="M183" s="14"/>
      <c r="N183" s="13"/>
      <c r="O183" s="9"/>
      <c r="P183" s="9"/>
      <c r="Q183" s="9"/>
      <c r="R183" s="13"/>
      <c r="X183" s="3"/>
      <c r="Y183" s="3"/>
    </row>
    <row r="184" spans="2:25" ht="18" x14ac:dyDescent="0.2">
      <c r="B184" s="16"/>
      <c r="C184" s="16"/>
      <c r="D184" s="16"/>
      <c r="E184" s="16"/>
      <c r="F184" s="16"/>
      <c r="G184" s="16"/>
      <c r="H184" s="15"/>
      <c r="I184" s="15"/>
      <c r="J184" s="9"/>
      <c r="K184" s="14"/>
      <c r="L184" s="14"/>
      <c r="M184" s="14"/>
      <c r="N184" s="13"/>
      <c r="O184" s="9"/>
      <c r="P184" s="9"/>
      <c r="Q184" s="9"/>
      <c r="R184" s="13"/>
      <c r="X184" s="3"/>
      <c r="Y184" s="3"/>
    </row>
    <row r="185" spans="2:25" x14ac:dyDescent="0.2">
      <c r="X185" s="3"/>
      <c r="Y185" s="3"/>
    </row>
    <row r="186" spans="2:25" x14ac:dyDescent="0.2">
      <c r="X186" s="3"/>
      <c r="Y186" s="3"/>
    </row>
    <row r="187" spans="2:25" x14ac:dyDescent="0.2">
      <c r="X187" s="3"/>
      <c r="Y187" s="3"/>
    </row>
    <row r="188" spans="2:25" x14ac:dyDescent="0.2">
      <c r="X188" s="3"/>
      <c r="Y188" s="3"/>
    </row>
    <row r="189" spans="2:25" x14ac:dyDescent="0.2">
      <c r="X189" s="3"/>
      <c r="Y189" s="3"/>
    </row>
    <row r="190" spans="2:25" x14ac:dyDescent="0.2">
      <c r="X190" s="3"/>
      <c r="Y190" s="3"/>
    </row>
    <row r="191" spans="2:25" x14ac:dyDescent="0.2">
      <c r="X191" s="3"/>
      <c r="Y191" s="3"/>
    </row>
    <row r="192" spans="2:25" x14ac:dyDescent="0.2">
      <c r="X192" s="3"/>
      <c r="Y192" s="3"/>
    </row>
    <row r="193" spans="2:25" x14ac:dyDescent="0.2">
      <c r="X193" s="3"/>
      <c r="Y193" s="3"/>
    </row>
    <row r="194" spans="2:25" x14ac:dyDescent="0.2">
      <c r="X194" s="3"/>
      <c r="Y194" s="3"/>
    </row>
    <row r="195" spans="2:25" x14ac:dyDescent="0.2">
      <c r="X195" s="3"/>
      <c r="Y195" s="3"/>
    </row>
    <row r="196" spans="2:25" x14ac:dyDescent="0.2">
      <c r="X196" s="3"/>
      <c r="Y196" s="3"/>
    </row>
    <row r="197" spans="2:25" x14ac:dyDescent="0.2">
      <c r="X197" s="3"/>
      <c r="Y197" s="3"/>
    </row>
    <row r="198" spans="2:25" x14ac:dyDescent="0.2">
      <c r="X198" s="3"/>
      <c r="Y198" s="3"/>
    </row>
    <row r="199" spans="2:25" x14ac:dyDescent="0.2">
      <c r="X199" s="3"/>
      <c r="Y199" s="3"/>
    </row>
    <row r="200" spans="2:25" x14ac:dyDescent="0.2">
      <c r="X200" s="3"/>
      <c r="Y200" s="3"/>
    </row>
    <row r="201" spans="2:25" x14ac:dyDescent="0.2">
      <c r="X201" s="3"/>
      <c r="Y201" s="3"/>
    </row>
    <row r="202" spans="2:25" ht="18" x14ac:dyDescent="0.2">
      <c r="C202" s="12"/>
      <c r="D202" s="12"/>
      <c r="E202" s="11"/>
      <c r="F202" s="11"/>
      <c r="G202" s="10"/>
      <c r="H202" s="9"/>
      <c r="I202" s="9"/>
      <c r="X202" s="3"/>
      <c r="Y202" s="3"/>
    </row>
    <row r="203" spans="2:25" ht="18" x14ac:dyDescent="0.2">
      <c r="B203" s="12"/>
      <c r="C203" s="12"/>
      <c r="D203" s="12"/>
      <c r="E203" s="11"/>
      <c r="F203" s="11"/>
      <c r="G203" s="10"/>
      <c r="H203" s="9"/>
      <c r="I203" s="9"/>
      <c r="X203" s="3"/>
      <c r="Y203" s="3"/>
    </row>
    <row r="204" spans="2:25" x14ac:dyDescent="0.2">
      <c r="X204" s="3"/>
      <c r="Y204" s="3"/>
    </row>
    <row r="205" spans="2:25" x14ac:dyDescent="0.2">
      <c r="X205" s="3"/>
      <c r="Y205" s="3"/>
    </row>
    <row r="206" spans="2:25" x14ac:dyDescent="0.2">
      <c r="X206" s="3"/>
      <c r="Y206" s="3"/>
    </row>
    <row r="207" spans="2:25" x14ac:dyDescent="0.2">
      <c r="X207" s="3"/>
      <c r="Y207" s="3"/>
    </row>
    <row r="208" spans="2:25" x14ac:dyDescent="0.2">
      <c r="X208" s="3"/>
      <c r="Y208" s="3"/>
    </row>
    <row r="209" spans="24:25" x14ac:dyDescent="0.2">
      <c r="X209" s="3"/>
      <c r="Y209" s="3"/>
    </row>
    <row r="210" spans="24:25" x14ac:dyDescent="0.2">
      <c r="X210" s="3"/>
      <c r="Y210" s="3"/>
    </row>
    <row r="211" spans="24:25" x14ac:dyDescent="0.2">
      <c r="X211" s="3"/>
      <c r="Y211" s="3"/>
    </row>
    <row r="212" spans="24:25" x14ac:dyDescent="0.2">
      <c r="X212" s="3"/>
      <c r="Y212" s="3"/>
    </row>
    <row r="213" spans="24:25" x14ac:dyDescent="0.2">
      <c r="X213" s="3"/>
      <c r="Y213" s="3"/>
    </row>
    <row r="214" spans="24:25" x14ac:dyDescent="0.2">
      <c r="X214" s="3"/>
      <c r="Y214" s="3"/>
    </row>
    <row r="215" spans="24:25" x14ac:dyDescent="0.2">
      <c r="X215" s="3"/>
      <c r="Y215" s="3"/>
    </row>
    <row r="216" spans="24:25" x14ac:dyDescent="0.2">
      <c r="X216" s="3"/>
      <c r="Y216" s="3"/>
    </row>
    <row r="217" spans="24:25" x14ac:dyDescent="0.2">
      <c r="X217" s="3"/>
      <c r="Y217" s="3"/>
    </row>
    <row r="218" spans="24:25" x14ac:dyDescent="0.2">
      <c r="X218" s="3"/>
      <c r="Y218" s="3"/>
    </row>
    <row r="219" spans="24:25" x14ac:dyDescent="0.2">
      <c r="X219" s="3"/>
      <c r="Y219" s="3"/>
    </row>
    <row r="220" spans="24:25" x14ac:dyDescent="0.2">
      <c r="X220" s="3"/>
      <c r="Y220" s="3"/>
    </row>
    <row r="221" spans="24:25" x14ac:dyDescent="0.2">
      <c r="X221" s="3"/>
      <c r="Y221" s="3"/>
    </row>
    <row r="222" spans="24:25" x14ac:dyDescent="0.2">
      <c r="X222" s="3"/>
      <c r="Y222" s="3"/>
    </row>
    <row r="223" spans="24:25" x14ac:dyDescent="0.2">
      <c r="X223" s="3"/>
      <c r="Y223" s="3"/>
    </row>
    <row r="224" spans="24:25" x14ac:dyDescent="0.2">
      <c r="X224" s="3"/>
      <c r="Y224" s="3"/>
    </row>
    <row r="225" spans="24:25" x14ac:dyDescent="0.2">
      <c r="X225" s="3"/>
      <c r="Y225" s="3"/>
    </row>
    <row r="226" spans="24:25" x14ac:dyDescent="0.2">
      <c r="X226" s="3"/>
      <c r="Y226" s="3"/>
    </row>
    <row r="227" spans="24:25" x14ac:dyDescent="0.2">
      <c r="X227" s="3"/>
      <c r="Y227" s="3"/>
    </row>
    <row r="228" spans="24:25" x14ac:dyDescent="0.2">
      <c r="X228" s="3"/>
      <c r="Y228" s="3"/>
    </row>
    <row r="229" spans="24:25" x14ac:dyDescent="0.2">
      <c r="X229" s="3"/>
      <c r="Y229" s="3"/>
    </row>
    <row r="230" spans="24:25" x14ac:dyDescent="0.2">
      <c r="X230" s="3"/>
      <c r="Y230" s="3"/>
    </row>
    <row r="231" spans="24:25" x14ac:dyDescent="0.2">
      <c r="X231" s="3"/>
      <c r="Y231" s="3"/>
    </row>
    <row r="232" spans="24:25" x14ac:dyDescent="0.2">
      <c r="X232" s="3"/>
      <c r="Y232" s="3"/>
    </row>
    <row r="233" spans="24:25" x14ac:dyDescent="0.2">
      <c r="X233" s="3"/>
      <c r="Y233" s="3"/>
    </row>
    <row r="234" spans="24:25" x14ac:dyDescent="0.2">
      <c r="X234" s="3"/>
      <c r="Y234" s="3"/>
    </row>
    <row r="235" spans="24:25" x14ac:dyDescent="0.2">
      <c r="X235" s="3"/>
      <c r="Y235" s="3"/>
    </row>
    <row r="236" spans="24:25" x14ac:dyDescent="0.2">
      <c r="X236" s="3"/>
      <c r="Y236" s="3"/>
    </row>
    <row r="237" spans="24:25" x14ac:dyDescent="0.2">
      <c r="X237" s="3"/>
      <c r="Y237" s="3"/>
    </row>
    <row r="238" spans="24:25" x14ac:dyDescent="0.2">
      <c r="X238" s="3"/>
      <c r="Y238" s="3"/>
    </row>
    <row r="239" spans="24:25" x14ac:dyDescent="0.2">
      <c r="X239" s="3"/>
      <c r="Y239" s="3"/>
    </row>
    <row r="240" spans="24:25" x14ac:dyDescent="0.2">
      <c r="X240" s="3"/>
      <c r="Y240" s="3"/>
    </row>
    <row r="241" spans="24:25" x14ac:dyDescent="0.2">
      <c r="X241" s="3"/>
      <c r="Y241" s="3"/>
    </row>
    <row r="242" spans="24:25" x14ac:dyDescent="0.2">
      <c r="X242" s="3"/>
      <c r="Y242" s="3"/>
    </row>
    <row r="243" spans="24:25" x14ac:dyDescent="0.2">
      <c r="X243" s="3"/>
      <c r="Y243" s="3"/>
    </row>
    <row r="244" spans="24:25" x14ac:dyDescent="0.2">
      <c r="X244" s="3"/>
      <c r="Y244" s="3"/>
    </row>
    <row r="245" spans="24:25" x14ac:dyDescent="0.2">
      <c r="X245" s="3"/>
      <c r="Y245" s="3"/>
    </row>
    <row r="246" spans="24:25" x14ac:dyDescent="0.2">
      <c r="X246" s="3"/>
      <c r="Y246" s="3"/>
    </row>
    <row r="247" spans="24:25" x14ac:dyDescent="0.2">
      <c r="X247" s="3"/>
      <c r="Y247" s="3"/>
    </row>
    <row r="248" spans="24:25" x14ac:dyDescent="0.2">
      <c r="X248" s="3"/>
      <c r="Y248" s="3"/>
    </row>
    <row r="249" spans="24:25" x14ac:dyDescent="0.2">
      <c r="X249" s="3"/>
      <c r="Y249" s="3"/>
    </row>
    <row r="250" spans="24:25" x14ac:dyDescent="0.2">
      <c r="X250" s="3"/>
      <c r="Y250" s="3"/>
    </row>
    <row r="251" spans="24:25" x14ac:dyDescent="0.2">
      <c r="X251" s="3"/>
      <c r="Y251" s="3"/>
    </row>
    <row r="252" spans="24:25" x14ac:dyDescent="0.2">
      <c r="X252" s="3"/>
      <c r="Y252" s="3"/>
    </row>
    <row r="253" spans="24:25" x14ac:dyDescent="0.2">
      <c r="X253" s="3"/>
      <c r="Y253" s="3"/>
    </row>
    <row r="254" spans="24:25" x14ac:dyDescent="0.2">
      <c r="X254" s="3"/>
      <c r="Y254" s="3"/>
    </row>
    <row r="255" spans="24:25" x14ac:dyDescent="0.2">
      <c r="X255" s="3"/>
      <c r="Y255" s="3"/>
    </row>
    <row r="256" spans="24:25" x14ac:dyDescent="0.2">
      <c r="X256" s="3"/>
      <c r="Y256" s="3"/>
    </row>
    <row r="257" spans="24:25" x14ac:dyDescent="0.2">
      <c r="X257" s="3"/>
      <c r="Y257" s="3"/>
    </row>
    <row r="258" spans="24:25" x14ac:dyDescent="0.2">
      <c r="X258" s="3"/>
      <c r="Y258" s="3"/>
    </row>
    <row r="259" spans="24:25" x14ac:dyDescent="0.2">
      <c r="X259" s="3"/>
      <c r="Y259" s="3"/>
    </row>
    <row r="260" spans="24:25" x14ac:dyDescent="0.2">
      <c r="X260" s="3"/>
      <c r="Y260" s="3"/>
    </row>
    <row r="261" spans="24:25" x14ac:dyDescent="0.2">
      <c r="X261" s="3"/>
      <c r="Y261" s="3"/>
    </row>
    <row r="262" spans="24:25" x14ac:dyDescent="0.2">
      <c r="X262" s="3"/>
      <c r="Y262" s="3"/>
    </row>
    <row r="263" spans="24:25" x14ac:dyDescent="0.2">
      <c r="X263" s="3"/>
      <c r="Y263" s="3"/>
    </row>
    <row r="264" spans="24:25" x14ac:dyDescent="0.2">
      <c r="X264" s="3"/>
      <c r="Y264" s="3"/>
    </row>
    <row r="265" spans="24:25" x14ac:dyDescent="0.2">
      <c r="X265" s="3"/>
      <c r="Y265" s="3"/>
    </row>
    <row r="266" spans="24:25" x14ac:dyDescent="0.2">
      <c r="X266" s="3"/>
      <c r="Y266" s="3"/>
    </row>
    <row r="267" spans="24:25" x14ac:dyDescent="0.2">
      <c r="X267" s="3"/>
      <c r="Y267" s="3"/>
    </row>
    <row r="268" spans="24:25" x14ac:dyDescent="0.2">
      <c r="X268" s="3"/>
      <c r="Y268" s="3"/>
    </row>
    <row r="269" spans="24:25" x14ac:dyDescent="0.2">
      <c r="X269" s="3"/>
      <c r="Y269" s="3"/>
    </row>
  </sheetData>
  <mergeCells count="7">
    <mergeCell ref="AD6:AO6"/>
    <mergeCell ref="R65:S65"/>
    <mergeCell ref="G71:G72"/>
    <mergeCell ref="B71:B72"/>
    <mergeCell ref="O2:S2"/>
    <mergeCell ref="T6:W6"/>
    <mergeCell ref="X6:AC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verticalDpi="4294967295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2019</vt:lpstr>
      <vt:lpstr>'PLANTILLA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</dc:creator>
  <cp:lastModifiedBy>DIRECCION ADMIN</cp:lastModifiedBy>
  <cp:lastPrinted>2019-02-12T17:05:10Z</cp:lastPrinted>
  <dcterms:created xsi:type="dcterms:W3CDTF">2019-02-11T23:14:56Z</dcterms:created>
  <dcterms:modified xsi:type="dcterms:W3CDTF">2019-02-12T17:52:49Z</dcterms:modified>
</cp:coreProperties>
</file>