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W34" i="1"/>
  <c r="S13"/>
  <c r="B40"/>
  <c r="AG39"/>
  <c r="AC39"/>
  <c r="AB39"/>
  <c r="AB40"/>
  <c r="T39"/>
  <c r="T44"/>
  <c r="S38"/>
  <c r="S23"/>
  <c r="V37"/>
  <c r="U37"/>
  <c r="S37"/>
  <c r="AH37"/>
  <c r="AH33"/>
  <c r="AF33"/>
  <c r="AE33"/>
  <c r="AD33"/>
  <c r="AA33"/>
  <c r="Y33"/>
  <c r="X33"/>
  <c r="AH36"/>
  <c r="AF36"/>
  <c r="AE36"/>
  <c r="AD36"/>
  <c r="AA36"/>
  <c r="Z39"/>
  <c r="Z40"/>
  <c r="Y36"/>
  <c r="X36"/>
  <c r="V35"/>
  <c r="U35"/>
  <c r="S35"/>
  <c r="V18"/>
  <c r="U18"/>
  <c r="S18"/>
  <c r="AH18"/>
  <c r="V22"/>
  <c r="U22"/>
  <c r="S22"/>
  <c r="AH22"/>
  <c r="V34"/>
  <c r="U34"/>
  <c r="S34"/>
  <c r="AH34"/>
  <c r="V32"/>
  <c r="U32"/>
  <c r="S32"/>
  <c r="W31"/>
  <c r="V31"/>
  <c r="U31"/>
  <c r="S31"/>
  <c r="AH31"/>
  <c r="S30"/>
  <c r="AE30"/>
  <c r="W29"/>
  <c r="V29"/>
  <c r="U29"/>
  <c r="S29"/>
  <c r="AH29"/>
  <c r="W28"/>
  <c r="V28"/>
  <c r="U28"/>
  <c r="S28"/>
  <c r="AH28"/>
  <c r="W26"/>
  <c r="V26"/>
  <c r="U26"/>
  <c r="S26"/>
  <c r="AH26"/>
  <c r="W25"/>
  <c r="V25"/>
  <c r="U25"/>
  <c r="S25"/>
  <c r="AH25"/>
  <c r="W24"/>
  <c r="V24"/>
  <c r="U24"/>
  <c r="S24"/>
  <c r="AH24"/>
  <c r="V20"/>
  <c r="U20"/>
  <c r="S20"/>
  <c r="W17"/>
  <c r="V17"/>
  <c r="U17"/>
  <c r="S17"/>
  <c r="AH17"/>
  <c r="W16"/>
  <c r="V16"/>
  <c r="U16"/>
  <c r="S16"/>
  <c r="AH16"/>
  <c r="S15"/>
  <c r="AH15"/>
  <c r="W14"/>
  <c r="V14"/>
  <c r="U14"/>
  <c r="S14"/>
  <c r="V27"/>
  <c r="U27"/>
  <c r="S27"/>
  <c r="AH27"/>
  <c r="V21"/>
  <c r="U21"/>
  <c r="S21"/>
  <c r="AH21"/>
  <c r="V19"/>
  <c r="U19"/>
  <c r="S19"/>
  <c r="V13"/>
  <c r="U13"/>
  <c r="AE13"/>
  <c r="W12"/>
  <c r="V12"/>
  <c r="U12"/>
  <c r="S12"/>
  <c r="AH12"/>
  <c r="W11"/>
  <c r="V11"/>
  <c r="U11"/>
  <c r="S11"/>
  <c r="AH11"/>
  <c r="W10"/>
  <c r="V10"/>
  <c r="U10"/>
  <c r="S10"/>
  <c r="AH10"/>
  <c r="V9"/>
  <c r="U9"/>
  <c r="S9"/>
  <c r="V8"/>
  <c r="U8"/>
  <c r="S8"/>
  <c r="AH8"/>
  <c r="W7"/>
  <c r="V7"/>
  <c r="U7"/>
  <c r="S7"/>
  <c r="AH14"/>
  <c r="X15"/>
  <c r="AE8"/>
  <c r="AD27"/>
  <c r="U39"/>
  <c r="U44"/>
  <c r="W39"/>
  <c r="W44"/>
  <c r="X8"/>
  <c r="AD12"/>
  <c r="AE15"/>
  <c r="AD24"/>
  <c r="AD29"/>
  <c r="X22"/>
  <c r="X18"/>
  <c r="X37"/>
  <c r="AD10"/>
  <c r="AD26"/>
  <c r="AE22"/>
  <c r="AE18"/>
  <c r="AE37"/>
  <c r="Y11"/>
  <c r="AF11"/>
  <c r="AA13"/>
  <c r="AH13"/>
  <c r="Y21"/>
  <c r="AF21"/>
  <c r="Y14"/>
  <c r="AF14"/>
  <c r="Y25"/>
  <c r="AF25"/>
  <c r="Y28"/>
  <c r="AF28"/>
  <c r="AA30"/>
  <c r="AH30"/>
  <c r="Y34"/>
  <c r="AF34"/>
  <c r="V39"/>
  <c r="V44"/>
  <c r="AA8"/>
  <c r="Y10"/>
  <c r="AF10"/>
  <c r="AD11"/>
  <c r="Y12"/>
  <c r="AF12"/>
  <c r="X13"/>
  <c r="AD21"/>
  <c r="Y27"/>
  <c r="AF27"/>
  <c r="AD14"/>
  <c r="AA15"/>
  <c r="Y24"/>
  <c r="AF24"/>
  <c r="AD25"/>
  <c r="Y26"/>
  <c r="AF26"/>
  <c r="AD28"/>
  <c r="Y29"/>
  <c r="AF29"/>
  <c r="X30"/>
  <c r="AD34"/>
  <c r="AA22"/>
  <c r="AA18"/>
  <c r="AI36"/>
  <c r="AI33"/>
  <c r="AA37"/>
  <c r="Z44"/>
  <c r="Y7"/>
  <c r="AD7"/>
  <c r="AF7"/>
  <c r="Y8"/>
  <c r="AD8"/>
  <c r="AF8"/>
  <c r="X9"/>
  <c r="AA9"/>
  <c r="AE9"/>
  <c r="AH9"/>
  <c r="X10"/>
  <c r="AA10"/>
  <c r="AE10"/>
  <c r="X11"/>
  <c r="AA11"/>
  <c r="AE11"/>
  <c r="X12"/>
  <c r="AA12"/>
  <c r="AE12"/>
  <c r="Y13"/>
  <c r="AD13"/>
  <c r="AF13"/>
  <c r="X19"/>
  <c r="AA19"/>
  <c r="AE19"/>
  <c r="AH19"/>
  <c r="X21"/>
  <c r="AA21"/>
  <c r="AE21"/>
  <c r="X27"/>
  <c r="AA27"/>
  <c r="AE27"/>
  <c r="X14"/>
  <c r="AA14"/>
  <c r="AE14"/>
  <c r="Y15"/>
  <c r="AD15"/>
  <c r="AF15"/>
  <c r="Y16"/>
  <c r="AD16"/>
  <c r="AF16"/>
  <c r="Y17"/>
  <c r="AD17"/>
  <c r="AF17"/>
  <c r="X20"/>
  <c r="AA20"/>
  <c r="AE20"/>
  <c r="AH20"/>
  <c r="X24"/>
  <c r="AA24"/>
  <c r="AE24"/>
  <c r="X25"/>
  <c r="AA25"/>
  <c r="AE25"/>
  <c r="X26"/>
  <c r="AA26"/>
  <c r="AE26"/>
  <c r="X28"/>
  <c r="AA28"/>
  <c r="AE28"/>
  <c r="X29"/>
  <c r="AA29"/>
  <c r="AE29"/>
  <c r="Y30"/>
  <c r="AD30"/>
  <c r="AF30"/>
  <c r="Y31"/>
  <c r="AD31"/>
  <c r="AF31"/>
  <c r="X32"/>
  <c r="AA32"/>
  <c r="AE32"/>
  <c r="AH32"/>
  <c r="X34"/>
  <c r="AA34"/>
  <c r="AE34"/>
  <c r="Y22"/>
  <c r="AD22"/>
  <c r="AF22"/>
  <c r="Y18"/>
  <c r="AD18"/>
  <c r="AF18"/>
  <c r="X35"/>
  <c r="AA35"/>
  <c r="AE35"/>
  <c r="AH35"/>
  <c r="Y37"/>
  <c r="AD37"/>
  <c r="AF37"/>
  <c r="X23"/>
  <c r="AA23"/>
  <c r="AE23"/>
  <c r="AH23"/>
  <c r="X38"/>
  <c r="AA38"/>
  <c r="AE38"/>
  <c r="AH38"/>
  <c r="S39"/>
  <c r="S44"/>
  <c r="X7"/>
  <c r="AA7"/>
  <c r="AE7"/>
  <c r="AH7"/>
  <c r="Y9"/>
  <c r="AD9"/>
  <c r="AF9"/>
  <c r="Y19"/>
  <c r="AD19"/>
  <c r="AF19"/>
  <c r="X16"/>
  <c r="AA16"/>
  <c r="AE16"/>
  <c r="X17"/>
  <c r="AA17"/>
  <c r="AE17"/>
  <c r="Y20"/>
  <c r="AD20"/>
  <c r="AF20"/>
  <c r="X31"/>
  <c r="AA31"/>
  <c r="AE31"/>
  <c r="Y32"/>
  <c r="AD32"/>
  <c r="AF32"/>
  <c r="Y35"/>
  <c r="AD35"/>
  <c r="AF35"/>
  <c r="Y23"/>
  <c r="AD23"/>
  <c r="AF23"/>
  <c r="Y38"/>
  <c r="AD38"/>
  <c r="AF38"/>
  <c r="AI14"/>
  <c r="AH39"/>
  <c r="AI17"/>
  <c r="AI31"/>
  <c r="AI16"/>
  <c r="AI37"/>
  <c r="AI35"/>
  <c r="AI22"/>
  <c r="AI29"/>
  <c r="AI26"/>
  <c r="AI24"/>
  <c r="AI20"/>
  <c r="AI21"/>
  <c r="AI19"/>
  <c r="AI12"/>
  <c r="AI10"/>
  <c r="AI9"/>
  <c r="AI38"/>
  <c r="AI23"/>
  <c r="AI18"/>
  <c r="AI34"/>
  <c r="AI32"/>
  <c r="AI30"/>
  <c r="AI28"/>
  <c r="AI25"/>
  <c r="AI15"/>
  <c r="AI27"/>
  <c r="AI13"/>
  <c r="AI11"/>
  <c r="AI8"/>
  <c r="AA39"/>
  <c r="AE39"/>
  <c r="X39"/>
  <c r="AF39"/>
  <c r="Y39"/>
  <c r="AI7"/>
  <c r="AD39"/>
  <c r="AI39"/>
  <c r="Y40"/>
  <c r="Y44"/>
  <c r="X40"/>
  <c r="X44"/>
  <c r="AA40"/>
  <c r="AA44"/>
</calcChain>
</file>

<file path=xl/sharedStrings.xml><?xml version="1.0" encoding="utf-8"?>
<sst xmlns="http://schemas.openxmlformats.org/spreadsheetml/2006/main" count="390" uniqueCount="185">
  <si>
    <t>FORMATO PARA EL VACIADO DE LA PLANTILLA DE PERSONAL DE LOS ORGANISMOS PÚBLICOS</t>
  </si>
  <si>
    <t>ORGANISMO:</t>
  </si>
  <si>
    <t>INDUSTRIA JALISCIENSE DE REAHABILITACION SOCIAL</t>
  </si>
  <si>
    <t>DEPENDENCIA CABEZA DE SECTOR</t>
  </si>
  <si>
    <t>FISCALIA GENERAL DE GOBIERNO</t>
  </si>
  <si>
    <t>SIGLAS:</t>
  </si>
  <si>
    <t>INJALRESO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</si>
  <si>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</si>
  <si>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</si>
  <si>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</si>
  <si>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</si>
  <si>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</si>
  <si>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</si>
  <si>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</si>
  <si>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</si>
  <si>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</si>
  <si>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</si>
  <si>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</si>
  <si>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</si>
  <si>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</si>
  <si>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</si>
  <si>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</si>
  <si>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</si>
  <si>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</si>
  <si>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</si>
  <si>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</si>
  <si>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</si>
  <si>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</si>
  <si>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</si>
  <si>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</si>
  <si>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</si>
  <si>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</si>
  <si>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</si>
  <si>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</si>
  <si>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</si>
  <si>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</si>
  <si>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</si>
  <si>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</si>
  <si>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</si>
  <si>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</si>
  <si>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</si>
  <si>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</si>
  <si>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</si>
  <si>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03</t>
  </si>
  <si>
    <t>00065</t>
  </si>
  <si>
    <t>ALVARADO HERNANDEZ SANDRA</t>
  </si>
  <si>
    <t>AAHS850418RD2</t>
  </si>
  <si>
    <t>FEMENINO</t>
  </si>
  <si>
    <t>C</t>
  </si>
  <si>
    <t>AUXILIAR TIENDA</t>
  </si>
  <si>
    <t>VENTAS</t>
  </si>
  <si>
    <t>ARMENTA BARRAGAN TANIA</t>
  </si>
  <si>
    <t>AEBT8708043TA</t>
  </si>
  <si>
    <t>GONZALEZ AGUILA MARIA DE LOS ANGELES</t>
  </si>
  <si>
    <t>GOAA771216FI2</t>
  </si>
  <si>
    <t>DIRECTOR JURÍDICO</t>
  </si>
  <si>
    <t>JURIDICO</t>
  </si>
  <si>
    <t>BECERRA PÉREZ JOSÉ LUIS</t>
  </si>
  <si>
    <t>BEPL7711181S8</t>
  </si>
  <si>
    <t>MASCULINO</t>
  </si>
  <si>
    <t>INSTRUCTOR EXTERNO B</t>
  </si>
  <si>
    <t>OPERATIVO</t>
  </si>
  <si>
    <t>BERMUDEZ GARCIA JOSÉ ANTONIO</t>
  </si>
  <si>
    <t>BEGA810123KZ9</t>
  </si>
  <si>
    <t>INSTRUCTOR EXTERNO C</t>
  </si>
  <si>
    <t>CAMACHO AGUILARES MARÍA DE JESÚS</t>
  </si>
  <si>
    <t>CAAJ630930AB6</t>
  </si>
  <si>
    <t>ARMENTA LUGO LUZ DEL CARMEN</t>
  </si>
  <si>
    <t>AELL8002074F9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</si>
  <si>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</si>
  <si>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</si>
  <si>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</si>
  <si>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</si>
  <si>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</si>
  <si>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</si>
  <si>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</si>
  <si>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CUPI7311183P7</t>
  </si>
  <si>
    <t>SECRETARIO DEL ORGANISMO</t>
  </si>
  <si>
    <t>GONZÁLEZ INFANTE CARLOS MARIO</t>
  </si>
  <si>
    <t>GOIC500810AV5</t>
  </si>
  <si>
    <t>SUPERVISOR GENERAL RPEJ</t>
  </si>
  <si>
    <t>GONZÁLEZ REYES MARCOS EDUARDO</t>
  </si>
  <si>
    <t>GORM800320EZ4</t>
  </si>
  <si>
    <t>SUPERVISOR GENERAL C.R.S.</t>
  </si>
  <si>
    <t>LÓPEZ ROMO MARIANNA</t>
  </si>
  <si>
    <t>LORM851203</t>
  </si>
  <si>
    <t>MONTIEL TORRES AYERIM MAGDALENA</t>
  </si>
  <si>
    <t>MOTA8607179Y1</t>
  </si>
  <si>
    <t>AUXILIAR DE NOMINA</t>
  </si>
  <si>
    <t>PALOMAR NAVA ANA MARÍA</t>
  </si>
  <si>
    <t>PANA591109JQ1</t>
  </si>
  <si>
    <t>ENCARGADO DE ÁREA C</t>
  </si>
  <si>
    <t>PARTIDA TERRIQUEZ RICARDO</t>
  </si>
  <si>
    <t>PATR780102D81</t>
  </si>
  <si>
    <t>AUXILIAR LOGISTICO</t>
  </si>
  <si>
    <t>PICAZO VILLEGAS SARA</t>
  </si>
  <si>
    <t>PIVS6312203F0</t>
  </si>
  <si>
    <t>REYES GARCÍA IRENE</t>
  </si>
  <si>
    <t>REGI640704AS2</t>
  </si>
  <si>
    <t>RIVERA GIL EDITH</t>
  </si>
  <si>
    <t>RIGE730921528</t>
  </si>
  <si>
    <t>DIRECTOR GENERAL</t>
  </si>
  <si>
    <t>DIRECCION GENERAL</t>
  </si>
  <si>
    <t xml:space="preserve">ROBLES SÁNCHEZ PEDRO ALEJANDRO </t>
  </si>
  <si>
    <t>ROSP810515</t>
  </si>
  <si>
    <t>GONZÁLEZ RAMÍREZ RODOLFO</t>
  </si>
  <si>
    <t>COORDINADOR FINANCIERO</t>
  </si>
  <si>
    <t>SOLÍS SÁNCHEZ ALBERTO</t>
  </si>
  <si>
    <t>SOSA530928D84</t>
  </si>
  <si>
    <t>IÑIGUEZ LOMELÍ GRISELDA</t>
  </si>
  <si>
    <t>OONM6902225A9</t>
  </si>
  <si>
    <t>COORDINADOR OPERATIVO</t>
  </si>
  <si>
    <t xml:space="preserve">ADAME GONZALEZ MARÍA DOMITILA </t>
  </si>
  <si>
    <t>AAGD5912134C3</t>
  </si>
  <si>
    <t>CONTADOR GENERAL</t>
  </si>
  <si>
    <t>IÑIGUEZ OCAMPO MARTHA GABRIELA</t>
  </si>
  <si>
    <t>IIOM710413646</t>
  </si>
  <si>
    <t>ANALISTA FINANCIERO</t>
  </si>
  <si>
    <t>COORDINADOR REGIONAL</t>
  </si>
  <si>
    <t>SUPERVISOR DE SECCION</t>
  </si>
  <si>
    <t>RODRIGUEZ HERNANDEZ LOURDES</t>
  </si>
  <si>
    <t>ROHL641202S55</t>
  </si>
  <si>
    <t>CONGELADA (DEMANDA LABORAL)</t>
  </si>
  <si>
    <t>Total de plazas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</si>
  <si>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</si>
  <si>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</si>
  <si>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</si>
  <si>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</si>
  <si>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</si>
  <si>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</si>
  <si>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</si>
  <si>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</si>
  <si>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</si>
  <si>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</si>
  <si>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</si>
  <si>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</si>
  <si>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</si>
  <si>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</si>
  <si>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</si>
  <si>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</si>
  <si>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</si>
  <si>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</si>
  <si>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</si>
  <si>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</si>
  <si>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</si>
  <si>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</si>
  <si>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</si>
  <si>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</si>
  <si>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</si>
  <si>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</si>
  <si>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</si>
  <si>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</si>
  <si>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</si>
  <si>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</si>
  <si>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</si>
  <si>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</si>
  <si>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</si>
  <si>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</si>
  <si>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</si>
  <si>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</si>
  <si>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</si>
  <si>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</si>
  <si>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</si>
  <si>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</si>
  <si>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</si>
  <si>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</si>
  <si>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</si>
  <si>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</si>
  <si>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</si>
  <si>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</si>
  <si>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</si>
  <si>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</si>
  <si>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</si>
  <si>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</si>
  <si>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</si>
  <si>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CAOR781119S87</t>
  </si>
  <si>
    <t>CALVARIO OSIO ROSA VERONICA</t>
  </si>
  <si>
    <t>AABS800901L63</t>
  </si>
  <si>
    <t>ALVAREZ BARRAZA SOFIA IRENE</t>
  </si>
  <si>
    <t>OLIVARES CAMACHO CESAR OMAR</t>
  </si>
  <si>
    <t>OICC930820TV1</t>
  </si>
  <si>
    <t>VALENCIA GONZÁLEZ ALBERTO</t>
  </si>
  <si>
    <t>VAGA7504089</t>
  </si>
  <si>
    <t>GORR750917BY8</t>
  </si>
  <si>
    <t>PLANTILLA EJERCICIO 2017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</si>
</sst>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11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18"/>
      <name val="Arial"/>
      <family val="2"/>
    </font>
    <font>
      <sz val="8"/>
      <name val="Antique Olive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textRotation="180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5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8" xfId="2" quotePrefix="1" applyFont="1" applyFill="1" applyBorder="1" applyAlignment="1">
      <alignment horizontal="center" vertical="center"/>
    </xf>
    <xf numFmtId="0" fontId="9" fillId="0" borderId="8" xfId="2" quotePrefix="1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14" fontId="9" fillId="0" borderId="8" xfId="3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vertical="center"/>
    </xf>
    <xf numFmtId="165" fontId="12" fillId="3" borderId="16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4" fontId="9" fillId="0" borderId="8" xfId="2" applyNumberFormat="1" applyFont="1" applyFill="1" applyBorder="1" applyAlignment="1">
      <alignment horizontal="center" vertical="center"/>
    </xf>
    <xf numFmtId="14" fontId="9" fillId="0" borderId="8" xfId="4" applyNumberFormat="1" applyFont="1" applyFill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right" vertical="center"/>
    </xf>
    <xf numFmtId="14" fontId="9" fillId="0" borderId="8" xfId="4" applyNumberFormat="1" applyFont="1" applyFill="1" applyBorder="1" applyAlignment="1">
      <alignment horizontal="center" vertical="center" wrapText="1"/>
    </xf>
    <xf numFmtId="14" fontId="9" fillId="0" borderId="8" xfId="2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9" fillId="0" borderId="10" xfId="3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168" fontId="2" fillId="0" borderId="8" xfId="1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8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0" xfId="2" quotePrefix="1" applyFont="1" applyFill="1" applyBorder="1" applyAlignment="1">
      <alignment horizontal="center" vertical="center"/>
    </xf>
    <xf numFmtId="0" fontId="9" fillId="0" borderId="10" xfId="2" quotePrefix="1" applyNumberFormat="1" applyFont="1" applyFill="1" applyBorder="1" applyAlignment="1">
      <alignment horizontal="center" vertical="center"/>
    </xf>
    <xf numFmtId="0" fontId="9" fillId="0" borderId="10" xfId="2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_~9885111" xfId="2"/>
    <cellStyle name="Normal_Formato de Plantilla Organismos 2004" xfId="4"/>
    <cellStyle name="Normal_Formatos PPP 2004 INJALRESO PROCES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topLeftCell="M1" workbookViewId="0">
      <selection activeCell="M3" sqref="M3"/>
    </sheetView>
  </sheetViews>
  <sheetFormatPr baseColWidth="10" defaultColWidth="9.140625" defaultRowHeight="12.7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6" customWidth="1"/>
    <col min="8" max="8" width="7.140625" style="9" customWidth="1"/>
    <col min="9" max="9" width="36.7109375" style="1" bestFit="1" customWidth="1"/>
    <col min="10" max="10" width="19.5703125" style="1" customWidth="1"/>
    <col min="11" max="11" width="3.7109375" style="1" customWidth="1"/>
    <col min="12" max="12" width="10.7109375" style="1" bestFit="1" customWidth="1"/>
    <col min="13" max="13" width="3" style="3" bestFit="1" customWidth="1"/>
    <col min="14" max="14" width="3" style="3" customWidth="1"/>
    <col min="15" max="15" width="11" style="3" customWidth="1"/>
    <col min="16" max="16" width="23.28515625" style="1" customWidth="1"/>
    <col min="17" max="18" width="16.7109375" style="1" customWidth="1"/>
    <col min="19" max="19" width="11.85546875" style="3" customWidth="1"/>
    <col min="20" max="20" width="9" style="9" bestFit="1" customWidth="1"/>
    <col min="21" max="21" width="10.85546875" style="9" bestFit="1" customWidth="1"/>
    <col min="22" max="22" width="12.140625" style="9" bestFit="1" customWidth="1"/>
    <col min="23" max="23" width="10.85546875" style="9" bestFit="1" customWidth="1"/>
    <col min="24" max="26" width="11.5703125" style="9" bestFit="1" customWidth="1"/>
    <col min="27" max="27" width="12.5703125" style="1" bestFit="1" customWidth="1"/>
    <col min="28" max="29" width="8" style="1" bestFit="1" customWidth="1"/>
    <col min="30" max="30" width="13.28515625" style="1" bestFit="1" customWidth="1"/>
    <col min="31" max="31" width="11.85546875" style="1" bestFit="1" customWidth="1"/>
    <col min="32" max="32" width="16.42578125" style="1" customWidth="1"/>
    <col min="33" max="33" width="16" style="1" customWidth="1"/>
    <col min="34" max="34" width="14.7109375" style="1" customWidth="1"/>
    <col min="35" max="35" width="14.42578125" style="2" bestFit="1" customWidth="1"/>
    <col min="36" max="36" width="12.28515625" style="1" bestFit="1" customWidth="1"/>
    <col min="37" max="38" width="10.7109375" style="1" bestFit="1" customWidth="1"/>
    <col min="39" max="16384" width="9.140625" style="1"/>
  </cols>
  <sheetData>
    <row r="1" spans="1:35" ht="23.25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5" ht="24" customHeight="1">
      <c r="B2" s="2" t="s">
        <v>1</v>
      </c>
      <c r="C2" s="2"/>
      <c r="F2" s="4" t="s">
        <v>2</v>
      </c>
      <c r="G2" s="5"/>
      <c r="H2" s="95"/>
      <c r="I2" s="6"/>
      <c r="J2" s="7"/>
      <c r="K2" s="7"/>
      <c r="L2" s="7"/>
      <c r="M2" s="8"/>
      <c r="N2" s="8"/>
      <c r="O2" s="8"/>
    </row>
    <row r="3" spans="1:35" ht="24" customHeight="1">
      <c r="B3" s="2" t="s">
        <v>3</v>
      </c>
      <c r="C3" s="2"/>
      <c r="F3" s="10"/>
      <c r="G3" s="5"/>
      <c r="H3" s="95" t="s">
        <v>4</v>
      </c>
      <c r="I3" s="6"/>
      <c r="J3" s="7"/>
      <c r="K3" s="7"/>
      <c r="L3" s="7"/>
      <c r="M3" s="8"/>
      <c r="N3" s="8"/>
      <c r="O3" s="8"/>
    </row>
    <row r="4" spans="1:35" ht="24" customHeight="1">
      <c r="B4" s="11" t="s">
        <v>5</v>
      </c>
      <c r="C4" s="12"/>
      <c r="E4" s="13"/>
      <c r="F4" s="14"/>
      <c r="G4" s="14"/>
      <c r="H4" s="14" t="s">
        <v>6</v>
      </c>
      <c r="I4" s="15"/>
    </row>
    <row r="5" spans="1:35" ht="87.75" customHeight="1" thickBot="1">
      <c r="J5" s="2" t="s">
        <v>184</v>
      </c>
      <c r="K5" s="2"/>
      <c r="L5" s="2"/>
      <c r="S5" s="105" t="s">
        <v>7</v>
      </c>
      <c r="T5" s="106"/>
      <c r="U5" s="106"/>
      <c r="V5" s="106"/>
      <c r="W5" s="107"/>
      <c r="X5" s="108" t="s">
        <v>8</v>
      </c>
      <c r="Y5" s="109"/>
      <c r="Z5" s="109"/>
      <c r="AA5" s="109"/>
      <c r="AB5" s="110"/>
      <c r="AC5" s="108" t="s">
        <v>9</v>
      </c>
      <c r="AD5" s="111"/>
      <c r="AE5" s="112" t="s">
        <v>10</v>
      </c>
      <c r="AF5" s="113"/>
      <c r="AG5" s="113"/>
      <c r="AH5" s="113"/>
      <c r="AI5" s="99" t="s">
        <v>11</v>
      </c>
    </row>
    <row r="6" spans="1:35" s="17" customFormat="1" ht="54" customHeight="1" thickBot="1">
      <c r="B6" s="84" t="s">
        <v>12</v>
      </c>
      <c r="C6" s="84" t="s">
        <v>13</v>
      </c>
      <c r="D6" s="84" t="s">
        <v>14</v>
      </c>
      <c r="E6" s="84" t="s">
        <v>15</v>
      </c>
      <c r="F6" s="84" t="s">
        <v>16</v>
      </c>
      <c r="G6" s="84" t="s">
        <v>17</v>
      </c>
      <c r="H6" s="18" t="s">
        <v>18</v>
      </c>
      <c r="I6" s="18" t="s">
        <v>19</v>
      </c>
      <c r="J6" s="18" t="s">
        <v>20</v>
      </c>
      <c r="K6" s="19" t="s">
        <v>21</v>
      </c>
      <c r="L6" s="19" t="s">
        <v>22</v>
      </c>
      <c r="M6" s="19" t="s">
        <v>23</v>
      </c>
      <c r="N6" s="19" t="s">
        <v>24</v>
      </c>
      <c r="O6" s="19" t="s">
        <v>25</v>
      </c>
      <c r="P6" s="18" t="s">
        <v>26</v>
      </c>
      <c r="Q6" s="18" t="s">
        <v>27</v>
      </c>
      <c r="R6" s="20" t="s">
        <v>28</v>
      </c>
      <c r="S6" s="21" t="s">
        <v>29</v>
      </c>
      <c r="T6" s="22" t="s">
        <v>30</v>
      </c>
      <c r="U6" s="22" t="s">
        <v>31</v>
      </c>
      <c r="V6" s="22" t="s">
        <v>32</v>
      </c>
      <c r="W6" s="23" t="s">
        <v>33</v>
      </c>
      <c r="X6" s="24" t="s">
        <v>34</v>
      </c>
      <c r="Y6" s="25" t="s">
        <v>35</v>
      </c>
      <c r="Z6" s="25" t="s">
        <v>36</v>
      </c>
      <c r="AA6" s="26" t="s">
        <v>37</v>
      </c>
      <c r="AB6" s="27"/>
      <c r="AC6" s="24"/>
      <c r="AD6" s="25" t="s">
        <v>38</v>
      </c>
      <c r="AE6" s="25" t="s">
        <v>39</v>
      </c>
      <c r="AF6" s="25" t="s">
        <v>40</v>
      </c>
      <c r="AG6" s="25" t="s">
        <v>41</v>
      </c>
      <c r="AH6" s="26" t="s">
        <v>42</v>
      </c>
      <c r="AI6" s="99"/>
    </row>
    <row r="7" spans="1:35" s="43" customFormat="1" ht="30" customHeight="1">
      <c r="A7" s="100"/>
      <c r="B7" s="28">
        <v>1</v>
      </c>
      <c r="C7" s="28">
        <v>23</v>
      </c>
      <c r="D7" s="29" t="s">
        <v>43</v>
      </c>
      <c r="E7" s="30">
        <v>14</v>
      </c>
      <c r="F7" s="31">
        <v>1</v>
      </c>
      <c r="G7" s="30" t="s">
        <v>44</v>
      </c>
      <c r="H7" s="92">
        <v>47</v>
      </c>
      <c r="I7" s="36" t="s">
        <v>45</v>
      </c>
      <c r="J7" s="32" t="s">
        <v>46</v>
      </c>
      <c r="K7" s="32" t="s">
        <v>47</v>
      </c>
      <c r="L7" s="33">
        <v>38995</v>
      </c>
      <c r="M7" s="34">
        <v>1</v>
      </c>
      <c r="N7" s="35">
        <v>40</v>
      </c>
      <c r="O7" s="35" t="s">
        <v>48</v>
      </c>
      <c r="P7" s="36" t="s">
        <v>49</v>
      </c>
      <c r="Q7" s="36" t="s">
        <v>50</v>
      </c>
      <c r="R7" s="37" t="s">
        <v>70</v>
      </c>
      <c r="S7" s="38">
        <f>3615.45*2</f>
        <v>7230.9</v>
      </c>
      <c r="T7" s="39"/>
      <c r="U7" s="40">
        <f>278*2</f>
        <v>556</v>
      </c>
      <c r="V7" s="40">
        <f>171.5*2</f>
        <v>343</v>
      </c>
      <c r="W7" s="38">
        <f>73.04*2</f>
        <v>146.08000000000001</v>
      </c>
      <c r="X7" s="41">
        <f>+S7*0.115</f>
        <v>831.55349999999999</v>
      </c>
      <c r="Y7" s="41">
        <f>+S7*0.05</f>
        <v>361.54500000000002</v>
      </c>
      <c r="Z7" s="41">
        <v>629.14</v>
      </c>
      <c r="AA7" s="42">
        <f>+S7*0.02</f>
        <v>144.61799999999999</v>
      </c>
      <c r="AB7" s="85"/>
      <c r="AC7" s="42"/>
      <c r="AD7" s="42">
        <f>+S7/30*60</f>
        <v>14461.8</v>
      </c>
      <c r="AE7" s="42">
        <f>+S7/30*50</f>
        <v>12051.5</v>
      </c>
      <c r="AF7" s="42">
        <f>+S7/30*20*0.25</f>
        <v>1205.1500000000001</v>
      </c>
      <c r="AG7" s="42"/>
      <c r="AH7" s="42">
        <f>+S7*0.04*12</f>
        <v>3470.8319999999999</v>
      </c>
      <c r="AI7" s="42">
        <f>((+S7+U7+V7+W7+X7+Y7+Z7+AA7)*12)+AE7+AF7+AG7+AH7+AD7</f>
        <v>154103.31999999998</v>
      </c>
    </row>
    <row r="8" spans="1:35" s="43" customFormat="1" ht="30" customHeight="1">
      <c r="A8" s="101"/>
      <c r="B8" s="28">
        <v>2</v>
      </c>
      <c r="C8" s="28">
        <v>23</v>
      </c>
      <c r="D8" s="29" t="s">
        <v>43</v>
      </c>
      <c r="E8" s="30">
        <v>14</v>
      </c>
      <c r="F8" s="31">
        <v>1</v>
      </c>
      <c r="G8" s="30" t="s">
        <v>44</v>
      </c>
      <c r="H8" s="92">
        <v>92</v>
      </c>
      <c r="I8" s="36" t="s">
        <v>51</v>
      </c>
      <c r="J8" s="32" t="s">
        <v>52</v>
      </c>
      <c r="K8" s="32" t="s">
        <v>47</v>
      </c>
      <c r="L8" s="44">
        <v>41502</v>
      </c>
      <c r="M8" s="34">
        <v>2</v>
      </c>
      <c r="N8" s="35">
        <v>40</v>
      </c>
      <c r="O8" s="35" t="s">
        <v>48</v>
      </c>
      <c r="P8" s="36" t="s">
        <v>49</v>
      </c>
      <c r="Q8" s="36" t="s">
        <v>50</v>
      </c>
      <c r="R8" s="37" t="s">
        <v>70</v>
      </c>
      <c r="S8" s="38">
        <f>4514.4*2</f>
        <v>9028.7999999999993</v>
      </c>
      <c r="T8" s="39"/>
      <c r="U8" s="40">
        <f>368.5*2</f>
        <v>737</v>
      </c>
      <c r="V8" s="40">
        <f>227.5*2</f>
        <v>455</v>
      </c>
      <c r="W8" s="38">
        <v>0</v>
      </c>
      <c r="X8" s="41">
        <f t="shared" ref="X8:X38" si="0">+S8*0.115</f>
        <v>1038.3119999999999</v>
      </c>
      <c r="Y8" s="41">
        <f t="shared" ref="Y8:Y38" si="1">+S8*0.05</f>
        <v>451.44</v>
      </c>
      <c r="Z8" s="41">
        <v>616.89</v>
      </c>
      <c r="AA8" s="42">
        <f t="shared" ref="AA8:AA38" si="2">+S8*0.02</f>
        <v>180.57599999999999</v>
      </c>
      <c r="AB8" s="85"/>
      <c r="AC8" s="42"/>
      <c r="AD8" s="42">
        <f t="shared" ref="AD8:AD38" si="3">+S8/30*60</f>
        <v>18057.599999999999</v>
      </c>
      <c r="AE8" s="42">
        <f t="shared" ref="AE8:AE38" si="4">+S8/30*50</f>
        <v>15047.999999999998</v>
      </c>
      <c r="AF8" s="42">
        <f t="shared" ref="AF8:AF38" si="5">+S8/30*20*0.25</f>
        <v>1504.8</v>
      </c>
      <c r="AG8" s="42"/>
      <c r="AH8" s="42">
        <f t="shared" ref="AH8:AH38" si="6">+S8*0.04*12</f>
        <v>4333.8239999999996</v>
      </c>
      <c r="AI8" s="42">
        <f t="shared" ref="AI8:AI38" si="7">((+S8+U8+V8+W8+X8+Y8+Z8+AA8)*12)+AE8+AF8+AG8+AH8+AD8</f>
        <v>189040.43999999997</v>
      </c>
    </row>
    <row r="9" spans="1:35" s="43" customFormat="1" ht="30" customHeight="1">
      <c r="B9" s="28">
        <v>3</v>
      </c>
      <c r="C9" s="28">
        <v>23</v>
      </c>
      <c r="D9" s="29" t="s">
        <v>43</v>
      </c>
      <c r="E9" s="30">
        <v>14</v>
      </c>
      <c r="F9" s="31">
        <v>1</v>
      </c>
      <c r="G9" s="30" t="s">
        <v>44</v>
      </c>
      <c r="H9" s="92">
        <v>97</v>
      </c>
      <c r="I9" s="36" t="s">
        <v>53</v>
      </c>
      <c r="J9" s="32" t="s">
        <v>54</v>
      </c>
      <c r="K9" s="32" t="s">
        <v>47</v>
      </c>
      <c r="L9" s="33">
        <v>42499</v>
      </c>
      <c r="M9" s="34">
        <v>20</v>
      </c>
      <c r="N9" s="35">
        <v>40</v>
      </c>
      <c r="O9" s="35" t="s">
        <v>48</v>
      </c>
      <c r="P9" s="36" t="s">
        <v>55</v>
      </c>
      <c r="Q9" s="36" t="s">
        <v>56</v>
      </c>
      <c r="R9" s="37" t="s">
        <v>70</v>
      </c>
      <c r="S9" s="38">
        <f>13813.5*2</f>
        <v>27627</v>
      </c>
      <c r="T9" s="39"/>
      <c r="U9" s="40">
        <f>832*2</f>
        <v>1664</v>
      </c>
      <c r="V9" s="40">
        <f>559.5*2</f>
        <v>1119</v>
      </c>
      <c r="W9" s="38">
        <v>0</v>
      </c>
      <c r="X9" s="41">
        <f t="shared" si="0"/>
        <v>3177.105</v>
      </c>
      <c r="Y9" s="41">
        <f t="shared" si="1"/>
        <v>1381.3500000000001</v>
      </c>
      <c r="Z9" s="41">
        <v>1244.79</v>
      </c>
      <c r="AA9" s="42">
        <f t="shared" si="2"/>
        <v>552.54</v>
      </c>
      <c r="AB9" s="47"/>
      <c r="AC9" s="42"/>
      <c r="AD9" s="42">
        <f t="shared" si="3"/>
        <v>55254</v>
      </c>
      <c r="AE9" s="42">
        <f t="shared" si="4"/>
        <v>46045</v>
      </c>
      <c r="AF9" s="42">
        <f t="shared" si="5"/>
        <v>4604.5</v>
      </c>
      <c r="AG9" s="42"/>
      <c r="AH9" s="42">
        <f t="shared" si="6"/>
        <v>13260.96</v>
      </c>
      <c r="AI9" s="42">
        <f t="shared" si="7"/>
        <v>560353.88000000012</v>
      </c>
    </row>
    <row r="10" spans="1:35" s="43" customFormat="1" ht="30" customHeight="1">
      <c r="B10" s="28">
        <v>4</v>
      </c>
      <c r="C10" s="28">
        <v>23</v>
      </c>
      <c r="D10" s="29" t="s">
        <v>43</v>
      </c>
      <c r="E10" s="30">
        <v>14</v>
      </c>
      <c r="F10" s="31">
        <v>1</v>
      </c>
      <c r="G10" s="30" t="s">
        <v>44</v>
      </c>
      <c r="H10" s="92">
        <v>32</v>
      </c>
      <c r="I10" s="36" t="s">
        <v>57</v>
      </c>
      <c r="J10" s="32" t="s">
        <v>58</v>
      </c>
      <c r="K10" s="32" t="s">
        <v>59</v>
      </c>
      <c r="L10" s="33">
        <v>37331</v>
      </c>
      <c r="M10" s="34">
        <v>13</v>
      </c>
      <c r="N10" s="35">
        <v>40</v>
      </c>
      <c r="O10" s="35" t="s">
        <v>48</v>
      </c>
      <c r="P10" s="36" t="s">
        <v>60</v>
      </c>
      <c r="Q10" s="36" t="s">
        <v>61</v>
      </c>
      <c r="R10" s="37" t="s">
        <v>70</v>
      </c>
      <c r="S10" s="38">
        <f>6606.9*2</f>
        <v>13213.8</v>
      </c>
      <c r="T10" s="39"/>
      <c r="U10" s="40">
        <f>564*2</f>
        <v>1128</v>
      </c>
      <c r="V10" s="40">
        <f>351.5*2</f>
        <v>703</v>
      </c>
      <c r="W10" s="38">
        <f>109.56*2</f>
        <v>219.12</v>
      </c>
      <c r="X10" s="41">
        <f t="shared" si="0"/>
        <v>1519.587</v>
      </c>
      <c r="Y10" s="41">
        <f t="shared" si="1"/>
        <v>660.69</v>
      </c>
      <c r="Z10" s="41">
        <v>776.51</v>
      </c>
      <c r="AA10" s="42">
        <f t="shared" si="2"/>
        <v>264.27600000000001</v>
      </c>
      <c r="AB10" s="47"/>
      <c r="AC10" s="42"/>
      <c r="AD10" s="42">
        <f t="shared" si="3"/>
        <v>26427.599999999999</v>
      </c>
      <c r="AE10" s="42">
        <f t="shared" si="4"/>
        <v>22023</v>
      </c>
      <c r="AF10" s="42">
        <f t="shared" si="5"/>
        <v>2202.2999999999997</v>
      </c>
      <c r="AG10" s="42"/>
      <c r="AH10" s="42">
        <f t="shared" si="6"/>
        <v>6342.6239999999998</v>
      </c>
      <c r="AI10" s="42">
        <f t="shared" si="7"/>
        <v>278815.32</v>
      </c>
    </row>
    <row r="11" spans="1:35" s="43" customFormat="1" ht="30" customHeight="1">
      <c r="B11" s="28">
        <v>5</v>
      </c>
      <c r="C11" s="28">
        <v>23</v>
      </c>
      <c r="D11" s="29" t="s">
        <v>43</v>
      </c>
      <c r="E11" s="30">
        <v>14</v>
      </c>
      <c r="F11" s="31">
        <v>1</v>
      </c>
      <c r="G11" s="30" t="s">
        <v>44</v>
      </c>
      <c r="H11" s="92">
        <v>79</v>
      </c>
      <c r="I11" s="36" t="s">
        <v>62</v>
      </c>
      <c r="J11" s="32" t="s">
        <v>63</v>
      </c>
      <c r="K11" s="32" t="s">
        <v>59</v>
      </c>
      <c r="L11" s="33">
        <v>40717</v>
      </c>
      <c r="M11" s="34">
        <v>9</v>
      </c>
      <c r="N11" s="35">
        <v>40</v>
      </c>
      <c r="O11" s="35" t="s">
        <v>48</v>
      </c>
      <c r="P11" s="36" t="s">
        <v>64</v>
      </c>
      <c r="Q11" s="36" t="s">
        <v>61</v>
      </c>
      <c r="R11" s="37" t="s">
        <v>70</v>
      </c>
      <c r="S11" s="38">
        <f>6081*2</f>
        <v>12162</v>
      </c>
      <c r="T11" s="39"/>
      <c r="U11" s="40">
        <f>478.5*2</f>
        <v>957</v>
      </c>
      <c r="V11" s="40">
        <f>330.5*2</f>
        <v>661</v>
      </c>
      <c r="W11" s="38">
        <f>146.08*2</f>
        <v>292.16000000000003</v>
      </c>
      <c r="X11" s="41">
        <f t="shared" si="0"/>
        <v>1398.63</v>
      </c>
      <c r="Y11" s="41">
        <f t="shared" si="1"/>
        <v>608.1</v>
      </c>
      <c r="Z11" s="41">
        <v>745.93</v>
      </c>
      <c r="AA11" s="42">
        <f t="shared" si="2"/>
        <v>243.24</v>
      </c>
      <c r="AB11" s="47"/>
      <c r="AC11" s="42"/>
      <c r="AD11" s="42">
        <f t="shared" si="3"/>
        <v>24324</v>
      </c>
      <c r="AE11" s="42">
        <f t="shared" si="4"/>
        <v>20270</v>
      </c>
      <c r="AF11" s="42">
        <f t="shared" si="5"/>
        <v>2027</v>
      </c>
      <c r="AG11" s="42"/>
      <c r="AH11" s="42">
        <f t="shared" si="6"/>
        <v>5837.76</v>
      </c>
      <c r="AI11" s="42">
        <f t="shared" si="7"/>
        <v>257275.48000000004</v>
      </c>
    </row>
    <row r="12" spans="1:35" s="43" customFormat="1" ht="30" customHeight="1">
      <c r="B12" s="28">
        <v>6</v>
      </c>
      <c r="C12" s="28">
        <v>23</v>
      </c>
      <c r="D12" s="29" t="s">
        <v>43</v>
      </c>
      <c r="E12" s="30">
        <v>14</v>
      </c>
      <c r="F12" s="31">
        <v>1</v>
      </c>
      <c r="G12" s="30" t="s">
        <v>44</v>
      </c>
      <c r="H12" s="92">
        <v>60</v>
      </c>
      <c r="I12" s="36" t="s">
        <v>65</v>
      </c>
      <c r="J12" s="32" t="s">
        <v>66</v>
      </c>
      <c r="K12" s="32" t="s">
        <v>47</v>
      </c>
      <c r="L12" s="45">
        <v>39584</v>
      </c>
      <c r="M12" s="34">
        <v>10</v>
      </c>
      <c r="N12" s="35">
        <v>40</v>
      </c>
      <c r="O12" s="35" t="s">
        <v>48</v>
      </c>
      <c r="P12" s="36" t="s">
        <v>64</v>
      </c>
      <c r="Q12" s="36" t="s">
        <v>61</v>
      </c>
      <c r="R12" s="37" t="s">
        <v>70</v>
      </c>
      <c r="S12" s="38">
        <f>6302.4*2</f>
        <v>12604.8</v>
      </c>
      <c r="T12" s="39"/>
      <c r="U12" s="40">
        <f>523*2</f>
        <v>1046</v>
      </c>
      <c r="V12" s="40">
        <f>333*2</f>
        <v>666</v>
      </c>
      <c r="W12" s="38">
        <f>73.04*2</f>
        <v>146.08000000000001</v>
      </c>
      <c r="X12" s="41">
        <f t="shared" si="0"/>
        <v>1449.5519999999999</v>
      </c>
      <c r="Y12" s="41">
        <f t="shared" si="1"/>
        <v>630.24</v>
      </c>
      <c r="Z12" s="41">
        <v>768.42</v>
      </c>
      <c r="AA12" s="42">
        <f t="shared" si="2"/>
        <v>252.096</v>
      </c>
      <c r="AB12" s="47"/>
      <c r="AC12" s="42"/>
      <c r="AD12" s="42">
        <f t="shared" si="3"/>
        <v>25209.599999999999</v>
      </c>
      <c r="AE12" s="42">
        <f t="shared" si="4"/>
        <v>21008</v>
      </c>
      <c r="AF12" s="42">
        <f t="shared" si="5"/>
        <v>2100.7999999999997</v>
      </c>
      <c r="AG12" s="42"/>
      <c r="AH12" s="42">
        <f t="shared" si="6"/>
        <v>6050.3040000000001</v>
      </c>
      <c r="AI12" s="42">
        <f t="shared" si="7"/>
        <v>265126.95999999996</v>
      </c>
    </row>
    <row r="13" spans="1:35" s="43" customFormat="1" ht="30" customHeight="1">
      <c r="B13" s="28">
        <v>7</v>
      </c>
      <c r="C13" s="28">
        <v>23</v>
      </c>
      <c r="D13" s="29" t="s">
        <v>43</v>
      </c>
      <c r="E13" s="30">
        <v>14</v>
      </c>
      <c r="F13" s="31">
        <v>1</v>
      </c>
      <c r="G13" s="30" t="s">
        <v>44</v>
      </c>
      <c r="H13" s="92">
        <v>96</v>
      </c>
      <c r="I13" s="36" t="s">
        <v>67</v>
      </c>
      <c r="J13" s="32" t="s">
        <v>68</v>
      </c>
      <c r="K13" s="32" t="s">
        <v>47</v>
      </c>
      <c r="L13" s="44">
        <v>42338</v>
      </c>
      <c r="M13" s="34">
        <v>22</v>
      </c>
      <c r="N13" s="35">
        <v>40</v>
      </c>
      <c r="O13" s="35" t="s">
        <v>48</v>
      </c>
      <c r="P13" s="36" t="s">
        <v>69</v>
      </c>
      <c r="Q13" s="36" t="s">
        <v>70</v>
      </c>
      <c r="R13" s="37" t="s">
        <v>70</v>
      </c>
      <c r="S13" s="46">
        <f>17243.5*2</f>
        <v>34487</v>
      </c>
      <c r="T13" s="39"/>
      <c r="U13" s="40">
        <f>840*2</f>
        <v>1680</v>
      </c>
      <c r="V13" s="40">
        <f>595.5*2</f>
        <v>1191</v>
      </c>
      <c r="W13" s="38">
        <v>0</v>
      </c>
      <c r="X13" s="41">
        <f t="shared" si="0"/>
        <v>3966.0050000000001</v>
      </c>
      <c r="Y13" s="41">
        <f t="shared" si="1"/>
        <v>1724.3500000000001</v>
      </c>
      <c r="Z13" s="41">
        <v>1424.25</v>
      </c>
      <c r="AA13" s="42">
        <f t="shared" si="2"/>
        <v>689.74</v>
      </c>
      <c r="AB13" s="47"/>
      <c r="AC13" s="42"/>
      <c r="AD13" s="42">
        <f t="shared" si="3"/>
        <v>68974</v>
      </c>
      <c r="AE13" s="42">
        <f t="shared" si="4"/>
        <v>57478.333333333328</v>
      </c>
      <c r="AF13" s="42">
        <f t="shared" si="5"/>
        <v>5747.833333333333</v>
      </c>
      <c r="AG13" s="42"/>
      <c r="AH13" s="42">
        <f t="shared" si="6"/>
        <v>16553.760000000002</v>
      </c>
      <c r="AI13" s="42">
        <f t="shared" si="7"/>
        <v>690702.06666666665</v>
      </c>
    </row>
    <row r="14" spans="1:35" s="43" customFormat="1" ht="30" customHeight="1">
      <c r="B14" s="28">
        <v>8</v>
      </c>
      <c r="C14" s="28">
        <v>23</v>
      </c>
      <c r="D14" s="29" t="s">
        <v>43</v>
      </c>
      <c r="E14" s="30">
        <v>14</v>
      </c>
      <c r="F14" s="31">
        <v>1</v>
      </c>
      <c r="G14" s="30" t="s">
        <v>44</v>
      </c>
      <c r="H14" s="92">
        <v>23</v>
      </c>
      <c r="I14" s="36" t="s">
        <v>75</v>
      </c>
      <c r="J14" s="32" t="s">
        <v>76</v>
      </c>
      <c r="K14" s="32" t="s">
        <v>59</v>
      </c>
      <c r="L14" s="33">
        <v>37049</v>
      </c>
      <c r="M14" s="34">
        <v>16</v>
      </c>
      <c r="N14" s="35">
        <v>40</v>
      </c>
      <c r="O14" s="35" t="s">
        <v>48</v>
      </c>
      <c r="P14" s="36" t="s">
        <v>60</v>
      </c>
      <c r="Q14" s="36" t="s">
        <v>61</v>
      </c>
      <c r="R14" s="37" t="s">
        <v>70</v>
      </c>
      <c r="S14" s="38">
        <f>8606.4*2</f>
        <v>17212.8</v>
      </c>
      <c r="T14" s="39"/>
      <c r="U14" s="40">
        <f>623.5*2</f>
        <v>1247</v>
      </c>
      <c r="V14" s="40">
        <f>389.5*2</f>
        <v>779</v>
      </c>
      <c r="W14" s="38">
        <f>109.56*2</f>
        <v>219.12</v>
      </c>
      <c r="X14" s="41">
        <f t="shared" si="0"/>
        <v>1979.472</v>
      </c>
      <c r="Y14" s="41">
        <f t="shared" si="1"/>
        <v>860.64</v>
      </c>
      <c r="Z14" s="41">
        <v>929.75</v>
      </c>
      <c r="AA14" s="42">
        <f t="shared" si="2"/>
        <v>344.25599999999997</v>
      </c>
      <c r="AB14" s="47"/>
      <c r="AC14" s="42"/>
      <c r="AD14" s="42">
        <f t="shared" si="3"/>
        <v>34425.599999999999</v>
      </c>
      <c r="AE14" s="42">
        <f t="shared" si="4"/>
        <v>28688</v>
      </c>
      <c r="AF14" s="42">
        <f t="shared" si="5"/>
        <v>2868.8</v>
      </c>
      <c r="AG14" s="42"/>
      <c r="AH14" s="42">
        <f t="shared" si="6"/>
        <v>8262.1440000000002</v>
      </c>
      <c r="AI14" s="42">
        <f t="shared" si="7"/>
        <v>357109</v>
      </c>
    </row>
    <row r="15" spans="1:35" s="43" customFormat="1" ht="30" customHeight="1">
      <c r="B15" s="28">
        <v>9</v>
      </c>
      <c r="C15" s="28">
        <v>23</v>
      </c>
      <c r="D15" s="29" t="s">
        <v>43</v>
      </c>
      <c r="E15" s="30">
        <v>14</v>
      </c>
      <c r="F15" s="31">
        <v>1</v>
      </c>
      <c r="G15" s="30" t="s">
        <v>44</v>
      </c>
      <c r="H15" s="92"/>
      <c r="I15" s="36" t="s">
        <v>72</v>
      </c>
      <c r="J15" s="32"/>
      <c r="K15" s="32"/>
      <c r="L15" s="33"/>
      <c r="M15" s="34">
        <v>20</v>
      </c>
      <c r="N15" s="35">
        <v>40</v>
      </c>
      <c r="O15" s="35" t="s">
        <v>48</v>
      </c>
      <c r="P15" s="36" t="s">
        <v>77</v>
      </c>
      <c r="Q15" s="36" t="s">
        <v>56</v>
      </c>
      <c r="R15" s="37" t="s">
        <v>70</v>
      </c>
      <c r="S15" s="38">
        <f>13813.5*2</f>
        <v>27627</v>
      </c>
      <c r="T15" s="39"/>
      <c r="U15" s="40">
        <v>1664</v>
      </c>
      <c r="V15" s="40">
        <v>1119</v>
      </c>
      <c r="W15" s="38">
        <v>0</v>
      </c>
      <c r="X15" s="41">
        <f t="shared" si="0"/>
        <v>3177.105</v>
      </c>
      <c r="Y15" s="41">
        <f t="shared" si="1"/>
        <v>1381.3500000000001</v>
      </c>
      <c r="Z15" s="41">
        <v>1244.79</v>
      </c>
      <c r="AA15" s="42">
        <f t="shared" si="2"/>
        <v>552.54</v>
      </c>
      <c r="AB15" s="47"/>
      <c r="AC15" s="42"/>
      <c r="AD15" s="42">
        <f t="shared" si="3"/>
        <v>55254</v>
      </c>
      <c r="AE15" s="42">
        <f t="shared" si="4"/>
        <v>46045</v>
      </c>
      <c r="AF15" s="42">
        <f t="shared" si="5"/>
        <v>4604.5</v>
      </c>
      <c r="AG15" s="42"/>
      <c r="AH15" s="42">
        <f t="shared" si="6"/>
        <v>13260.96</v>
      </c>
      <c r="AI15" s="42">
        <f t="shared" si="7"/>
        <v>560353.88000000012</v>
      </c>
    </row>
    <row r="16" spans="1:35" s="43" customFormat="1" ht="30" customHeight="1">
      <c r="B16" s="28">
        <v>10</v>
      </c>
      <c r="C16" s="28">
        <v>23</v>
      </c>
      <c r="D16" s="29" t="s">
        <v>43</v>
      </c>
      <c r="E16" s="30">
        <v>14</v>
      </c>
      <c r="F16" s="31">
        <v>1</v>
      </c>
      <c r="G16" s="30" t="s">
        <v>44</v>
      </c>
      <c r="H16" s="92">
        <v>58</v>
      </c>
      <c r="I16" s="36" t="s">
        <v>78</v>
      </c>
      <c r="J16" s="32" t="s">
        <v>79</v>
      </c>
      <c r="K16" s="32" t="s">
        <v>59</v>
      </c>
      <c r="L16" s="33">
        <v>37362</v>
      </c>
      <c r="M16" s="34">
        <v>18</v>
      </c>
      <c r="N16" s="35">
        <v>40</v>
      </c>
      <c r="O16" s="35" t="s">
        <v>48</v>
      </c>
      <c r="P16" s="36" t="s">
        <v>80</v>
      </c>
      <c r="Q16" s="36" t="s">
        <v>61</v>
      </c>
      <c r="R16" s="37" t="s">
        <v>70</v>
      </c>
      <c r="S16" s="38">
        <f>9765.9*2</f>
        <v>19531.8</v>
      </c>
      <c r="T16" s="39"/>
      <c r="U16" s="40">
        <f>732.5*2</f>
        <v>1465</v>
      </c>
      <c r="V16" s="40">
        <f>493.5*2</f>
        <v>987</v>
      </c>
      <c r="W16" s="38">
        <f>109.56*2</f>
        <v>219.12</v>
      </c>
      <c r="X16" s="41">
        <f t="shared" si="0"/>
        <v>2246.1570000000002</v>
      </c>
      <c r="Y16" s="41">
        <f t="shared" si="1"/>
        <v>976.59</v>
      </c>
      <c r="Z16" s="41">
        <v>1094.07</v>
      </c>
      <c r="AA16" s="42">
        <f t="shared" si="2"/>
        <v>390.63599999999997</v>
      </c>
      <c r="AB16" s="47"/>
      <c r="AC16" s="42"/>
      <c r="AD16" s="42">
        <f t="shared" si="3"/>
        <v>39063.599999999999</v>
      </c>
      <c r="AE16" s="42">
        <f t="shared" si="4"/>
        <v>32552.999999999996</v>
      </c>
      <c r="AF16" s="42">
        <f t="shared" si="5"/>
        <v>3255.2999999999997</v>
      </c>
      <c r="AG16" s="42"/>
      <c r="AH16" s="42">
        <f t="shared" si="6"/>
        <v>9375.2639999999992</v>
      </c>
      <c r="AI16" s="42">
        <f t="shared" si="7"/>
        <v>407171.63999999996</v>
      </c>
    </row>
    <row r="17" spans="2:35" s="43" customFormat="1" ht="30" customHeight="1">
      <c r="B17" s="28">
        <v>11</v>
      </c>
      <c r="C17" s="28">
        <v>23</v>
      </c>
      <c r="D17" s="29" t="s">
        <v>43</v>
      </c>
      <c r="E17" s="30">
        <v>14</v>
      </c>
      <c r="F17" s="31">
        <v>1</v>
      </c>
      <c r="G17" s="30" t="s">
        <v>44</v>
      </c>
      <c r="H17" s="92">
        <v>36</v>
      </c>
      <c r="I17" s="36" t="s">
        <v>81</v>
      </c>
      <c r="J17" s="32" t="s">
        <v>82</v>
      </c>
      <c r="K17" s="32" t="s">
        <v>59</v>
      </c>
      <c r="L17" s="33">
        <v>38660</v>
      </c>
      <c r="M17" s="34">
        <v>14</v>
      </c>
      <c r="N17" s="35">
        <v>40</v>
      </c>
      <c r="O17" s="35" t="s">
        <v>48</v>
      </c>
      <c r="P17" s="36" t="s">
        <v>83</v>
      </c>
      <c r="Q17" s="36" t="s">
        <v>61</v>
      </c>
      <c r="R17" s="37" t="s">
        <v>70</v>
      </c>
      <c r="S17" s="38">
        <f>6983.4*2</f>
        <v>13966.8</v>
      </c>
      <c r="T17" s="39"/>
      <c r="U17" s="40">
        <f>581.5*2</f>
        <v>1163</v>
      </c>
      <c r="V17" s="40">
        <f>361*2</f>
        <v>722</v>
      </c>
      <c r="W17" s="38">
        <f>109.56*2</f>
        <v>219.12</v>
      </c>
      <c r="X17" s="41">
        <f t="shared" si="0"/>
        <v>1606.182</v>
      </c>
      <c r="Y17" s="41">
        <f t="shared" si="1"/>
        <v>698.34</v>
      </c>
      <c r="Z17" s="41">
        <v>816.33</v>
      </c>
      <c r="AA17" s="42">
        <f t="shared" si="2"/>
        <v>279.33600000000001</v>
      </c>
      <c r="AB17" s="47"/>
      <c r="AC17" s="42"/>
      <c r="AD17" s="42">
        <f t="shared" si="3"/>
        <v>27933.599999999999</v>
      </c>
      <c r="AE17" s="42">
        <f t="shared" si="4"/>
        <v>23278</v>
      </c>
      <c r="AF17" s="42">
        <f t="shared" si="5"/>
        <v>2327.8000000000002</v>
      </c>
      <c r="AG17" s="42"/>
      <c r="AH17" s="42">
        <f t="shared" si="6"/>
        <v>6704.0640000000003</v>
      </c>
      <c r="AI17" s="42">
        <f t="shared" si="7"/>
        <v>293896.75999999995</v>
      </c>
    </row>
    <row r="18" spans="2:35" s="43" customFormat="1" ht="30" customHeight="1">
      <c r="B18" s="28">
        <v>12</v>
      </c>
      <c r="C18" s="28">
        <v>23</v>
      </c>
      <c r="D18" s="29" t="s">
        <v>43</v>
      </c>
      <c r="E18" s="30">
        <v>14</v>
      </c>
      <c r="F18" s="31">
        <v>1</v>
      </c>
      <c r="G18" s="30" t="s">
        <v>44</v>
      </c>
      <c r="H18" s="92">
        <v>101</v>
      </c>
      <c r="I18" s="36" t="s">
        <v>112</v>
      </c>
      <c r="J18" s="32" t="s">
        <v>113</v>
      </c>
      <c r="K18" s="32" t="s">
        <v>47</v>
      </c>
      <c r="L18" s="33">
        <v>42419</v>
      </c>
      <c r="M18" s="34">
        <v>17</v>
      </c>
      <c r="N18" s="35">
        <v>40</v>
      </c>
      <c r="O18" s="35" t="s">
        <v>48</v>
      </c>
      <c r="P18" s="36" t="s">
        <v>114</v>
      </c>
      <c r="Q18" s="36" t="s">
        <v>70</v>
      </c>
      <c r="R18" s="37" t="s">
        <v>70</v>
      </c>
      <c r="S18" s="38">
        <f>8606.4*2</f>
        <v>17212.8</v>
      </c>
      <c r="T18" s="52"/>
      <c r="U18" s="40">
        <f>623.5*2</f>
        <v>1247</v>
      </c>
      <c r="V18" s="40">
        <f>389.5*2</f>
        <v>779</v>
      </c>
      <c r="W18" s="38">
        <v>0</v>
      </c>
      <c r="X18" s="41">
        <f>+S18*0.115</f>
        <v>1979.472</v>
      </c>
      <c r="Y18" s="41">
        <f>+S18*0.05</f>
        <v>860.64</v>
      </c>
      <c r="Z18" s="41">
        <v>929.75</v>
      </c>
      <c r="AA18" s="42">
        <f>+S18*0.02</f>
        <v>344.25599999999997</v>
      </c>
      <c r="AB18" s="47"/>
      <c r="AC18" s="42"/>
      <c r="AD18" s="42">
        <f>+S18/30*60</f>
        <v>34425.599999999999</v>
      </c>
      <c r="AE18" s="42">
        <f>+S18/30*50</f>
        <v>28688</v>
      </c>
      <c r="AF18" s="42">
        <f>+S18/30*20*0.25</f>
        <v>2868.8</v>
      </c>
      <c r="AG18" s="42"/>
      <c r="AH18" s="42">
        <f>+S18*0.04*12</f>
        <v>8262.1440000000002</v>
      </c>
      <c r="AI18" s="42">
        <f>((+S18+U18+V18+W18+X18+Y18+Z18+AA18)*12)+AE18+AF18+AG18+AH18+AD18</f>
        <v>354479.55999999994</v>
      </c>
    </row>
    <row r="19" spans="2:35" s="43" customFormat="1" ht="30" customHeight="1">
      <c r="B19" s="28">
        <v>13</v>
      </c>
      <c r="C19" s="28">
        <v>23</v>
      </c>
      <c r="D19" s="29" t="s">
        <v>43</v>
      </c>
      <c r="E19" s="30">
        <v>14</v>
      </c>
      <c r="F19" s="31">
        <v>1</v>
      </c>
      <c r="G19" s="30" t="s">
        <v>44</v>
      </c>
      <c r="H19" s="92">
        <v>110</v>
      </c>
      <c r="I19" s="93" t="s">
        <v>176</v>
      </c>
      <c r="J19" s="32" t="s">
        <v>175</v>
      </c>
      <c r="K19" s="32" t="s">
        <v>47</v>
      </c>
      <c r="L19" s="45">
        <v>42705</v>
      </c>
      <c r="M19" s="34">
        <v>1</v>
      </c>
      <c r="N19" s="35">
        <v>40</v>
      </c>
      <c r="O19" s="35" t="s">
        <v>48</v>
      </c>
      <c r="P19" s="36" t="s">
        <v>71</v>
      </c>
      <c r="Q19" s="36" t="s">
        <v>70</v>
      </c>
      <c r="R19" s="37" t="s">
        <v>70</v>
      </c>
      <c r="S19" s="38">
        <f>4328.4*2</f>
        <v>8656.7999999999993</v>
      </c>
      <c r="T19" s="39"/>
      <c r="U19" s="40">
        <f>358.5*2</f>
        <v>717</v>
      </c>
      <c r="V19" s="40">
        <f>223.5*2</f>
        <v>447</v>
      </c>
      <c r="W19" s="38">
        <v>0</v>
      </c>
      <c r="X19" s="41">
        <f>+S19*0.115</f>
        <v>995.53199999999993</v>
      </c>
      <c r="Y19" s="41">
        <f>+S19*0.05</f>
        <v>432.84</v>
      </c>
      <c r="Z19" s="41">
        <v>519.41</v>
      </c>
      <c r="AA19" s="42">
        <f>+S19*0.02</f>
        <v>173.136</v>
      </c>
      <c r="AB19" s="47"/>
      <c r="AC19" s="42"/>
      <c r="AD19" s="42">
        <f>+S19/30*60</f>
        <v>17313.599999999999</v>
      </c>
      <c r="AE19" s="42">
        <f>+S19/30*50</f>
        <v>14428</v>
      </c>
      <c r="AF19" s="42">
        <f>+S19/30*20*0.25</f>
        <v>1442.8</v>
      </c>
      <c r="AG19" s="42"/>
      <c r="AH19" s="42">
        <f>+S19*0.04*12</f>
        <v>4155.2640000000001</v>
      </c>
      <c r="AI19" s="42">
        <f>((+S19+U19+V19+W19+X19+Y19+Z19+AA19)*12)+AE19+AF19+AG19+AH19+AD19</f>
        <v>180640.27999999997</v>
      </c>
    </row>
    <row r="20" spans="2:35" s="43" customFormat="1" ht="30" customHeight="1">
      <c r="B20" s="28">
        <v>14</v>
      </c>
      <c r="C20" s="28">
        <v>23</v>
      </c>
      <c r="D20" s="29" t="s">
        <v>43</v>
      </c>
      <c r="E20" s="30">
        <v>14</v>
      </c>
      <c r="F20" s="31">
        <v>1</v>
      </c>
      <c r="G20" s="30" t="s">
        <v>44</v>
      </c>
      <c r="H20" s="92">
        <v>83</v>
      </c>
      <c r="I20" s="36" t="s">
        <v>84</v>
      </c>
      <c r="J20" s="32" t="s">
        <v>85</v>
      </c>
      <c r="K20" s="32" t="s">
        <v>47</v>
      </c>
      <c r="L20" s="48">
        <v>41092</v>
      </c>
      <c r="M20" s="34">
        <v>14</v>
      </c>
      <c r="N20" s="35">
        <v>40</v>
      </c>
      <c r="O20" s="35" t="s">
        <v>48</v>
      </c>
      <c r="P20" s="36" t="s">
        <v>60</v>
      </c>
      <c r="Q20" s="36" t="s">
        <v>61</v>
      </c>
      <c r="R20" s="37" t="s">
        <v>70</v>
      </c>
      <c r="S20" s="38">
        <f>6983.4*2</f>
        <v>13966.8</v>
      </c>
      <c r="T20" s="39"/>
      <c r="U20" s="40">
        <f>581.5*2</f>
        <v>1163</v>
      </c>
      <c r="V20" s="40">
        <f>361*2</f>
        <v>722</v>
      </c>
      <c r="W20" s="38">
        <v>0</v>
      </c>
      <c r="X20" s="41">
        <f t="shared" si="0"/>
        <v>1606.182</v>
      </c>
      <c r="Y20" s="41">
        <f t="shared" si="1"/>
        <v>698.34</v>
      </c>
      <c r="Z20" s="41">
        <v>812.49</v>
      </c>
      <c r="AA20" s="42">
        <f t="shared" si="2"/>
        <v>279.33600000000001</v>
      </c>
      <c r="AB20" s="47"/>
      <c r="AC20" s="42"/>
      <c r="AD20" s="42">
        <f t="shared" si="3"/>
        <v>27933.599999999999</v>
      </c>
      <c r="AE20" s="42">
        <f t="shared" si="4"/>
        <v>23278</v>
      </c>
      <c r="AF20" s="42">
        <f t="shared" si="5"/>
        <v>2327.8000000000002</v>
      </c>
      <c r="AG20" s="42"/>
      <c r="AH20" s="42">
        <f t="shared" si="6"/>
        <v>6704.0640000000003</v>
      </c>
      <c r="AI20" s="42">
        <f t="shared" si="7"/>
        <v>291221.24</v>
      </c>
    </row>
    <row r="21" spans="2:35" s="43" customFormat="1" ht="30" customHeight="1">
      <c r="B21" s="28">
        <v>15</v>
      </c>
      <c r="C21" s="28">
        <v>23</v>
      </c>
      <c r="D21" s="29" t="s">
        <v>43</v>
      </c>
      <c r="E21" s="30">
        <v>14</v>
      </c>
      <c r="F21" s="31">
        <v>1</v>
      </c>
      <c r="G21" s="30" t="s">
        <v>44</v>
      </c>
      <c r="H21" s="92">
        <v>107</v>
      </c>
      <c r="I21" s="94" t="s">
        <v>178</v>
      </c>
      <c r="J21" s="32" t="s">
        <v>177</v>
      </c>
      <c r="K21" s="32" t="s">
        <v>47</v>
      </c>
      <c r="L21" s="45">
        <v>42675</v>
      </c>
      <c r="M21" s="34">
        <v>14</v>
      </c>
      <c r="N21" s="35">
        <v>40</v>
      </c>
      <c r="O21" s="35" t="s">
        <v>48</v>
      </c>
      <c r="P21" s="36" t="s">
        <v>73</v>
      </c>
      <c r="Q21" s="36" t="s">
        <v>70</v>
      </c>
      <c r="R21" s="37" t="s">
        <v>70</v>
      </c>
      <c r="S21" s="38">
        <f>6983.4*2</f>
        <v>13966.8</v>
      </c>
      <c r="T21" s="39"/>
      <c r="U21" s="40">
        <f>581.5*2</f>
        <v>1163</v>
      </c>
      <c r="V21" s="40">
        <f>361*2</f>
        <v>722</v>
      </c>
      <c r="W21" s="38">
        <v>0</v>
      </c>
      <c r="X21" s="41">
        <f>+S21*0.115</f>
        <v>1606.182</v>
      </c>
      <c r="Y21" s="41">
        <f>+S21*0.05</f>
        <v>698.34</v>
      </c>
      <c r="Z21" s="41">
        <v>816.33</v>
      </c>
      <c r="AA21" s="42">
        <f>+S21*0.02</f>
        <v>279.33600000000001</v>
      </c>
      <c r="AB21" s="47"/>
      <c r="AC21" s="42"/>
      <c r="AD21" s="42">
        <f>+S21/30*60</f>
        <v>27933.599999999999</v>
      </c>
      <c r="AE21" s="42">
        <f>+S21/30*50</f>
        <v>23278</v>
      </c>
      <c r="AF21" s="42">
        <f>+S21/30*20*0.25</f>
        <v>2327.8000000000002</v>
      </c>
      <c r="AG21" s="42"/>
      <c r="AH21" s="42">
        <f>+S21*0.04*12</f>
        <v>6704.0640000000003</v>
      </c>
      <c r="AI21" s="42">
        <f>((+S21+U21+V21+W21+X21+Y21+Z21+AA21)*12)+AE21+AF21+AG21+AH21+AD21</f>
        <v>291267.32</v>
      </c>
    </row>
    <row r="22" spans="2:35" s="43" customFormat="1" ht="30" customHeight="1">
      <c r="B22" s="28">
        <v>16</v>
      </c>
      <c r="C22" s="28">
        <v>23</v>
      </c>
      <c r="D22" s="29" t="s">
        <v>43</v>
      </c>
      <c r="E22" s="30">
        <v>14</v>
      </c>
      <c r="F22" s="31">
        <v>1</v>
      </c>
      <c r="G22" s="30" t="s">
        <v>44</v>
      </c>
      <c r="H22" s="92">
        <v>99</v>
      </c>
      <c r="I22" s="36" t="s">
        <v>109</v>
      </c>
      <c r="J22" s="32" t="s">
        <v>110</v>
      </c>
      <c r="K22" s="32" t="s">
        <v>59</v>
      </c>
      <c r="L22" s="45">
        <v>42384</v>
      </c>
      <c r="M22" s="34">
        <v>20</v>
      </c>
      <c r="N22" s="35">
        <v>40</v>
      </c>
      <c r="O22" s="35" t="s">
        <v>48</v>
      </c>
      <c r="P22" s="36" t="s">
        <v>111</v>
      </c>
      <c r="Q22" s="36" t="s">
        <v>61</v>
      </c>
      <c r="R22" s="37" t="s">
        <v>70</v>
      </c>
      <c r="S22" s="38">
        <f>13813.5*2</f>
        <v>27627</v>
      </c>
      <c r="T22" s="52"/>
      <c r="U22" s="40">
        <f>832*2</f>
        <v>1664</v>
      </c>
      <c r="V22" s="40">
        <f>559.5*2</f>
        <v>1119</v>
      </c>
      <c r="W22" s="38">
        <v>0</v>
      </c>
      <c r="X22" s="41">
        <f>+S22*0.115</f>
        <v>3177.105</v>
      </c>
      <c r="Y22" s="41">
        <f>+S22*0.05</f>
        <v>1381.3500000000001</v>
      </c>
      <c r="Z22" s="41">
        <v>1244.79</v>
      </c>
      <c r="AA22" s="42">
        <f>+S22*0.02</f>
        <v>552.54</v>
      </c>
      <c r="AB22" s="47"/>
      <c r="AC22" s="42"/>
      <c r="AD22" s="42">
        <f>+S22/30*60</f>
        <v>55254</v>
      </c>
      <c r="AE22" s="42">
        <f>+S22/30*50</f>
        <v>46045</v>
      </c>
      <c r="AF22" s="42">
        <f>+S22/30*20*0.25</f>
        <v>4604.5</v>
      </c>
      <c r="AG22" s="42"/>
      <c r="AH22" s="42">
        <f>+S22*0.04*12</f>
        <v>13260.96</v>
      </c>
      <c r="AI22" s="42">
        <f>((+S22+U22+V22+W22+X22+Y22+Z22+AA22)*12)+AE22+AF22+AG22+AH22+AD22</f>
        <v>560353.88000000012</v>
      </c>
    </row>
    <row r="23" spans="2:35" s="43" customFormat="1" ht="30" customHeight="1">
      <c r="B23" s="28">
        <v>17</v>
      </c>
      <c r="C23" s="86">
        <v>23</v>
      </c>
      <c r="D23" s="87" t="s">
        <v>43</v>
      </c>
      <c r="E23" s="88">
        <v>14</v>
      </c>
      <c r="F23" s="89">
        <v>1</v>
      </c>
      <c r="G23" s="88" t="s">
        <v>44</v>
      </c>
      <c r="H23" s="96">
        <v>108</v>
      </c>
      <c r="I23" s="93" t="s">
        <v>179</v>
      </c>
      <c r="J23" s="32" t="s">
        <v>180</v>
      </c>
      <c r="K23" s="53" t="s">
        <v>59</v>
      </c>
      <c r="L23" s="54">
        <v>42716</v>
      </c>
      <c r="M23" s="55">
        <v>12</v>
      </c>
      <c r="N23" s="35">
        <v>40</v>
      </c>
      <c r="O23" s="35" t="s">
        <v>48</v>
      </c>
      <c r="P23" s="56" t="s">
        <v>60</v>
      </c>
      <c r="Q23" s="56" t="s">
        <v>61</v>
      </c>
      <c r="R23" s="37" t="s">
        <v>70</v>
      </c>
      <c r="S23" s="38">
        <f>6149*2</f>
        <v>12298</v>
      </c>
      <c r="T23" s="52"/>
      <c r="U23" s="40">
        <v>1099</v>
      </c>
      <c r="V23" s="40">
        <v>689</v>
      </c>
      <c r="W23" s="38">
        <v>0</v>
      </c>
      <c r="X23" s="41">
        <f>+S23*0.115</f>
        <v>1414.27</v>
      </c>
      <c r="Y23" s="41">
        <f>+S23*0.05</f>
        <v>614.90000000000009</v>
      </c>
      <c r="Z23" s="41">
        <v>651.79399999999998</v>
      </c>
      <c r="AA23" s="42">
        <f>+S23*0.02</f>
        <v>245.96</v>
      </c>
      <c r="AB23" s="47"/>
      <c r="AC23" s="42"/>
      <c r="AD23" s="42">
        <f>+S23/30*60</f>
        <v>24596</v>
      </c>
      <c r="AE23" s="42">
        <f>+S23/30*50</f>
        <v>20496.666666666668</v>
      </c>
      <c r="AF23" s="42">
        <f>+S23/30*20*0.25</f>
        <v>2049.6666666666665</v>
      </c>
      <c r="AG23" s="42"/>
      <c r="AH23" s="42">
        <f>+S23*0.04*12</f>
        <v>5903.04</v>
      </c>
      <c r="AI23" s="42">
        <f>((+S23+U23+V23+W23+X23+Y23+Z23+AA23)*12)+AE23+AF23+AG23+AH23+AD23</f>
        <v>257200.46133333331</v>
      </c>
    </row>
    <row r="24" spans="2:35" s="43" customFormat="1" ht="30" customHeight="1">
      <c r="B24" s="28">
        <v>18</v>
      </c>
      <c r="C24" s="28">
        <v>23</v>
      </c>
      <c r="D24" s="29" t="s">
        <v>43</v>
      </c>
      <c r="E24" s="30">
        <v>14</v>
      </c>
      <c r="F24" s="31">
        <v>1</v>
      </c>
      <c r="G24" s="30" t="s">
        <v>44</v>
      </c>
      <c r="H24" s="92">
        <v>55</v>
      </c>
      <c r="I24" s="36" t="s">
        <v>86</v>
      </c>
      <c r="J24" s="32" t="s">
        <v>87</v>
      </c>
      <c r="K24" s="32" t="s">
        <v>47</v>
      </c>
      <c r="L24" s="49">
        <v>39494</v>
      </c>
      <c r="M24" s="34">
        <v>2</v>
      </c>
      <c r="N24" s="35">
        <v>40</v>
      </c>
      <c r="O24" s="35" t="s">
        <v>48</v>
      </c>
      <c r="P24" s="36" t="s">
        <v>88</v>
      </c>
      <c r="Q24" s="36" t="s">
        <v>70</v>
      </c>
      <c r="R24" s="37" t="s">
        <v>70</v>
      </c>
      <c r="S24" s="38">
        <f>4514.4*2</f>
        <v>9028.7999999999993</v>
      </c>
      <c r="T24" s="39"/>
      <c r="U24" s="40">
        <f>368.5*2</f>
        <v>737</v>
      </c>
      <c r="V24" s="40">
        <f>227.5*2</f>
        <v>455</v>
      </c>
      <c r="W24" s="38">
        <f>73.04*2</f>
        <v>146.08000000000001</v>
      </c>
      <c r="X24" s="41">
        <f t="shared" si="0"/>
        <v>1038.3119999999999</v>
      </c>
      <c r="Y24" s="41">
        <f t="shared" si="1"/>
        <v>451.44</v>
      </c>
      <c r="Z24" s="41">
        <v>641</v>
      </c>
      <c r="AA24" s="42">
        <f t="shared" si="2"/>
        <v>180.57599999999999</v>
      </c>
      <c r="AB24" s="47"/>
      <c r="AC24" s="42"/>
      <c r="AD24" s="42">
        <f t="shared" si="3"/>
        <v>18057.599999999999</v>
      </c>
      <c r="AE24" s="42">
        <f t="shared" si="4"/>
        <v>15047.999999999998</v>
      </c>
      <c r="AF24" s="42">
        <f t="shared" si="5"/>
        <v>1504.8</v>
      </c>
      <c r="AG24" s="42"/>
      <c r="AH24" s="42">
        <f t="shared" si="6"/>
        <v>4333.8239999999996</v>
      </c>
      <c r="AI24" s="42">
        <f t="shared" si="7"/>
        <v>191082.71999999997</v>
      </c>
    </row>
    <row r="25" spans="2:35" s="43" customFormat="1" ht="30" customHeight="1">
      <c r="B25" s="28">
        <v>19</v>
      </c>
      <c r="C25" s="28">
        <v>23</v>
      </c>
      <c r="D25" s="29" t="s">
        <v>43</v>
      </c>
      <c r="E25" s="30">
        <v>14</v>
      </c>
      <c r="F25" s="31">
        <v>1</v>
      </c>
      <c r="G25" s="30" t="s">
        <v>44</v>
      </c>
      <c r="H25" s="92">
        <v>10</v>
      </c>
      <c r="I25" s="36" t="s">
        <v>89</v>
      </c>
      <c r="J25" s="32" t="s">
        <v>90</v>
      </c>
      <c r="K25" s="32" t="s">
        <v>47</v>
      </c>
      <c r="L25" s="33">
        <v>35849</v>
      </c>
      <c r="M25" s="34">
        <v>13</v>
      </c>
      <c r="N25" s="35">
        <v>40</v>
      </c>
      <c r="O25" s="35" t="s">
        <v>48</v>
      </c>
      <c r="P25" s="36" t="s">
        <v>91</v>
      </c>
      <c r="Q25" s="36" t="s">
        <v>70</v>
      </c>
      <c r="R25" s="37" t="s">
        <v>70</v>
      </c>
      <c r="S25" s="38">
        <f>6606.9*2</f>
        <v>13213.8</v>
      </c>
      <c r="T25" s="39"/>
      <c r="U25" s="40">
        <f>564*2</f>
        <v>1128</v>
      </c>
      <c r="V25" s="40">
        <f>351.5*2</f>
        <v>703</v>
      </c>
      <c r="W25" s="38">
        <f>146.08*2</f>
        <v>292.16000000000003</v>
      </c>
      <c r="X25" s="41">
        <f t="shared" si="0"/>
        <v>1519.587</v>
      </c>
      <c r="Y25" s="41">
        <f t="shared" si="1"/>
        <v>660.69</v>
      </c>
      <c r="Z25" s="41">
        <v>776.51</v>
      </c>
      <c r="AA25" s="42">
        <f t="shared" si="2"/>
        <v>264.27600000000001</v>
      </c>
      <c r="AB25" s="47"/>
      <c r="AC25" s="42"/>
      <c r="AD25" s="42">
        <f t="shared" si="3"/>
        <v>26427.599999999999</v>
      </c>
      <c r="AE25" s="42">
        <f t="shared" si="4"/>
        <v>22023</v>
      </c>
      <c r="AF25" s="42">
        <f t="shared" si="5"/>
        <v>2202.2999999999997</v>
      </c>
      <c r="AG25" s="42"/>
      <c r="AH25" s="42">
        <f t="shared" si="6"/>
        <v>6342.6239999999998</v>
      </c>
      <c r="AI25" s="42">
        <f t="shared" si="7"/>
        <v>279691.79999999993</v>
      </c>
    </row>
    <row r="26" spans="2:35" s="43" customFormat="1" ht="30" customHeight="1">
      <c r="B26" s="28">
        <v>20</v>
      </c>
      <c r="C26" s="28">
        <v>23</v>
      </c>
      <c r="D26" s="29" t="s">
        <v>43</v>
      </c>
      <c r="E26" s="30">
        <v>14</v>
      </c>
      <c r="F26" s="31">
        <v>1</v>
      </c>
      <c r="G26" s="30" t="s">
        <v>44</v>
      </c>
      <c r="H26" s="92">
        <v>35</v>
      </c>
      <c r="I26" s="36" t="s">
        <v>92</v>
      </c>
      <c r="J26" s="32" t="s">
        <v>93</v>
      </c>
      <c r="K26" s="32" t="s">
        <v>59</v>
      </c>
      <c r="L26" s="48">
        <v>37902</v>
      </c>
      <c r="M26" s="34">
        <v>10</v>
      </c>
      <c r="N26" s="35">
        <v>40</v>
      </c>
      <c r="O26" s="35" t="s">
        <v>48</v>
      </c>
      <c r="P26" s="36" t="s">
        <v>94</v>
      </c>
      <c r="Q26" s="36" t="s">
        <v>70</v>
      </c>
      <c r="R26" s="37" t="s">
        <v>70</v>
      </c>
      <c r="S26" s="38">
        <f>6302.4*2</f>
        <v>12604.8</v>
      </c>
      <c r="T26" s="39"/>
      <c r="U26" s="40">
        <f>523*2</f>
        <v>1046</v>
      </c>
      <c r="V26" s="40">
        <f>333*2</f>
        <v>666</v>
      </c>
      <c r="W26" s="38">
        <f>109.56*2</f>
        <v>219.12</v>
      </c>
      <c r="X26" s="41">
        <f t="shared" si="0"/>
        <v>1449.5519999999999</v>
      </c>
      <c r="Y26" s="41">
        <f t="shared" si="1"/>
        <v>630.24</v>
      </c>
      <c r="Z26" s="41">
        <v>768.42</v>
      </c>
      <c r="AA26" s="42">
        <f t="shared" si="2"/>
        <v>252.096</v>
      </c>
      <c r="AB26" s="47"/>
      <c r="AC26" s="42"/>
      <c r="AD26" s="42">
        <f t="shared" si="3"/>
        <v>25209.599999999999</v>
      </c>
      <c r="AE26" s="42">
        <f t="shared" si="4"/>
        <v>21008</v>
      </c>
      <c r="AF26" s="42">
        <f t="shared" si="5"/>
        <v>2100.7999999999997</v>
      </c>
      <c r="AG26" s="42"/>
      <c r="AH26" s="42">
        <f t="shared" si="6"/>
        <v>6050.3040000000001</v>
      </c>
      <c r="AI26" s="42">
        <f t="shared" si="7"/>
        <v>266003.43999999994</v>
      </c>
    </row>
    <row r="27" spans="2:35" s="43" customFormat="1" ht="30" customHeight="1">
      <c r="B27" s="28">
        <v>21</v>
      </c>
      <c r="C27" s="28">
        <v>23</v>
      </c>
      <c r="D27" s="29" t="s">
        <v>43</v>
      </c>
      <c r="E27" s="30">
        <v>14</v>
      </c>
      <c r="F27" s="31">
        <v>1</v>
      </c>
      <c r="G27" s="30" t="s">
        <v>44</v>
      </c>
      <c r="H27" s="92"/>
      <c r="I27" s="36" t="s">
        <v>72</v>
      </c>
      <c r="J27" s="32"/>
      <c r="K27" s="32"/>
      <c r="L27" s="33"/>
      <c r="M27" s="34">
        <v>11</v>
      </c>
      <c r="N27" s="35">
        <v>40</v>
      </c>
      <c r="O27" s="35" t="s">
        <v>48</v>
      </c>
      <c r="P27" s="36" t="s">
        <v>74</v>
      </c>
      <c r="Q27" s="36" t="s">
        <v>70</v>
      </c>
      <c r="R27" s="37" t="s">
        <v>70</v>
      </c>
      <c r="S27" s="38">
        <f>6666.3*2</f>
        <v>13332.6</v>
      </c>
      <c r="T27" s="39"/>
      <c r="U27" s="40">
        <f>546.5*2</f>
        <v>1093</v>
      </c>
      <c r="V27" s="40">
        <f>339.5*2</f>
        <v>679</v>
      </c>
      <c r="W27" s="38">
        <v>0</v>
      </c>
      <c r="X27" s="41">
        <f>+S27*0.115</f>
        <v>1533.249</v>
      </c>
      <c r="Y27" s="41">
        <f>+S27*0.05</f>
        <v>666.63000000000011</v>
      </c>
      <c r="Z27" s="41">
        <v>772.15</v>
      </c>
      <c r="AA27" s="42">
        <f>+S27*0.02</f>
        <v>266.65199999999999</v>
      </c>
      <c r="AB27" s="47"/>
      <c r="AC27" s="42"/>
      <c r="AD27" s="42">
        <f>+S27/30*60</f>
        <v>26665.200000000001</v>
      </c>
      <c r="AE27" s="42">
        <f>+S27/30*50</f>
        <v>22221</v>
      </c>
      <c r="AF27" s="42">
        <f>+S27/30*20*0.25</f>
        <v>2222.1</v>
      </c>
      <c r="AG27" s="42"/>
      <c r="AH27" s="42">
        <f>+S27*0.04*12</f>
        <v>6399.6479999999992</v>
      </c>
      <c r="AI27" s="42">
        <f>((+S27+U27+V27+W27+X27+Y27+Z27+AA27)*12)+AE27+AF27+AG27+AH27+AD27</f>
        <v>277627.32</v>
      </c>
    </row>
    <row r="28" spans="2:35" s="43" customFormat="1" ht="30" customHeight="1">
      <c r="B28" s="28">
        <v>22</v>
      </c>
      <c r="C28" s="28">
        <v>23</v>
      </c>
      <c r="D28" s="29" t="s">
        <v>43</v>
      </c>
      <c r="E28" s="30">
        <v>14</v>
      </c>
      <c r="F28" s="31">
        <v>1</v>
      </c>
      <c r="G28" s="30" t="s">
        <v>44</v>
      </c>
      <c r="H28" s="92">
        <v>29</v>
      </c>
      <c r="I28" s="36" t="s">
        <v>95</v>
      </c>
      <c r="J28" s="32" t="s">
        <v>96</v>
      </c>
      <c r="K28" s="32" t="s">
        <v>47</v>
      </c>
      <c r="L28" s="33">
        <v>37144</v>
      </c>
      <c r="M28" s="34">
        <v>14</v>
      </c>
      <c r="N28" s="35">
        <v>40</v>
      </c>
      <c r="O28" s="35" t="s">
        <v>48</v>
      </c>
      <c r="P28" s="36" t="s">
        <v>60</v>
      </c>
      <c r="Q28" s="36" t="s">
        <v>61</v>
      </c>
      <c r="R28" s="37" t="s">
        <v>70</v>
      </c>
      <c r="S28" s="38">
        <f>6983.4*2</f>
        <v>13966.8</v>
      </c>
      <c r="T28" s="39"/>
      <c r="U28" s="40">
        <f>581.5*2</f>
        <v>1163</v>
      </c>
      <c r="V28" s="40">
        <f>361*2</f>
        <v>722</v>
      </c>
      <c r="W28" s="38">
        <f>146.08*2</f>
        <v>292.16000000000003</v>
      </c>
      <c r="X28" s="41">
        <f t="shared" si="0"/>
        <v>1606.182</v>
      </c>
      <c r="Y28" s="41">
        <f t="shared" si="1"/>
        <v>698.34</v>
      </c>
      <c r="Z28" s="41">
        <v>816.33</v>
      </c>
      <c r="AA28" s="42">
        <f t="shared" si="2"/>
        <v>279.33600000000001</v>
      </c>
      <c r="AB28" s="47"/>
      <c r="AC28" s="42"/>
      <c r="AD28" s="42">
        <f t="shared" si="3"/>
        <v>27933.599999999999</v>
      </c>
      <c r="AE28" s="42">
        <f t="shared" si="4"/>
        <v>23278</v>
      </c>
      <c r="AF28" s="42">
        <f t="shared" si="5"/>
        <v>2327.8000000000002</v>
      </c>
      <c r="AG28" s="42"/>
      <c r="AH28" s="42">
        <f t="shared" si="6"/>
        <v>6704.0640000000003</v>
      </c>
      <c r="AI28" s="42">
        <f t="shared" si="7"/>
        <v>294773.24</v>
      </c>
    </row>
    <row r="29" spans="2:35" s="43" customFormat="1" ht="30" customHeight="1">
      <c r="B29" s="28">
        <v>23</v>
      </c>
      <c r="C29" s="28">
        <v>23</v>
      </c>
      <c r="D29" s="29" t="s">
        <v>43</v>
      </c>
      <c r="E29" s="30">
        <v>14</v>
      </c>
      <c r="F29" s="31">
        <v>1</v>
      </c>
      <c r="G29" s="30" t="s">
        <v>44</v>
      </c>
      <c r="H29" s="92">
        <v>52</v>
      </c>
      <c r="I29" s="36" t="s">
        <v>97</v>
      </c>
      <c r="J29" s="32" t="s">
        <v>98</v>
      </c>
      <c r="K29" s="32" t="s">
        <v>47</v>
      </c>
      <c r="L29" s="33">
        <v>39083</v>
      </c>
      <c r="M29" s="34">
        <v>1</v>
      </c>
      <c r="N29" s="35">
        <v>40</v>
      </c>
      <c r="O29" s="35" t="s">
        <v>48</v>
      </c>
      <c r="P29" s="36" t="s">
        <v>49</v>
      </c>
      <c r="Q29" s="36" t="s">
        <v>50</v>
      </c>
      <c r="R29" s="37" t="s">
        <v>70</v>
      </c>
      <c r="S29" s="38">
        <f>3615.45*2</f>
        <v>7230.9</v>
      </c>
      <c r="T29" s="39"/>
      <c r="U29" s="40">
        <f>278*2</f>
        <v>556</v>
      </c>
      <c r="V29" s="40">
        <f>171.5*2</f>
        <v>343</v>
      </c>
      <c r="W29" s="38">
        <f>73.04*2</f>
        <v>146.08000000000001</v>
      </c>
      <c r="X29" s="41">
        <f t="shared" si="0"/>
        <v>831.55349999999999</v>
      </c>
      <c r="Y29" s="41">
        <f t="shared" si="1"/>
        <v>361.54500000000002</v>
      </c>
      <c r="Z29" s="41">
        <v>629.14</v>
      </c>
      <c r="AA29" s="42">
        <f t="shared" si="2"/>
        <v>144.61799999999999</v>
      </c>
      <c r="AB29" s="47"/>
      <c r="AC29" s="42"/>
      <c r="AD29" s="42">
        <f t="shared" si="3"/>
        <v>14461.8</v>
      </c>
      <c r="AE29" s="42">
        <f t="shared" si="4"/>
        <v>12051.5</v>
      </c>
      <c r="AF29" s="42">
        <f t="shared" si="5"/>
        <v>1205.1500000000001</v>
      </c>
      <c r="AG29" s="42"/>
      <c r="AH29" s="42">
        <f t="shared" si="6"/>
        <v>3470.8319999999999</v>
      </c>
      <c r="AI29" s="42">
        <f t="shared" si="7"/>
        <v>154103.31999999998</v>
      </c>
    </row>
    <row r="30" spans="2:35" s="43" customFormat="1" ht="30" customHeight="1">
      <c r="B30" s="28">
        <v>24</v>
      </c>
      <c r="C30" s="28">
        <v>23</v>
      </c>
      <c r="D30" s="29" t="s">
        <v>43</v>
      </c>
      <c r="E30" s="30">
        <v>14</v>
      </c>
      <c r="F30" s="31">
        <v>1</v>
      </c>
      <c r="G30" s="30" t="s">
        <v>44</v>
      </c>
      <c r="H30" s="92">
        <v>95</v>
      </c>
      <c r="I30" s="91" t="s">
        <v>99</v>
      </c>
      <c r="J30" s="50" t="s">
        <v>100</v>
      </c>
      <c r="K30" s="32" t="s">
        <v>47</v>
      </c>
      <c r="L30" s="33">
        <v>42275</v>
      </c>
      <c r="M30" s="34">
        <v>30</v>
      </c>
      <c r="N30" s="35">
        <v>40</v>
      </c>
      <c r="O30" s="35" t="s">
        <v>48</v>
      </c>
      <c r="P30" s="36" t="s">
        <v>101</v>
      </c>
      <c r="Q30" s="36" t="s">
        <v>102</v>
      </c>
      <c r="R30" s="37" t="s">
        <v>70</v>
      </c>
      <c r="S30" s="46">
        <f>38469*2</f>
        <v>76938</v>
      </c>
      <c r="T30" s="39"/>
      <c r="U30" s="40"/>
      <c r="V30" s="40"/>
      <c r="W30" s="38">
        <v>0</v>
      </c>
      <c r="X30" s="41">
        <f t="shared" si="0"/>
        <v>8847.8700000000008</v>
      </c>
      <c r="Y30" s="41">
        <f t="shared" si="1"/>
        <v>3846.9</v>
      </c>
      <c r="Z30" s="41">
        <v>1460.86</v>
      </c>
      <c r="AA30" s="42">
        <f t="shared" si="2"/>
        <v>1538.76</v>
      </c>
      <c r="AB30" s="47"/>
      <c r="AC30" s="42"/>
      <c r="AD30" s="42">
        <f t="shared" si="3"/>
        <v>153876</v>
      </c>
      <c r="AE30" s="42">
        <f t="shared" si="4"/>
        <v>128230</v>
      </c>
      <c r="AF30" s="42">
        <f t="shared" si="5"/>
        <v>12823</v>
      </c>
      <c r="AG30" s="42"/>
      <c r="AH30" s="42">
        <f t="shared" si="6"/>
        <v>36930.239999999998</v>
      </c>
      <c r="AI30" s="42">
        <f t="shared" si="7"/>
        <v>1443447.9199999997</v>
      </c>
    </row>
    <row r="31" spans="2:35" s="43" customFormat="1" ht="30" customHeight="1">
      <c r="B31" s="28">
        <v>25</v>
      </c>
      <c r="C31" s="28">
        <v>23</v>
      </c>
      <c r="D31" s="29" t="s">
        <v>43</v>
      </c>
      <c r="E31" s="30">
        <v>14</v>
      </c>
      <c r="F31" s="31">
        <v>1</v>
      </c>
      <c r="G31" s="30" t="s">
        <v>44</v>
      </c>
      <c r="H31" s="92">
        <v>63</v>
      </c>
      <c r="I31" s="36" t="s">
        <v>103</v>
      </c>
      <c r="J31" s="32" t="s">
        <v>104</v>
      </c>
      <c r="K31" s="32" t="s">
        <v>59</v>
      </c>
      <c r="L31" s="33">
        <v>39904</v>
      </c>
      <c r="M31" s="34">
        <v>11</v>
      </c>
      <c r="N31" s="35">
        <v>40</v>
      </c>
      <c r="O31" s="35" t="s">
        <v>48</v>
      </c>
      <c r="P31" s="36" t="s">
        <v>60</v>
      </c>
      <c r="Q31" s="36" t="s">
        <v>61</v>
      </c>
      <c r="R31" s="37" t="s">
        <v>70</v>
      </c>
      <c r="S31" s="38">
        <f>6666.3*2</f>
        <v>13332.6</v>
      </c>
      <c r="T31" s="39"/>
      <c r="U31" s="40">
        <f>546.5*2</f>
        <v>1093</v>
      </c>
      <c r="V31" s="40">
        <f>339.5*2</f>
        <v>679</v>
      </c>
      <c r="W31" s="38">
        <f>73.04*2</f>
        <v>146.08000000000001</v>
      </c>
      <c r="X31" s="41">
        <f t="shared" si="0"/>
        <v>1533.249</v>
      </c>
      <c r="Y31" s="41">
        <f t="shared" si="1"/>
        <v>666.63000000000011</v>
      </c>
      <c r="Z31" s="41">
        <v>793.24</v>
      </c>
      <c r="AA31" s="42">
        <f t="shared" si="2"/>
        <v>266.65199999999999</v>
      </c>
      <c r="AB31" s="47"/>
      <c r="AC31" s="42"/>
      <c r="AD31" s="42">
        <f t="shared" si="3"/>
        <v>26665.200000000001</v>
      </c>
      <c r="AE31" s="42">
        <f t="shared" si="4"/>
        <v>22221</v>
      </c>
      <c r="AF31" s="42">
        <f t="shared" si="5"/>
        <v>2222.1</v>
      </c>
      <c r="AG31" s="42"/>
      <c r="AH31" s="42">
        <f t="shared" si="6"/>
        <v>6399.6479999999992</v>
      </c>
      <c r="AI31" s="42">
        <f t="shared" si="7"/>
        <v>279633.36</v>
      </c>
    </row>
    <row r="32" spans="2:35" s="43" customFormat="1" ht="30" customHeight="1">
      <c r="B32" s="28">
        <v>26</v>
      </c>
      <c r="C32" s="28">
        <v>23</v>
      </c>
      <c r="D32" s="29" t="s">
        <v>43</v>
      </c>
      <c r="E32" s="30">
        <v>14</v>
      </c>
      <c r="F32" s="31">
        <v>1</v>
      </c>
      <c r="G32" s="30" t="s">
        <v>44</v>
      </c>
      <c r="H32" s="92">
        <v>100</v>
      </c>
      <c r="I32" s="36" t="s">
        <v>105</v>
      </c>
      <c r="J32" s="32" t="s">
        <v>183</v>
      </c>
      <c r="K32" s="32" t="s">
        <v>59</v>
      </c>
      <c r="L32" s="33">
        <v>42385</v>
      </c>
      <c r="M32" s="34">
        <v>20</v>
      </c>
      <c r="N32" s="35">
        <v>40</v>
      </c>
      <c r="O32" s="35" t="s">
        <v>48</v>
      </c>
      <c r="P32" s="36" t="s">
        <v>106</v>
      </c>
      <c r="Q32" s="36" t="s">
        <v>70</v>
      </c>
      <c r="R32" s="37" t="s">
        <v>70</v>
      </c>
      <c r="S32" s="38">
        <f>13813.5*2</f>
        <v>27627</v>
      </c>
      <c r="T32" s="51"/>
      <c r="U32" s="40">
        <f>832*2</f>
        <v>1664</v>
      </c>
      <c r="V32" s="40">
        <f>559.5*2</f>
        <v>1119</v>
      </c>
      <c r="W32" s="38">
        <v>0</v>
      </c>
      <c r="X32" s="41">
        <f t="shared" si="0"/>
        <v>3177.105</v>
      </c>
      <c r="Y32" s="41">
        <f t="shared" si="1"/>
        <v>1381.3500000000001</v>
      </c>
      <c r="Z32" s="41">
        <v>1244.79</v>
      </c>
      <c r="AA32" s="42">
        <f t="shared" si="2"/>
        <v>552.54</v>
      </c>
      <c r="AB32" s="47"/>
      <c r="AC32" s="42"/>
      <c r="AD32" s="42">
        <f t="shared" si="3"/>
        <v>55254</v>
      </c>
      <c r="AE32" s="42">
        <f t="shared" si="4"/>
        <v>46045</v>
      </c>
      <c r="AF32" s="42">
        <f t="shared" si="5"/>
        <v>4604.5</v>
      </c>
      <c r="AG32" s="42"/>
      <c r="AH32" s="42">
        <f t="shared" si="6"/>
        <v>13260.96</v>
      </c>
      <c r="AI32" s="42">
        <f t="shared" si="7"/>
        <v>560353.88000000012</v>
      </c>
    </row>
    <row r="33" spans="2:35" s="43" customFormat="1" ht="30" customHeight="1">
      <c r="B33" s="28">
        <v>27</v>
      </c>
      <c r="C33" s="28">
        <v>23</v>
      </c>
      <c r="D33" s="29" t="s">
        <v>43</v>
      </c>
      <c r="E33" s="30">
        <v>14</v>
      </c>
      <c r="F33" s="31">
        <v>1</v>
      </c>
      <c r="G33" s="30" t="s">
        <v>44</v>
      </c>
      <c r="H33" s="96">
        <v>109</v>
      </c>
      <c r="I33" s="93" t="s">
        <v>181</v>
      </c>
      <c r="J33" s="32" t="s">
        <v>182</v>
      </c>
      <c r="K33" s="53" t="s">
        <v>59</v>
      </c>
      <c r="L33" s="54">
        <v>42689</v>
      </c>
      <c r="M33" s="55">
        <v>15</v>
      </c>
      <c r="N33" s="35">
        <v>40</v>
      </c>
      <c r="O33" s="35" t="s">
        <v>48</v>
      </c>
      <c r="P33" s="56" t="s">
        <v>119</v>
      </c>
      <c r="Q33" s="56" t="s">
        <v>61</v>
      </c>
      <c r="R33" s="37" t="s">
        <v>70</v>
      </c>
      <c r="S33" s="38">
        <v>15125</v>
      </c>
      <c r="T33" s="52"/>
      <c r="U33" s="40">
        <v>1206</v>
      </c>
      <c r="V33" s="40">
        <v>756</v>
      </c>
      <c r="W33" s="38">
        <v>0</v>
      </c>
      <c r="X33" s="41">
        <f>+S33*0.115</f>
        <v>1739.375</v>
      </c>
      <c r="Y33" s="41">
        <f>+S33*0.05</f>
        <v>756.25</v>
      </c>
      <c r="Z33" s="41">
        <v>907.5</v>
      </c>
      <c r="AA33" s="42">
        <f>+S33*0.02</f>
        <v>302.5</v>
      </c>
      <c r="AB33" s="47"/>
      <c r="AC33" s="42"/>
      <c r="AD33" s="42">
        <f>+S33/30*60</f>
        <v>30250</v>
      </c>
      <c r="AE33" s="42">
        <f>+S33/30*50</f>
        <v>25208.333333333336</v>
      </c>
      <c r="AF33" s="42">
        <f>+S33/30*20*0.25</f>
        <v>2520.8333333333335</v>
      </c>
      <c r="AG33" s="42"/>
      <c r="AH33" s="42">
        <f>+S33*0.04*12</f>
        <v>7260</v>
      </c>
      <c r="AI33" s="42">
        <f>((+S33+U33+V33+W33+X33+Y33+Z33+AA33)*12)+AE33+AF33+AG33+AH33+AD33</f>
        <v>314750.66666666663</v>
      </c>
    </row>
    <row r="34" spans="2:35" s="43" customFormat="1" ht="30" customHeight="1">
      <c r="B34" s="28">
        <v>28</v>
      </c>
      <c r="C34" s="28">
        <v>23</v>
      </c>
      <c r="D34" s="29" t="s">
        <v>43</v>
      </c>
      <c r="E34" s="30">
        <v>14</v>
      </c>
      <c r="F34" s="31">
        <v>1</v>
      </c>
      <c r="G34" s="30" t="s">
        <v>44</v>
      </c>
      <c r="H34" s="92">
        <v>64</v>
      </c>
      <c r="I34" s="36" t="s">
        <v>107</v>
      </c>
      <c r="J34" s="32" t="s">
        <v>108</v>
      </c>
      <c r="K34" s="32" t="s">
        <v>59</v>
      </c>
      <c r="L34" s="48">
        <v>37902</v>
      </c>
      <c r="M34" s="34">
        <v>14</v>
      </c>
      <c r="N34" s="35">
        <v>40</v>
      </c>
      <c r="O34" s="35" t="s">
        <v>48</v>
      </c>
      <c r="P34" s="36" t="s">
        <v>64</v>
      </c>
      <c r="Q34" s="36" t="s">
        <v>61</v>
      </c>
      <c r="R34" s="37" t="s">
        <v>70</v>
      </c>
      <c r="S34" s="38">
        <f>6983.4*2</f>
        <v>13966.8</v>
      </c>
      <c r="T34" s="52"/>
      <c r="U34" s="40">
        <f>581.5*2</f>
        <v>1163</v>
      </c>
      <c r="V34" s="40">
        <f>361*2</f>
        <v>722</v>
      </c>
      <c r="W34" s="38">
        <f>109.56*2</f>
        <v>219.12</v>
      </c>
      <c r="X34" s="41">
        <f t="shared" si="0"/>
        <v>1606.182</v>
      </c>
      <c r="Y34" s="41">
        <f t="shared" si="1"/>
        <v>698.34</v>
      </c>
      <c r="Z34" s="41">
        <v>899.18</v>
      </c>
      <c r="AA34" s="42">
        <f t="shared" si="2"/>
        <v>279.33600000000001</v>
      </c>
      <c r="AB34" s="47"/>
      <c r="AC34" s="42"/>
      <c r="AD34" s="42">
        <f t="shared" si="3"/>
        <v>27933.599999999999</v>
      </c>
      <c r="AE34" s="42">
        <f t="shared" si="4"/>
        <v>23278</v>
      </c>
      <c r="AF34" s="42">
        <f t="shared" si="5"/>
        <v>2327.8000000000002</v>
      </c>
      <c r="AG34" s="42"/>
      <c r="AH34" s="42">
        <f t="shared" si="6"/>
        <v>6704.0640000000003</v>
      </c>
      <c r="AI34" s="42">
        <f t="shared" si="7"/>
        <v>294890.95999999996</v>
      </c>
    </row>
    <row r="35" spans="2:35" s="43" customFormat="1" ht="30" customHeight="1">
      <c r="B35" s="28">
        <v>29</v>
      </c>
      <c r="C35" s="28">
        <v>23</v>
      </c>
      <c r="D35" s="29" t="s">
        <v>43</v>
      </c>
      <c r="E35" s="30">
        <v>14</v>
      </c>
      <c r="F35" s="31">
        <v>1</v>
      </c>
      <c r="G35" s="30" t="s">
        <v>44</v>
      </c>
      <c r="H35" s="96">
        <v>104</v>
      </c>
      <c r="I35" s="56" t="s">
        <v>115</v>
      </c>
      <c r="J35" s="53" t="s">
        <v>116</v>
      </c>
      <c r="K35" s="53" t="s">
        <v>47</v>
      </c>
      <c r="L35" s="54">
        <v>42675</v>
      </c>
      <c r="M35" s="55">
        <v>14</v>
      </c>
      <c r="N35" s="35">
        <v>40</v>
      </c>
      <c r="O35" s="35" t="s">
        <v>48</v>
      </c>
      <c r="P35" s="56" t="s">
        <v>117</v>
      </c>
      <c r="Q35" s="56" t="s">
        <v>70</v>
      </c>
      <c r="R35" s="37" t="s">
        <v>70</v>
      </c>
      <c r="S35" s="38">
        <f>6983.4*2</f>
        <v>13966.8</v>
      </c>
      <c r="T35" s="52"/>
      <c r="U35" s="40">
        <f>361*2</f>
        <v>722</v>
      </c>
      <c r="V35" s="40">
        <f>581.5*2</f>
        <v>1163</v>
      </c>
      <c r="W35" s="38">
        <v>0</v>
      </c>
      <c r="X35" s="41">
        <f t="shared" si="0"/>
        <v>1606.182</v>
      </c>
      <c r="Y35" s="41">
        <f t="shared" si="1"/>
        <v>698.34</v>
      </c>
      <c r="Z35" s="41">
        <v>899.18</v>
      </c>
      <c r="AA35" s="42">
        <f t="shared" si="2"/>
        <v>279.33600000000001</v>
      </c>
      <c r="AB35" s="47"/>
      <c r="AC35" s="42"/>
      <c r="AD35" s="42">
        <f t="shared" si="3"/>
        <v>27933.599999999999</v>
      </c>
      <c r="AE35" s="42">
        <f t="shared" si="4"/>
        <v>23278</v>
      </c>
      <c r="AF35" s="42">
        <f t="shared" si="5"/>
        <v>2327.8000000000002</v>
      </c>
      <c r="AG35" s="42"/>
      <c r="AH35" s="42">
        <f t="shared" si="6"/>
        <v>6704.0640000000003</v>
      </c>
      <c r="AI35" s="42">
        <f t="shared" si="7"/>
        <v>292261.51999999996</v>
      </c>
    </row>
    <row r="36" spans="2:35" s="43" customFormat="1" ht="30" customHeight="1">
      <c r="B36" s="28">
        <v>30</v>
      </c>
      <c r="C36" s="28">
        <v>23</v>
      </c>
      <c r="D36" s="29" t="s">
        <v>43</v>
      </c>
      <c r="E36" s="30">
        <v>14</v>
      </c>
      <c r="F36" s="31">
        <v>1</v>
      </c>
      <c r="G36" s="30" t="s">
        <v>44</v>
      </c>
      <c r="H36" s="96"/>
      <c r="I36" s="56" t="s">
        <v>72</v>
      </c>
      <c r="J36" s="53"/>
      <c r="K36" s="53"/>
      <c r="L36" s="54"/>
      <c r="M36" s="55">
        <v>15</v>
      </c>
      <c r="N36" s="35">
        <v>40</v>
      </c>
      <c r="O36" s="35" t="s">
        <v>48</v>
      </c>
      <c r="P36" s="56" t="s">
        <v>118</v>
      </c>
      <c r="Q36" s="56" t="s">
        <v>61</v>
      </c>
      <c r="R36" s="37" t="s">
        <v>70</v>
      </c>
      <c r="S36" s="38">
        <v>15125</v>
      </c>
      <c r="T36" s="52"/>
      <c r="U36" s="40">
        <v>1206</v>
      </c>
      <c r="V36" s="40">
        <v>756</v>
      </c>
      <c r="W36" s="38">
        <v>0</v>
      </c>
      <c r="X36" s="41">
        <f t="shared" si="0"/>
        <v>1739.375</v>
      </c>
      <c r="Y36" s="41">
        <f t="shared" si="1"/>
        <v>756.25</v>
      </c>
      <c r="Z36" s="41">
        <v>907.5</v>
      </c>
      <c r="AA36" s="42">
        <f t="shared" si="2"/>
        <v>302.5</v>
      </c>
      <c r="AB36" s="47"/>
      <c r="AC36" s="42"/>
      <c r="AD36" s="42">
        <f t="shared" si="3"/>
        <v>30250</v>
      </c>
      <c r="AE36" s="42">
        <f t="shared" si="4"/>
        <v>25208.333333333336</v>
      </c>
      <c r="AF36" s="42">
        <f t="shared" si="5"/>
        <v>2520.8333333333335</v>
      </c>
      <c r="AG36" s="42"/>
      <c r="AH36" s="42">
        <f t="shared" si="6"/>
        <v>7260</v>
      </c>
      <c r="AI36" s="42">
        <f t="shared" si="7"/>
        <v>314750.66666666663</v>
      </c>
    </row>
    <row r="37" spans="2:35" s="43" customFormat="1" ht="30" customHeight="1">
      <c r="B37" s="28">
        <v>31</v>
      </c>
      <c r="C37" s="28">
        <v>23</v>
      </c>
      <c r="D37" s="29" t="s">
        <v>43</v>
      </c>
      <c r="E37" s="30">
        <v>14</v>
      </c>
      <c r="F37" s="31">
        <v>1</v>
      </c>
      <c r="G37" s="30" t="s">
        <v>44</v>
      </c>
      <c r="H37" s="96">
        <v>105</v>
      </c>
      <c r="I37" s="56" t="s">
        <v>120</v>
      </c>
      <c r="J37" s="53" t="s">
        <v>121</v>
      </c>
      <c r="K37" s="53" t="s">
        <v>47</v>
      </c>
      <c r="L37" s="54">
        <v>42686</v>
      </c>
      <c r="M37" s="55">
        <v>1</v>
      </c>
      <c r="N37" s="35">
        <v>40</v>
      </c>
      <c r="O37" s="35" t="s">
        <v>48</v>
      </c>
      <c r="P37" s="56" t="s">
        <v>49</v>
      </c>
      <c r="Q37" s="56" t="s">
        <v>50</v>
      </c>
      <c r="R37" s="37" t="s">
        <v>70</v>
      </c>
      <c r="S37" s="38">
        <f>3615.45*2</f>
        <v>7230.9</v>
      </c>
      <c r="T37" s="52"/>
      <c r="U37" s="40">
        <f>171.48*2</f>
        <v>342.96</v>
      </c>
      <c r="V37" s="40">
        <f>277.98*2</f>
        <v>555.96</v>
      </c>
      <c r="W37" s="38">
        <v>0</v>
      </c>
      <c r="X37" s="41">
        <f>+S37*0.115</f>
        <v>831.55349999999999</v>
      </c>
      <c r="Y37" s="41">
        <f>+S37*0.05</f>
        <v>361.54500000000002</v>
      </c>
      <c r="Z37" s="41">
        <v>629.14</v>
      </c>
      <c r="AA37" s="42">
        <f>+S37*0.02</f>
        <v>144.61799999999999</v>
      </c>
      <c r="AB37" s="47"/>
      <c r="AC37" s="42"/>
      <c r="AD37" s="42">
        <f>+S37/30*60</f>
        <v>14461.8</v>
      </c>
      <c r="AE37" s="42">
        <f>+S37/30*50</f>
        <v>12051.5</v>
      </c>
      <c r="AF37" s="42">
        <f>+S37/30*20*0.25</f>
        <v>1205.1500000000001</v>
      </c>
      <c r="AG37" s="42"/>
      <c r="AH37" s="42">
        <f>+S37*0.04*12</f>
        <v>3470.8319999999999</v>
      </c>
      <c r="AI37" s="42">
        <f>((+S37+U37+V37+W37+X37+Y37+Z37+AA37)*12)+AE37+AF37+AG37+AH37+AD37</f>
        <v>152349.39999999997</v>
      </c>
    </row>
    <row r="38" spans="2:35" s="43" customFormat="1" ht="30" customHeight="1">
      <c r="B38" s="28">
        <v>32</v>
      </c>
      <c r="C38" s="28">
        <v>23</v>
      </c>
      <c r="D38" s="29" t="s">
        <v>43</v>
      </c>
      <c r="E38" s="30">
        <v>14</v>
      </c>
      <c r="F38" s="31">
        <v>1</v>
      </c>
      <c r="G38" s="30" t="s">
        <v>44</v>
      </c>
      <c r="H38" s="92"/>
      <c r="I38" s="56" t="s">
        <v>122</v>
      </c>
      <c r="J38" s="90"/>
      <c r="K38" s="53"/>
      <c r="L38" s="54"/>
      <c r="M38" s="55">
        <v>12</v>
      </c>
      <c r="N38" s="35">
        <v>40</v>
      </c>
      <c r="O38" s="35" t="s">
        <v>48</v>
      </c>
      <c r="P38" s="56" t="s">
        <v>60</v>
      </c>
      <c r="Q38" s="56" t="s">
        <v>61</v>
      </c>
      <c r="R38" s="37" t="s">
        <v>70</v>
      </c>
      <c r="S38" s="38">
        <f>6149*2</f>
        <v>12298</v>
      </c>
      <c r="T38" s="52"/>
      <c r="U38" s="40">
        <v>1099</v>
      </c>
      <c r="V38" s="40">
        <v>689</v>
      </c>
      <c r="W38" s="38">
        <v>0</v>
      </c>
      <c r="X38" s="41">
        <f t="shared" si="0"/>
        <v>1414.27</v>
      </c>
      <c r="Y38" s="41">
        <f t="shared" si="1"/>
        <v>614.90000000000009</v>
      </c>
      <c r="Z38" s="41">
        <v>651.79399999999998</v>
      </c>
      <c r="AA38" s="42">
        <f t="shared" si="2"/>
        <v>245.96</v>
      </c>
      <c r="AB38" s="47"/>
      <c r="AC38" s="42"/>
      <c r="AD38" s="42">
        <f t="shared" si="3"/>
        <v>24596</v>
      </c>
      <c r="AE38" s="42">
        <f t="shared" si="4"/>
        <v>20496.666666666668</v>
      </c>
      <c r="AF38" s="42">
        <f t="shared" si="5"/>
        <v>2049.6666666666665</v>
      </c>
      <c r="AG38" s="42"/>
      <c r="AH38" s="42">
        <f t="shared" si="6"/>
        <v>5903.04</v>
      </c>
      <c r="AI38" s="42">
        <f t="shared" si="7"/>
        <v>257200.46133333331</v>
      </c>
    </row>
    <row r="39" spans="2:35" s="43" customFormat="1">
      <c r="B39" s="57"/>
      <c r="C39" s="57"/>
      <c r="D39" s="57"/>
      <c r="E39" s="58"/>
      <c r="F39" s="58"/>
      <c r="G39" s="57"/>
      <c r="H39" s="58"/>
      <c r="I39" s="59"/>
      <c r="J39" s="60"/>
      <c r="K39" s="59"/>
      <c r="L39" s="59"/>
      <c r="M39" s="60"/>
      <c r="N39" s="59"/>
      <c r="O39" s="59"/>
      <c r="P39" s="60"/>
      <c r="Q39" s="59"/>
      <c r="R39" s="59"/>
      <c r="S39" s="61">
        <f t="shared" ref="S39:AI39" si="8">SUM(S7:S38)</f>
        <v>553408.69999999984</v>
      </c>
      <c r="T39" s="61">
        <f t="shared" si="8"/>
        <v>0</v>
      </c>
      <c r="U39" s="61">
        <f t="shared" si="8"/>
        <v>34578.959999999999</v>
      </c>
      <c r="V39" s="61">
        <f t="shared" si="8"/>
        <v>23230.959999999999</v>
      </c>
      <c r="W39" s="61">
        <f t="shared" si="8"/>
        <v>2921.6</v>
      </c>
      <c r="X39" s="61">
        <f t="shared" si="8"/>
        <v>63642.000500000016</v>
      </c>
      <c r="Y39" s="61">
        <f t="shared" si="8"/>
        <v>27670.435000000001</v>
      </c>
      <c r="Z39" s="61">
        <f t="shared" si="8"/>
        <v>28062.168000000005</v>
      </c>
      <c r="AA39" s="61">
        <f t="shared" si="8"/>
        <v>11068.174000000001</v>
      </c>
      <c r="AB39" s="61">
        <f t="shared" si="8"/>
        <v>0</v>
      </c>
      <c r="AC39" s="61">
        <f t="shared" si="8"/>
        <v>0</v>
      </c>
      <c r="AD39" s="61">
        <f t="shared" si="8"/>
        <v>1106817.3999999997</v>
      </c>
      <c r="AE39" s="61">
        <f t="shared" si="8"/>
        <v>922347.83333333337</v>
      </c>
      <c r="AF39" s="61">
        <f t="shared" si="8"/>
        <v>92234.78333333334</v>
      </c>
      <c r="AG39" s="61">
        <f t="shared" si="8"/>
        <v>0</v>
      </c>
      <c r="AH39" s="61">
        <f t="shared" si="8"/>
        <v>265636.17599999998</v>
      </c>
      <c r="AI39" s="61">
        <f t="shared" si="8"/>
        <v>11322032.162666665</v>
      </c>
    </row>
    <row r="40" spans="2:35" ht="15.75">
      <c r="B40" s="62">
        <f>+B38</f>
        <v>32</v>
      </c>
      <c r="C40" s="63"/>
      <c r="D40" s="64" t="s">
        <v>123</v>
      </c>
      <c r="E40" s="63"/>
      <c r="F40" s="63"/>
      <c r="H40" s="97"/>
      <c r="M40" s="1"/>
      <c r="N40" s="1"/>
      <c r="O40" s="1"/>
      <c r="S40" s="1"/>
      <c r="T40" s="1"/>
      <c r="U40" s="1"/>
      <c r="V40" s="1"/>
      <c r="W40" s="1"/>
      <c r="X40" s="66">
        <f>X39</f>
        <v>63642.000500000016</v>
      </c>
      <c r="Y40" s="66">
        <f>(Y39)</f>
        <v>27670.435000000001</v>
      </c>
      <c r="Z40" s="66">
        <f>Z39</f>
        <v>28062.168000000005</v>
      </c>
      <c r="AA40" s="66">
        <f>AA39*12</f>
        <v>132818.08800000002</v>
      </c>
      <c r="AB40" s="66">
        <f>AB39*12</f>
        <v>0</v>
      </c>
      <c r="AC40" s="7"/>
      <c r="AD40" s="7"/>
      <c r="AI40" s="67"/>
    </row>
    <row r="41" spans="2:35" ht="15.75">
      <c r="B41" s="68"/>
      <c r="C41" s="63"/>
      <c r="D41" s="64"/>
      <c r="E41" s="63"/>
      <c r="F41" s="63"/>
      <c r="H41" s="97"/>
      <c r="M41" s="1"/>
      <c r="N41" s="1"/>
      <c r="O41" s="1"/>
      <c r="S41" s="1"/>
      <c r="T41" s="1"/>
      <c r="U41" s="1"/>
      <c r="V41" s="1"/>
      <c r="W41" s="1"/>
      <c r="X41" s="69"/>
      <c r="Y41" s="69"/>
      <c r="Z41" s="69"/>
      <c r="AA41" s="69"/>
      <c r="AB41" s="69"/>
      <c r="AC41" s="7"/>
      <c r="AD41" s="70"/>
    </row>
    <row r="42" spans="2:35" s="3" customFormat="1" ht="15">
      <c r="B42" s="2" t="s">
        <v>123</v>
      </c>
      <c r="C42" s="63"/>
      <c r="D42" s="63"/>
      <c r="E42" s="16"/>
      <c r="F42" s="16"/>
      <c r="G42" s="1"/>
      <c r="X42" s="9"/>
      <c r="Y42" s="9"/>
      <c r="Z42" s="9"/>
      <c r="AA42" s="1"/>
      <c r="AB42" s="1"/>
      <c r="AC42" s="1"/>
      <c r="AD42" s="71"/>
      <c r="AE42" s="1"/>
      <c r="AI42" s="72"/>
    </row>
    <row r="43" spans="2:35" s="3" customFormat="1">
      <c r="B43" s="73" t="s">
        <v>124</v>
      </c>
      <c r="C43" s="6"/>
      <c r="D43" s="10"/>
      <c r="E43" s="5"/>
      <c r="F43" s="5"/>
      <c r="G43" s="6"/>
      <c r="H43" s="10"/>
      <c r="I43" s="6"/>
      <c r="J43" s="10"/>
      <c r="K43" s="10"/>
      <c r="L43" s="10"/>
      <c r="M43" s="10"/>
      <c r="N43" s="10"/>
      <c r="O43" s="1"/>
      <c r="P43" s="1"/>
      <c r="Q43" s="1"/>
      <c r="R43" s="1"/>
      <c r="T43" s="9"/>
      <c r="U43" s="9"/>
      <c r="V43" s="9"/>
      <c r="W43" s="9"/>
      <c r="X43" s="9"/>
      <c r="Y43" s="9"/>
      <c r="Z43" s="9"/>
      <c r="AA43" s="1"/>
      <c r="AB43" s="1"/>
      <c r="AC43" s="1"/>
      <c r="AD43" s="1"/>
      <c r="AE43" s="1"/>
      <c r="AI43" s="72"/>
    </row>
    <row r="44" spans="2:35" s="3" customFormat="1">
      <c r="B44" s="74" t="s">
        <v>125</v>
      </c>
      <c r="C44" s="75"/>
      <c r="D44" s="8"/>
      <c r="E44" s="65"/>
      <c r="F44" s="65"/>
      <c r="G44" s="7"/>
      <c r="H44" s="8"/>
      <c r="I44" s="7"/>
      <c r="J44" s="8"/>
      <c r="K44" s="8"/>
      <c r="L44" s="8"/>
      <c r="M44" s="8"/>
      <c r="N44" s="8"/>
      <c r="O44" s="1"/>
      <c r="P44" s="1"/>
      <c r="Q44" s="1"/>
      <c r="R44" s="1"/>
      <c r="S44" s="83">
        <f>SUM(S39*12)</f>
        <v>6640904.3999999985</v>
      </c>
      <c r="T44" s="83">
        <f t="shared" ref="T44:AA44" si="9">SUM(T39*12)</f>
        <v>0</v>
      </c>
      <c r="U44" s="83">
        <f t="shared" si="9"/>
        <v>414947.52</v>
      </c>
      <c r="V44" s="83">
        <f t="shared" si="9"/>
        <v>278771.52</v>
      </c>
      <c r="W44" s="83">
        <f t="shared" si="9"/>
        <v>35059.199999999997</v>
      </c>
      <c r="X44" s="83">
        <f t="shared" si="9"/>
        <v>763704.00600000017</v>
      </c>
      <c r="Y44" s="83">
        <f t="shared" si="9"/>
        <v>332045.22000000003</v>
      </c>
      <c r="Z44" s="83">
        <f t="shared" si="9"/>
        <v>336746.01600000006</v>
      </c>
      <c r="AA44" s="83">
        <f t="shared" si="9"/>
        <v>132818.08800000002</v>
      </c>
      <c r="AB44" s="1"/>
      <c r="AC44" s="1"/>
      <c r="AD44" s="76"/>
      <c r="AE44" s="1"/>
      <c r="AI44" s="72"/>
    </row>
    <row r="45" spans="2:35" s="3" customFormat="1">
      <c r="B45" s="77" t="s">
        <v>13</v>
      </c>
      <c r="C45" s="77"/>
      <c r="D45" s="77"/>
      <c r="E45" s="78"/>
      <c r="F45" s="78"/>
      <c r="G45" s="77" t="s">
        <v>3</v>
      </c>
      <c r="H45" s="98"/>
      <c r="I45" s="79"/>
      <c r="O45" s="1"/>
      <c r="P45" s="1"/>
      <c r="Q45" s="1"/>
      <c r="R45" s="1"/>
      <c r="T45" s="9"/>
      <c r="U45" s="9"/>
      <c r="V45" s="9"/>
      <c r="W45" s="9"/>
      <c r="X45" s="9"/>
      <c r="Y45" s="9"/>
      <c r="Z45" s="9"/>
      <c r="AA45" s="1"/>
      <c r="AB45" s="1"/>
      <c r="AC45" s="1"/>
      <c r="AD45" s="1"/>
      <c r="AE45" s="1"/>
      <c r="AI45" s="72"/>
    </row>
    <row r="46" spans="2:35" s="3" customFormat="1">
      <c r="B46" s="77" t="s">
        <v>126</v>
      </c>
      <c r="C46" s="77"/>
      <c r="D46" s="77"/>
      <c r="E46" s="78"/>
      <c r="F46" s="78"/>
      <c r="G46" s="77" t="s">
        <v>127</v>
      </c>
      <c r="H46" s="98"/>
      <c r="I46" s="79"/>
      <c r="O46" s="1"/>
      <c r="P46" s="1"/>
      <c r="Q46" s="1"/>
      <c r="R46" s="1"/>
      <c r="T46" s="9"/>
      <c r="U46" s="9"/>
      <c r="V46" s="9"/>
      <c r="W46" s="9"/>
      <c r="X46" s="9"/>
      <c r="Y46" s="9"/>
      <c r="Z46" s="9"/>
      <c r="AA46" s="1"/>
      <c r="AB46" s="1"/>
      <c r="AC46" s="1"/>
      <c r="AD46" s="1"/>
      <c r="AE46" s="1"/>
      <c r="AI46" s="72"/>
    </row>
    <row r="47" spans="2:35" s="3" customFormat="1">
      <c r="B47" s="77" t="s">
        <v>15</v>
      </c>
      <c r="C47" s="77"/>
      <c r="D47" s="77"/>
      <c r="E47" s="78"/>
      <c r="F47" s="78"/>
      <c r="G47" s="77" t="s">
        <v>128</v>
      </c>
      <c r="H47" s="98"/>
      <c r="I47" s="79"/>
      <c r="O47" s="1"/>
      <c r="P47" s="1"/>
      <c r="Q47" s="1"/>
      <c r="R47" s="1"/>
      <c r="T47" s="9"/>
      <c r="U47" s="9"/>
      <c r="V47" s="9"/>
      <c r="W47" s="9"/>
      <c r="X47" s="9"/>
      <c r="Y47" s="9"/>
      <c r="Z47" s="9"/>
      <c r="AA47" s="1"/>
      <c r="AB47" s="1"/>
      <c r="AC47" s="1"/>
      <c r="AD47" s="1"/>
      <c r="AE47" s="1"/>
      <c r="AI47" s="72"/>
    </row>
    <row r="48" spans="2:35" s="3" customFormat="1">
      <c r="B48" s="77" t="s">
        <v>16</v>
      </c>
      <c r="C48" s="77"/>
      <c r="D48" s="77"/>
      <c r="E48" s="78"/>
      <c r="F48" s="78"/>
      <c r="G48" s="77" t="s">
        <v>129</v>
      </c>
      <c r="H48" s="98"/>
      <c r="I48" s="79"/>
      <c r="O48" s="1"/>
      <c r="P48" s="1"/>
      <c r="Q48" s="1"/>
      <c r="R48" s="1"/>
      <c r="T48" s="9"/>
      <c r="U48" s="9"/>
      <c r="V48" s="9"/>
      <c r="W48" s="9"/>
      <c r="X48" s="9"/>
      <c r="Y48" s="9"/>
      <c r="Z48" s="9"/>
      <c r="AA48" s="1"/>
      <c r="AB48" s="1"/>
      <c r="AC48" s="1"/>
      <c r="AD48" s="1"/>
      <c r="AE48" s="1"/>
      <c r="AI48" s="72"/>
    </row>
    <row r="49" spans="2:35" s="3" customFormat="1">
      <c r="B49" s="77" t="s">
        <v>17</v>
      </c>
      <c r="C49" s="77"/>
      <c r="D49" s="77"/>
      <c r="E49" s="78"/>
      <c r="F49" s="78"/>
      <c r="G49" s="77" t="s">
        <v>130</v>
      </c>
      <c r="H49" s="98"/>
      <c r="I49" s="79"/>
      <c r="O49" s="1"/>
      <c r="P49" s="1"/>
      <c r="Q49" s="1"/>
      <c r="R49" s="1"/>
      <c r="T49" s="9"/>
      <c r="U49" s="9"/>
      <c r="V49" s="9"/>
      <c r="W49" s="9"/>
      <c r="X49" s="9"/>
      <c r="Y49" s="9"/>
      <c r="Z49" s="9"/>
      <c r="AA49" s="1"/>
      <c r="AB49" s="1"/>
      <c r="AC49" s="1"/>
      <c r="AD49" s="1"/>
      <c r="AE49" s="1"/>
      <c r="AI49" s="72"/>
    </row>
    <row r="50" spans="2:35" s="3" customFormat="1">
      <c r="B50" s="80" t="s">
        <v>131</v>
      </c>
      <c r="C50" s="77"/>
      <c r="D50" s="77"/>
      <c r="E50" s="78"/>
      <c r="F50" s="78"/>
      <c r="G50" s="77" t="s">
        <v>132</v>
      </c>
      <c r="H50" s="98"/>
      <c r="I50" s="79"/>
      <c r="O50" s="1"/>
      <c r="P50" s="1"/>
      <c r="Q50" s="1"/>
      <c r="R50" s="1"/>
      <c r="T50" s="9"/>
      <c r="U50" s="9"/>
      <c r="V50" s="9"/>
      <c r="W50" s="9"/>
      <c r="X50" s="9"/>
      <c r="Y50" s="9"/>
      <c r="Z50" s="9"/>
      <c r="AA50" s="1"/>
      <c r="AB50" s="1"/>
      <c r="AC50" s="1"/>
      <c r="AD50" s="1"/>
      <c r="AE50" s="1"/>
      <c r="AI50" s="72"/>
    </row>
    <row r="51" spans="2:35" s="3" customFormat="1">
      <c r="B51" s="77" t="s">
        <v>19</v>
      </c>
      <c r="C51" s="77"/>
      <c r="D51" s="77"/>
      <c r="E51" s="78"/>
      <c r="F51" s="78"/>
      <c r="G51" s="77" t="s">
        <v>133</v>
      </c>
      <c r="H51" s="98"/>
      <c r="I51" s="79"/>
      <c r="O51" s="1"/>
      <c r="P51" s="1"/>
      <c r="Q51" s="1"/>
      <c r="R51" s="1"/>
      <c r="T51" s="9"/>
      <c r="U51" s="9"/>
      <c r="V51" s="9"/>
      <c r="W51" s="9"/>
      <c r="X51" s="9"/>
      <c r="Y51" s="9"/>
      <c r="Z51" s="9"/>
      <c r="AA51" s="1"/>
      <c r="AB51" s="1"/>
      <c r="AC51" s="1"/>
      <c r="AD51" s="1"/>
      <c r="AE51" s="1"/>
      <c r="AI51" s="72"/>
    </row>
    <row r="52" spans="2:35" s="3" customFormat="1">
      <c r="B52" s="77" t="s">
        <v>20</v>
      </c>
      <c r="C52" s="77"/>
      <c r="D52" s="77"/>
      <c r="E52" s="78"/>
      <c r="F52" s="78"/>
      <c r="G52" s="77" t="s">
        <v>134</v>
      </c>
      <c r="H52" s="98"/>
      <c r="I52" s="77"/>
      <c r="J52" s="81"/>
      <c r="K52" s="81"/>
      <c r="O52" s="1"/>
      <c r="P52" s="1"/>
      <c r="Q52" s="1"/>
      <c r="R52" s="1"/>
      <c r="T52" s="9"/>
      <c r="U52" s="9"/>
      <c r="V52" s="9"/>
      <c r="W52" s="9"/>
      <c r="X52" s="9"/>
      <c r="Y52" s="9"/>
      <c r="Z52" s="9"/>
      <c r="AA52" s="1"/>
      <c r="AB52" s="1"/>
      <c r="AC52" s="1"/>
      <c r="AD52" s="1"/>
      <c r="AE52" s="1"/>
      <c r="AI52" s="72"/>
    </row>
    <row r="53" spans="2:35" s="3" customFormat="1">
      <c r="B53" s="74" t="s">
        <v>21</v>
      </c>
      <c r="C53" s="74"/>
      <c r="D53" s="77"/>
      <c r="E53" s="78"/>
      <c r="F53" s="78"/>
      <c r="G53" s="77" t="s">
        <v>135</v>
      </c>
      <c r="H53" s="98"/>
      <c r="I53" s="77"/>
      <c r="J53" s="81"/>
      <c r="K53" s="81"/>
      <c r="O53" s="1"/>
      <c r="P53" s="1"/>
      <c r="Q53" s="1"/>
      <c r="R53" s="1"/>
      <c r="T53" s="9"/>
      <c r="U53" s="9"/>
      <c r="V53" s="9"/>
      <c r="W53" s="9"/>
      <c r="X53" s="9"/>
      <c r="Y53" s="9"/>
      <c r="Z53" s="9"/>
      <c r="AA53" s="1"/>
      <c r="AB53" s="1"/>
      <c r="AC53" s="1"/>
      <c r="AD53" s="1"/>
      <c r="AE53" s="1"/>
      <c r="AI53" s="72"/>
    </row>
    <row r="54" spans="2:35" s="3" customFormat="1">
      <c r="B54" s="77" t="s">
        <v>136</v>
      </c>
      <c r="C54" s="77"/>
      <c r="D54" s="77"/>
      <c r="E54" s="78"/>
      <c r="F54" s="78"/>
      <c r="G54" s="77" t="s">
        <v>137</v>
      </c>
      <c r="H54" s="98"/>
      <c r="I54" s="77"/>
      <c r="J54" s="81"/>
      <c r="K54" s="81"/>
      <c r="O54" s="1"/>
      <c r="P54" s="1"/>
      <c r="Q54" s="1"/>
      <c r="R54" s="1"/>
      <c r="T54" s="9"/>
      <c r="U54" s="9"/>
      <c r="V54" s="9"/>
      <c r="W54" s="9"/>
      <c r="X54" s="9"/>
      <c r="Y54" s="9"/>
      <c r="Z54" s="9"/>
      <c r="AA54" s="1"/>
      <c r="AB54" s="1"/>
      <c r="AC54" s="1"/>
      <c r="AD54" s="1"/>
      <c r="AE54" s="1"/>
      <c r="AI54" s="72"/>
    </row>
    <row r="55" spans="2:35" s="3" customFormat="1">
      <c r="B55" s="77" t="s">
        <v>23</v>
      </c>
      <c r="C55" s="77"/>
      <c r="D55" s="77"/>
      <c r="E55" s="78"/>
      <c r="F55" s="78"/>
      <c r="G55" s="77" t="s">
        <v>138</v>
      </c>
      <c r="H55" s="98"/>
      <c r="I55" s="77"/>
      <c r="J55" s="81"/>
      <c r="K55" s="81"/>
      <c r="O55" s="1"/>
      <c r="P55" s="1"/>
      <c r="Q55" s="1"/>
      <c r="R55" s="1"/>
      <c r="T55" s="9"/>
      <c r="U55" s="9"/>
      <c r="V55" s="9"/>
      <c r="W55" s="9"/>
      <c r="X55" s="9"/>
      <c r="Y55" s="9"/>
      <c r="Z55" s="9"/>
      <c r="AA55" s="1"/>
      <c r="AB55" s="1"/>
      <c r="AC55" s="1"/>
      <c r="AD55" s="1"/>
      <c r="AE55" s="1"/>
      <c r="AI55" s="72"/>
    </row>
    <row r="56" spans="2:35" s="3" customFormat="1">
      <c r="B56" s="77" t="s">
        <v>139</v>
      </c>
      <c r="C56" s="77"/>
      <c r="D56" s="77"/>
      <c r="E56" s="78"/>
      <c r="F56" s="78"/>
      <c r="G56" s="77" t="s">
        <v>140</v>
      </c>
      <c r="H56" s="98"/>
      <c r="I56" s="77"/>
      <c r="J56" s="81"/>
      <c r="K56" s="81"/>
      <c r="O56" s="1"/>
      <c r="P56" s="1"/>
      <c r="Q56" s="1"/>
      <c r="R56" s="1"/>
      <c r="T56" s="9"/>
      <c r="U56" s="9"/>
      <c r="V56" s="9"/>
      <c r="W56" s="9"/>
      <c r="X56" s="9"/>
      <c r="Y56" s="9"/>
      <c r="Z56" s="9"/>
      <c r="AA56" s="1"/>
      <c r="AB56" s="1"/>
      <c r="AC56" s="1"/>
      <c r="AD56" s="1"/>
      <c r="AE56" s="1"/>
      <c r="AI56" s="72"/>
    </row>
    <row r="57" spans="2:35" s="3" customFormat="1">
      <c r="B57" s="77" t="s">
        <v>141</v>
      </c>
      <c r="C57" s="77"/>
      <c r="D57" s="77"/>
      <c r="E57" s="78"/>
      <c r="F57" s="78"/>
      <c r="G57" s="77" t="s">
        <v>142</v>
      </c>
      <c r="H57" s="98"/>
      <c r="I57" s="77"/>
      <c r="J57" s="81"/>
      <c r="K57" s="81"/>
      <c r="O57" s="1"/>
      <c r="P57" s="1"/>
      <c r="Q57" s="1"/>
      <c r="R57" s="1"/>
      <c r="T57" s="9"/>
      <c r="U57" s="9"/>
      <c r="V57" s="9"/>
      <c r="W57" s="9"/>
      <c r="X57" s="9"/>
      <c r="Y57" s="9"/>
      <c r="Z57" s="9"/>
      <c r="AA57" s="1"/>
      <c r="AB57" s="1"/>
      <c r="AC57" s="1"/>
      <c r="AD57" s="1"/>
      <c r="AE57" s="1"/>
      <c r="AI57" s="72"/>
    </row>
    <row r="58" spans="2:35" s="3" customFormat="1">
      <c r="B58" s="77" t="s">
        <v>26</v>
      </c>
      <c r="C58" s="77"/>
      <c r="D58" s="77"/>
      <c r="E58" s="78"/>
      <c r="F58" s="78"/>
      <c r="G58" s="77" t="s">
        <v>143</v>
      </c>
      <c r="H58" s="98"/>
      <c r="I58" s="77"/>
      <c r="J58" s="81"/>
      <c r="K58" s="81"/>
      <c r="O58" s="1"/>
      <c r="P58" s="1"/>
      <c r="Q58" s="1"/>
      <c r="R58" s="1"/>
      <c r="T58" s="9"/>
      <c r="U58" s="9"/>
      <c r="V58" s="9"/>
      <c r="W58" s="9"/>
      <c r="X58" s="9"/>
      <c r="Y58" s="9"/>
      <c r="Z58" s="9"/>
      <c r="AA58" s="1"/>
      <c r="AB58" s="1"/>
      <c r="AC58" s="1"/>
      <c r="AD58" s="1"/>
      <c r="AE58" s="1"/>
      <c r="AI58" s="72"/>
    </row>
    <row r="59" spans="2:35" s="3" customFormat="1">
      <c r="B59" s="102" t="s">
        <v>144</v>
      </c>
      <c r="C59" s="102"/>
      <c r="D59" s="102"/>
      <c r="E59" s="102"/>
      <c r="F59" s="102"/>
      <c r="G59" s="77" t="s">
        <v>145</v>
      </c>
      <c r="H59" s="98"/>
      <c r="I59" s="77"/>
      <c r="J59" s="81"/>
      <c r="K59" s="81"/>
      <c r="O59" s="1"/>
      <c r="P59" s="1"/>
      <c r="Q59" s="1"/>
      <c r="R59" s="1"/>
      <c r="T59" s="9"/>
      <c r="U59" s="9"/>
      <c r="V59" s="9"/>
      <c r="W59" s="9"/>
      <c r="X59" s="9"/>
      <c r="Y59" s="9"/>
      <c r="Z59" s="9"/>
      <c r="AA59" s="1"/>
      <c r="AB59" s="1"/>
      <c r="AC59" s="1"/>
      <c r="AD59" s="1"/>
      <c r="AE59" s="1"/>
      <c r="AI59" s="72"/>
    </row>
    <row r="60" spans="2:35" s="3" customFormat="1">
      <c r="B60" s="103" t="s">
        <v>146</v>
      </c>
      <c r="C60" s="103"/>
      <c r="D60" s="103"/>
      <c r="E60" s="103"/>
      <c r="F60" s="103"/>
      <c r="G60" s="77" t="s">
        <v>147</v>
      </c>
      <c r="H60" s="98"/>
      <c r="I60" s="77"/>
      <c r="J60" s="81"/>
      <c r="K60" s="81"/>
      <c r="O60" s="1"/>
      <c r="P60" s="1"/>
      <c r="Q60" s="1"/>
      <c r="R60" s="1"/>
      <c r="T60" s="9"/>
      <c r="U60" s="9"/>
      <c r="V60" s="9"/>
      <c r="W60" s="9"/>
      <c r="X60" s="9"/>
      <c r="Y60" s="9"/>
      <c r="Z60" s="9"/>
      <c r="AA60" s="1"/>
      <c r="AB60" s="1"/>
      <c r="AC60" s="1"/>
      <c r="AD60" s="1"/>
      <c r="AE60" s="1"/>
      <c r="AI60" s="72"/>
    </row>
    <row r="61" spans="2:35" s="3" customFormat="1">
      <c r="B61" s="77" t="s">
        <v>148</v>
      </c>
      <c r="C61" s="77"/>
      <c r="D61" s="77"/>
      <c r="E61" s="78"/>
      <c r="F61" s="78"/>
      <c r="G61" s="77" t="s">
        <v>149</v>
      </c>
      <c r="H61" s="98"/>
      <c r="I61" s="77"/>
      <c r="J61" s="81"/>
      <c r="K61" s="81"/>
      <c r="O61" s="1"/>
      <c r="P61" s="1"/>
      <c r="Q61" s="1"/>
      <c r="R61" s="1"/>
      <c r="T61" s="9"/>
      <c r="U61" s="9"/>
      <c r="V61" s="9"/>
      <c r="W61" s="9"/>
      <c r="X61" s="9"/>
      <c r="Y61" s="9"/>
      <c r="Z61" s="9"/>
      <c r="AA61" s="1"/>
      <c r="AB61" s="1"/>
      <c r="AC61" s="1"/>
      <c r="AD61" s="1"/>
      <c r="AE61" s="1"/>
      <c r="AI61" s="72"/>
    </row>
    <row r="62" spans="2:35" s="3" customFormat="1">
      <c r="B62" s="77" t="s">
        <v>150</v>
      </c>
      <c r="C62" s="77"/>
      <c r="D62" s="77"/>
      <c r="E62" s="78"/>
      <c r="F62" s="78"/>
      <c r="G62" s="77" t="s">
        <v>151</v>
      </c>
      <c r="H62" s="98"/>
      <c r="I62" s="77"/>
      <c r="J62" s="81"/>
      <c r="K62" s="81"/>
      <c r="O62" s="1"/>
      <c r="P62" s="1"/>
      <c r="Q62" s="1"/>
      <c r="R62" s="1"/>
      <c r="T62" s="9"/>
      <c r="U62" s="9"/>
      <c r="V62" s="9"/>
      <c r="W62" s="9"/>
      <c r="X62" s="9"/>
      <c r="Y62" s="9"/>
      <c r="Z62" s="9"/>
      <c r="AA62" s="1"/>
      <c r="AB62" s="1"/>
      <c r="AC62" s="1"/>
      <c r="AD62" s="1"/>
      <c r="AE62" s="1"/>
      <c r="AI62" s="72"/>
    </row>
    <row r="63" spans="2:35" s="3" customFormat="1">
      <c r="B63" s="77" t="s">
        <v>152</v>
      </c>
      <c r="C63" s="77"/>
      <c r="D63" s="77"/>
      <c r="E63" s="78"/>
      <c r="F63" s="78"/>
      <c r="G63" s="77" t="s">
        <v>153</v>
      </c>
      <c r="H63" s="98"/>
      <c r="I63" s="77"/>
      <c r="J63" s="81"/>
      <c r="K63" s="81"/>
      <c r="O63" s="1"/>
      <c r="P63" s="1"/>
      <c r="Q63" s="1"/>
      <c r="R63" s="1"/>
      <c r="T63" s="9"/>
      <c r="U63" s="9"/>
      <c r="V63" s="9"/>
      <c r="W63" s="9"/>
      <c r="X63" s="9"/>
      <c r="Y63" s="9"/>
      <c r="Z63" s="9"/>
      <c r="AA63" s="1"/>
      <c r="AB63" s="1"/>
      <c r="AC63" s="1"/>
      <c r="AD63" s="1"/>
      <c r="AE63" s="1"/>
      <c r="AI63" s="72"/>
    </row>
    <row r="64" spans="2:35" s="3" customFormat="1">
      <c r="B64" s="77" t="s">
        <v>154</v>
      </c>
      <c r="C64" s="77"/>
      <c r="D64" s="77"/>
      <c r="E64" s="78"/>
      <c r="F64" s="78"/>
      <c r="G64" s="77" t="s">
        <v>155</v>
      </c>
      <c r="H64" s="98"/>
      <c r="I64" s="77"/>
      <c r="J64" s="81"/>
      <c r="K64" s="81"/>
      <c r="O64" s="1"/>
      <c r="P64" s="1"/>
      <c r="Q64" s="1"/>
      <c r="R64" s="1"/>
      <c r="T64" s="9"/>
      <c r="U64" s="9"/>
      <c r="V64" s="9"/>
      <c r="W64" s="9"/>
      <c r="X64" s="9"/>
      <c r="Y64" s="9"/>
      <c r="Z64" s="9"/>
      <c r="AA64" s="1"/>
      <c r="AB64" s="1"/>
      <c r="AC64" s="1"/>
      <c r="AD64" s="1"/>
      <c r="AE64" s="1"/>
      <c r="AI64" s="72"/>
    </row>
    <row r="65" spans="2:35" s="3" customFormat="1">
      <c r="B65" s="77" t="s">
        <v>156</v>
      </c>
      <c r="C65" s="77"/>
      <c r="D65" s="77"/>
      <c r="E65" s="78"/>
      <c r="F65" s="78"/>
      <c r="G65" s="77" t="s">
        <v>157</v>
      </c>
      <c r="H65" s="98"/>
      <c r="I65" s="77"/>
      <c r="J65" s="81"/>
      <c r="K65" s="81"/>
      <c r="O65" s="1"/>
      <c r="P65" s="1"/>
      <c r="Q65" s="1"/>
      <c r="R65" s="1"/>
      <c r="T65" s="9"/>
      <c r="U65" s="9"/>
      <c r="V65" s="9"/>
      <c r="W65" s="9"/>
      <c r="X65" s="9"/>
      <c r="Y65" s="9"/>
      <c r="Z65" s="9"/>
      <c r="AA65" s="1"/>
      <c r="AB65" s="1"/>
      <c r="AC65" s="1"/>
      <c r="AD65" s="1"/>
      <c r="AE65" s="1"/>
      <c r="AI65" s="72"/>
    </row>
    <row r="66" spans="2:35" s="3" customFormat="1">
      <c r="B66" s="77" t="s">
        <v>40</v>
      </c>
      <c r="C66" s="77"/>
      <c r="D66" s="77"/>
      <c r="E66" s="78"/>
      <c r="F66" s="78"/>
      <c r="G66" s="77" t="s">
        <v>158</v>
      </c>
      <c r="H66" s="98"/>
      <c r="I66" s="77"/>
      <c r="J66" s="81"/>
      <c r="K66" s="81"/>
      <c r="O66" s="1"/>
      <c r="P66" s="1"/>
      <c r="Q66" s="1"/>
      <c r="R66" s="1"/>
      <c r="T66" s="9"/>
      <c r="U66" s="9"/>
      <c r="V66" s="9"/>
      <c r="W66" s="9"/>
      <c r="X66" s="9"/>
      <c r="Y66" s="9"/>
      <c r="Z66" s="9"/>
      <c r="AA66" s="1"/>
      <c r="AB66" s="1"/>
      <c r="AC66" s="1"/>
      <c r="AD66" s="1"/>
      <c r="AE66" s="1"/>
      <c r="AI66" s="72"/>
    </row>
    <row r="67" spans="2:35" s="3" customFormat="1">
      <c r="B67" s="77" t="s">
        <v>39</v>
      </c>
      <c r="C67" s="77"/>
      <c r="D67" s="77"/>
      <c r="E67" s="78"/>
      <c r="F67" s="78"/>
      <c r="G67" s="77" t="s">
        <v>159</v>
      </c>
      <c r="H67" s="98"/>
      <c r="I67" s="77"/>
      <c r="J67" s="81"/>
      <c r="K67" s="81"/>
      <c r="O67" s="1"/>
      <c r="P67" s="1"/>
      <c r="Q67" s="1"/>
      <c r="R67" s="1"/>
      <c r="T67" s="9"/>
      <c r="U67" s="9"/>
      <c r="V67" s="9"/>
      <c r="W67" s="9"/>
      <c r="X67" s="9"/>
      <c r="Y67" s="9"/>
      <c r="Z67" s="9"/>
      <c r="AA67" s="1"/>
      <c r="AB67" s="1"/>
      <c r="AC67" s="1"/>
      <c r="AD67" s="1"/>
      <c r="AE67" s="1"/>
      <c r="AI67" s="72"/>
    </row>
    <row r="68" spans="2:35" s="3" customFormat="1">
      <c r="B68" s="77" t="s">
        <v>160</v>
      </c>
      <c r="C68" s="77"/>
      <c r="D68" s="77"/>
      <c r="E68" s="78"/>
      <c r="F68" s="78"/>
      <c r="G68" s="77" t="s">
        <v>161</v>
      </c>
      <c r="H68" s="98"/>
      <c r="I68" s="77"/>
      <c r="J68" s="81"/>
      <c r="K68" s="81"/>
      <c r="O68" s="1"/>
      <c r="P68" s="1"/>
      <c r="Q68" s="1"/>
      <c r="R68" s="1"/>
      <c r="T68" s="9"/>
      <c r="U68" s="9"/>
      <c r="V68" s="9"/>
      <c r="W68" s="9"/>
      <c r="X68" s="9"/>
      <c r="Y68" s="9"/>
      <c r="Z68" s="9"/>
      <c r="AA68" s="1"/>
      <c r="AB68" s="1"/>
      <c r="AC68" s="1"/>
      <c r="AD68" s="1"/>
      <c r="AE68" s="1"/>
      <c r="AI68" s="72"/>
    </row>
    <row r="69" spans="2:35" s="3" customFormat="1">
      <c r="B69" s="77" t="s">
        <v>162</v>
      </c>
      <c r="C69" s="77"/>
      <c r="D69" s="77"/>
      <c r="E69" s="78"/>
      <c r="F69" s="78"/>
      <c r="G69" s="77" t="s">
        <v>163</v>
      </c>
      <c r="H69" s="98"/>
      <c r="I69" s="77"/>
      <c r="J69" s="81"/>
      <c r="K69" s="81"/>
      <c r="O69" s="1"/>
      <c r="P69" s="1"/>
      <c r="Q69" s="1"/>
      <c r="R69" s="1"/>
      <c r="T69" s="9"/>
      <c r="U69" s="9"/>
      <c r="V69" s="9"/>
      <c r="W69" s="9"/>
      <c r="X69" s="9"/>
      <c r="Y69" s="9"/>
      <c r="Z69" s="9"/>
      <c r="AA69" s="1"/>
      <c r="AB69" s="1"/>
      <c r="AC69" s="1"/>
      <c r="AD69" s="1"/>
      <c r="AE69" s="1"/>
      <c r="AI69" s="72"/>
    </row>
    <row r="70" spans="2:35" s="3" customFormat="1">
      <c r="B70" s="77" t="s">
        <v>164</v>
      </c>
      <c r="C70" s="77"/>
      <c r="D70" s="77"/>
      <c r="E70" s="78"/>
      <c r="F70" s="78"/>
      <c r="G70" s="77" t="s">
        <v>165</v>
      </c>
      <c r="H70" s="98"/>
      <c r="I70" s="77"/>
      <c r="J70" s="81"/>
      <c r="K70" s="81"/>
      <c r="O70" s="1"/>
      <c r="P70" s="1"/>
      <c r="Q70" s="1"/>
      <c r="R70" s="1"/>
      <c r="T70" s="9"/>
      <c r="U70" s="9"/>
      <c r="V70" s="9"/>
      <c r="W70" s="9"/>
      <c r="X70" s="9"/>
      <c r="Y70" s="9"/>
      <c r="Z70" s="9"/>
      <c r="AA70" s="1"/>
      <c r="AB70" s="1"/>
      <c r="AC70" s="1"/>
      <c r="AD70" s="1"/>
      <c r="AE70" s="1"/>
      <c r="AI70" s="72"/>
    </row>
    <row r="71" spans="2:35" s="3" customFormat="1">
      <c r="B71" s="77" t="s">
        <v>166</v>
      </c>
      <c r="C71" s="77"/>
      <c r="D71" s="77"/>
      <c r="E71" s="78"/>
      <c r="F71" s="78"/>
      <c r="G71" s="77" t="s">
        <v>167</v>
      </c>
      <c r="H71" s="98"/>
      <c r="I71" s="77"/>
      <c r="J71" s="81"/>
      <c r="K71" s="81"/>
      <c r="O71" s="1"/>
      <c r="P71" s="1"/>
      <c r="Q71" s="1"/>
      <c r="R71" s="1"/>
      <c r="T71" s="9"/>
      <c r="U71" s="9"/>
      <c r="V71" s="9"/>
      <c r="W71" s="9"/>
      <c r="X71" s="9"/>
      <c r="Y71" s="9"/>
      <c r="Z71" s="9"/>
      <c r="AA71" s="1"/>
      <c r="AB71" s="1"/>
      <c r="AC71" s="1"/>
      <c r="AD71" s="1"/>
      <c r="AE71" s="1"/>
      <c r="AI71" s="72"/>
    </row>
    <row r="72" spans="2:35" s="3" customFormat="1">
      <c r="B72" s="77" t="s">
        <v>168</v>
      </c>
      <c r="C72" s="77"/>
      <c r="D72" s="77"/>
      <c r="E72" s="78"/>
      <c r="F72" s="78"/>
      <c r="G72" s="77" t="s">
        <v>169</v>
      </c>
      <c r="H72" s="98"/>
      <c r="I72" s="77"/>
      <c r="J72" s="81"/>
      <c r="K72" s="81"/>
      <c r="O72" s="1"/>
      <c r="P72" s="1"/>
      <c r="Q72" s="1"/>
      <c r="R72" s="1"/>
      <c r="T72" s="9"/>
      <c r="U72" s="9"/>
      <c r="V72" s="9"/>
      <c r="W72" s="9"/>
      <c r="X72" s="9"/>
      <c r="Y72" s="9"/>
      <c r="Z72" s="9"/>
      <c r="AA72" s="1"/>
      <c r="AB72" s="1"/>
      <c r="AC72" s="1"/>
      <c r="AD72" s="1"/>
      <c r="AE72" s="1"/>
      <c r="AI72" s="72"/>
    </row>
    <row r="73" spans="2:35" s="3" customFormat="1">
      <c r="B73" s="77" t="s">
        <v>170</v>
      </c>
      <c r="C73" s="77"/>
      <c r="D73" s="77"/>
      <c r="E73" s="78"/>
      <c r="F73" s="78"/>
      <c r="G73" s="77" t="s">
        <v>169</v>
      </c>
      <c r="H73" s="98"/>
      <c r="I73" s="77"/>
      <c r="J73" s="81"/>
      <c r="K73" s="81"/>
      <c r="O73" s="1"/>
      <c r="P73" s="1"/>
      <c r="Q73" s="1"/>
      <c r="R73" s="1"/>
      <c r="T73" s="9"/>
      <c r="U73" s="9"/>
      <c r="V73" s="9"/>
      <c r="W73" s="9"/>
      <c r="X73" s="9"/>
      <c r="Y73" s="9"/>
      <c r="Z73" s="9"/>
      <c r="AA73" s="1"/>
      <c r="AB73" s="1"/>
      <c r="AC73" s="1"/>
      <c r="AD73" s="1"/>
      <c r="AE73" s="1"/>
      <c r="AI73" s="72"/>
    </row>
    <row r="74" spans="2:35" s="3" customFormat="1">
      <c r="B74" s="77" t="s">
        <v>171</v>
      </c>
      <c r="C74" s="77"/>
      <c r="D74" s="77"/>
      <c r="E74" s="78"/>
      <c r="F74" s="78"/>
      <c r="G74" s="77" t="s">
        <v>172</v>
      </c>
      <c r="H74" s="98"/>
      <c r="I74" s="77"/>
      <c r="J74" s="81"/>
      <c r="K74" s="81"/>
      <c r="O74" s="1"/>
      <c r="P74" s="1"/>
      <c r="Q74" s="1"/>
      <c r="R74" s="1"/>
      <c r="T74" s="9"/>
      <c r="U74" s="9"/>
      <c r="V74" s="9"/>
      <c r="W74" s="9"/>
      <c r="X74" s="9"/>
      <c r="Y74" s="9"/>
      <c r="Z74" s="9"/>
      <c r="AA74" s="1"/>
      <c r="AB74" s="1"/>
      <c r="AC74" s="1"/>
      <c r="AD74" s="1"/>
      <c r="AE74" s="1"/>
      <c r="AI74" s="72"/>
    </row>
    <row r="75" spans="2:35" s="3" customFormat="1">
      <c r="B75" s="79" t="s">
        <v>173</v>
      </c>
      <c r="C75" s="79" t="s">
        <v>174</v>
      </c>
      <c r="D75" s="79"/>
      <c r="E75" s="79"/>
      <c r="F75" s="79"/>
      <c r="G75" s="79"/>
      <c r="H75" s="98"/>
      <c r="I75" s="77"/>
      <c r="J75" s="81"/>
      <c r="K75" s="81"/>
      <c r="O75" s="1"/>
      <c r="P75" s="1"/>
      <c r="Q75" s="1"/>
      <c r="R75" s="1"/>
      <c r="T75" s="9"/>
      <c r="U75" s="9"/>
      <c r="V75" s="9"/>
      <c r="W75" s="9"/>
      <c r="X75" s="9"/>
      <c r="Y75" s="9"/>
      <c r="Z75" s="9"/>
      <c r="AA75" s="1"/>
      <c r="AB75" s="1"/>
      <c r="AC75" s="1"/>
      <c r="AD75" s="1"/>
      <c r="AE75" s="1"/>
      <c r="AI75" s="72"/>
    </row>
    <row r="76" spans="2:35" s="3" customFormat="1">
      <c r="B76" s="81"/>
      <c r="C76" s="81"/>
      <c r="D76" s="81"/>
      <c r="E76" s="81"/>
      <c r="F76" s="81"/>
      <c r="G76" s="82"/>
      <c r="H76" s="9"/>
      <c r="I76" s="81"/>
      <c r="J76" s="81"/>
      <c r="K76" s="81"/>
      <c r="L76" s="81"/>
      <c r="P76" s="1"/>
      <c r="Q76" s="1"/>
      <c r="R76" s="1"/>
      <c r="T76" s="9"/>
      <c r="U76" s="9"/>
      <c r="V76" s="9"/>
      <c r="W76" s="9"/>
      <c r="X76" s="9"/>
      <c r="Y76" s="9"/>
      <c r="Z76" s="9"/>
      <c r="AA76" s="1"/>
      <c r="AB76" s="1"/>
      <c r="AC76" s="1"/>
      <c r="AD76" s="1"/>
      <c r="AE76" s="1"/>
      <c r="AI76" s="72"/>
    </row>
    <row r="77" spans="2:35" s="3" customFormat="1">
      <c r="B77" s="81"/>
      <c r="C77" s="81"/>
      <c r="D77" s="81"/>
      <c r="E77" s="81"/>
      <c r="F77" s="81"/>
      <c r="G77" s="82"/>
      <c r="H77" s="9"/>
      <c r="I77" s="81"/>
      <c r="J77" s="81"/>
      <c r="K77" s="81"/>
      <c r="L77" s="81"/>
      <c r="P77" s="1"/>
      <c r="Q77" s="1"/>
      <c r="R77" s="1"/>
      <c r="T77" s="9"/>
      <c r="U77" s="9"/>
      <c r="V77" s="9"/>
      <c r="W77" s="9"/>
      <c r="X77" s="9"/>
      <c r="Y77" s="9"/>
      <c r="Z77" s="9"/>
      <c r="AA77" s="1"/>
      <c r="AB77" s="1"/>
      <c r="AC77" s="1"/>
      <c r="AD77" s="1"/>
      <c r="AE77" s="1"/>
      <c r="AI77" s="72"/>
    </row>
    <row r="78" spans="2:35" s="3" customFormat="1">
      <c r="B78" s="81"/>
      <c r="C78" s="81"/>
      <c r="D78" s="81"/>
      <c r="E78" s="81"/>
      <c r="F78" s="81"/>
      <c r="G78" s="82"/>
      <c r="H78" s="9"/>
      <c r="I78" s="81"/>
      <c r="J78" s="81"/>
      <c r="K78" s="81"/>
      <c r="L78" s="81"/>
      <c r="P78" s="1"/>
      <c r="Q78" s="1"/>
      <c r="R78" s="1"/>
      <c r="T78" s="9"/>
      <c r="U78" s="9"/>
      <c r="V78" s="9"/>
      <c r="W78" s="9"/>
      <c r="X78" s="9"/>
      <c r="Y78" s="9"/>
      <c r="Z78" s="9"/>
      <c r="AA78" s="1"/>
      <c r="AB78" s="1"/>
      <c r="AC78" s="1"/>
      <c r="AD78" s="1"/>
      <c r="AE78" s="1"/>
      <c r="AI78" s="72"/>
    </row>
    <row r="79" spans="2:35" s="3" customFormat="1">
      <c r="B79" s="81"/>
      <c r="C79" s="81"/>
      <c r="D79" s="81"/>
      <c r="E79" s="81"/>
      <c r="F79" s="81"/>
      <c r="G79" s="82"/>
      <c r="H79" s="9"/>
      <c r="I79" s="81"/>
      <c r="J79" s="81"/>
      <c r="K79" s="81"/>
      <c r="L79" s="81"/>
      <c r="P79" s="1"/>
      <c r="Q79" s="1"/>
      <c r="R79" s="1"/>
      <c r="T79" s="9"/>
      <c r="U79" s="9"/>
      <c r="V79" s="9"/>
      <c r="W79" s="9"/>
      <c r="X79" s="9"/>
      <c r="Y79" s="9"/>
      <c r="Z79" s="9"/>
      <c r="AA79" s="1"/>
      <c r="AB79" s="1"/>
      <c r="AC79" s="1"/>
      <c r="AD79" s="1"/>
      <c r="AE79" s="1"/>
      <c r="AI79" s="72"/>
    </row>
  </sheetData>
  <mergeCells count="9">
    <mergeCell ref="AI5:AI6"/>
    <mergeCell ref="A7:A8"/>
    <mergeCell ref="B59:F59"/>
    <mergeCell ref="B60:F60"/>
    <mergeCell ref="B1:AD1"/>
    <mergeCell ref="S5:W5"/>
    <mergeCell ref="X5:AB5"/>
    <mergeCell ref="AC5:AD5"/>
    <mergeCell ref="AE5:AH5"/>
  </mergeCells>
  <pageMargins left="0.11811023622047245" right="0.11811023622047245" top="0.15748031496062992" bottom="0.15748031496062992" header="0.31496062992125984" footer="0.31496062992125984"/>
  <pageSetup paperSize="41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2017-01-27T18:18:59Z</cp:lastPrinted>
  <dcterms:created xsi:type="dcterms:W3CDTF">2017-01-05T18:44:45Z</dcterms:created>
  <dcterms:modified xsi:type="dcterms:W3CDTF">2017-10-06T15:27:48Z</dcterms:modified>
</cp:coreProperties>
</file>