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225" windowWidth="7650" windowHeight="8700" tabRatio="816" firstSheet="19" activeTab="26"/>
  </bookViews>
  <sheets>
    <sheet name="tarifa" sheetId="2" state="hidden" r:id="rId1"/>
    <sheet name="  SEGURIDAD PUBLICA  " sheetId="172" state="hidden" r:id="rId2"/>
    <sheet name="FOM EC=PLANEAC=COM SOC=INFORM" sheetId="177" state="hidden" r:id="rId3"/>
    <sheet name="  AGUA POTABLE  " sheetId="173" state="hidden" r:id="rId4"/>
    <sheet name="  OBR. PUBLICA  " sheetId="174" state="hidden" r:id="rId5"/>
    <sheet name="  PRESIDENCIA  " sheetId="158" state="hidden" r:id="rId6"/>
    <sheet name="  TESORERIA  " sheetId="159" state="hidden" r:id="rId7"/>
    <sheet name="  SERV. PUBLICOS  " sheetId="160" state="hidden" r:id="rId8"/>
    <sheet name="  MODULO  " sheetId="161" state="hidden" r:id="rId9"/>
    <sheet name="  CATASTRO Y REG. CIVIL  " sheetId="162" state="hidden" r:id="rId10"/>
    <sheet name="   REGIDORES PROP.  " sheetId="163" state="hidden" r:id="rId11"/>
    <sheet name="  RASTRO  " sheetId="164" state="hidden" r:id="rId12"/>
    <sheet name="FOM. AGROPECIARIO" sheetId="165" state="hidden" r:id="rId13"/>
    <sheet name="  DIF  " sheetId="166" state="hidden" r:id="rId14"/>
    <sheet name="CENTRO DE SALUD" sheetId="167" state="hidden" r:id="rId15"/>
    <sheet name="TURISMO, ECOLOGIA Y COMEDOR" sheetId="178" state="hidden" r:id="rId16"/>
    <sheet name="  PROTECCION CIVIL  " sheetId="168" state="hidden" r:id="rId17"/>
    <sheet name="  DEPORTES  " sheetId="169" state="hidden" r:id="rId18"/>
    <sheet name="  CASA DE LA CULTURA  " sheetId="171" state="hidden" r:id="rId19"/>
    <sheet name="  APOYOS MENSUALES ESCUELAS " sheetId="175" r:id="rId20"/>
    <sheet name="APOYOS MENSUALES COMUNIDADES" sheetId="176" r:id="rId21"/>
    <sheet name="Calculo ISPT MENSUAL  2015  " sheetId="68" state="hidden" r:id="rId22"/>
    <sheet name="CALCULO AGINALDO PROPORCIONAL" sheetId="179" state="hidden" r:id="rId23"/>
    <sheet name="EVENTUALES" sheetId="180" state="hidden" r:id="rId24"/>
    <sheet name="MAESTROS CULTURA" sheetId="181" state="hidden" r:id="rId25"/>
    <sheet name="AGENTES MUNICIPALES" sheetId="182" r:id="rId26"/>
    <sheet name="RESUMEN" sheetId="183" r:id="rId27"/>
  </sheets>
  <externalReferences>
    <externalReference r:id="rId28"/>
  </externalReferences>
  <definedNames>
    <definedName name="_45" localSheetId="10">#REF!</definedName>
    <definedName name="_45" localSheetId="3">#REF!</definedName>
    <definedName name="_45" localSheetId="19">#REF!</definedName>
    <definedName name="_45" localSheetId="18">#REF!</definedName>
    <definedName name="_45" localSheetId="9">#REF!</definedName>
    <definedName name="_45" localSheetId="17">#REF!</definedName>
    <definedName name="_45" localSheetId="13">#REF!</definedName>
    <definedName name="_45" localSheetId="8">#REF!</definedName>
    <definedName name="_45" localSheetId="4">#REF!</definedName>
    <definedName name="_45" localSheetId="5">#REF!</definedName>
    <definedName name="_45" localSheetId="16">#REF!</definedName>
    <definedName name="_45" localSheetId="11">#REF!</definedName>
    <definedName name="_45" localSheetId="1">#REF!</definedName>
    <definedName name="_45" localSheetId="7">#REF!</definedName>
    <definedName name="_45" localSheetId="6">#REF!</definedName>
    <definedName name="_45" localSheetId="14">#REF!</definedName>
    <definedName name="_45" localSheetId="12">#REF!</definedName>
    <definedName name="_45">#REF!</definedName>
    <definedName name="_Regression_Int" localSheetId="21" hidden="1">1</definedName>
    <definedName name="_xlnm.Print_Area" localSheetId="10">'   REGIDORES PROP.  '!$B$2:$AI$23</definedName>
    <definedName name="_xlnm.Print_Area" localSheetId="3">'  AGUA POTABLE  '!$B$2:$AI$20</definedName>
    <definedName name="_xlnm.Print_Area" localSheetId="19">'  APOYOS MENSUALES ESCUELAS '!$B$1:$AI$47</definedName>
    <definedName name="_xlnm.Print_Area" localSheetId="18">'  CASA DE LA CULTURA  '!$B$2:$AI$22</definedName>
    <definedName name="_xlnm.Print_Area" localSheetId="9">'  CATASTRO Y REG. CIVIL  '!$B$2:$AI$24</definedName>
    <definedName name="_xlnm.Print_Area" localSheetId="17">'  DEPORTES  '!$B$2:$AI$23</definedName>
    <definedName name="_xlnm.Print_Area" localSheetId="13">'  DIF  '!$B$2:$AI$22</definedName>
    <definedName name="_xlnm.Print_Area" localSheetId="8">'  MODULO  '!$B$2:$AI$22</definedName>
    <definedName name="_xlnm.Print_Area" localSheetId="4">'  OBR. PUBLICA  '!$B$2:$AI$28</definedName>
    <definedName name="_xlnm.Print_Area" localSheetId="5">'  PRESIDENCIA  '!$B$3:$AI$28</definedName>
    <definedName name="_xlnm.Print_Area" localSheetId="16">'  PROTECCION CIVIL  '!$B$2:$AI$22</definedName>
    <definedName name="_xlnm.Print_Area" localSheetId="11">'  RASTRO  '!$B$2:$AI$18</definedName>
    <definedName name="_xlnm.Print_Area" localSheetId="1">'  SEGURIDAD PUBLICA  '!$A$1:$AJ$38</definedName>
    <definedName name="_xlnm.Print_Area" localSheetId="6">'  TESORERIA  '!$B$2:$AI$18</definedName>
    <definedName name="_xlnm.Print_Area" localSheetId="25">'AGENTES MUNICIPALES'!$B$2:$F$39</definedName>
    <definedName name="_xlnm.Print_Area" localSheetId="20">'APOYOS MENSUALES COMUNIDADES'!$A$1:$AH$34</definedName>
    <definedName name="_xlnm.Print_Area" localSheetId="21">'Calculo ISPT MENSUAL  2015  '!$B$1:$F$49</definedName>
    <definedName name="_xlnm.Print_Area" localSheetId="14">'CENTRO DE SALUD'!#REF!</definedName>
    <definedName name="_xlnm.Print_Area" localSheetId="23">EVENTUALES!$A$1:$AI$38</definedName>
    <definedName name="_xlnm.Print_Area" localSheetId="2">'FOM EC=PLANEAC=COM SOC=INFORM'!$B$2:$AI$24</definedName>
    <definedName name="_xlnm.Print_Area" localSheetId="12">'FOM. AGROPECIARIO'!$B$2:$AI$15</definedName>
    <definedName name="_xlnm.Print_Area" localSheetId="24">'MAESTROS CULTURA'!$B$2:$AI$22</definedName>
    <definedName name="_xlnm.Print_Area" localSheetId="15">'TURISMO, ECOLOGIA Y COMEDOR'!$B$2:$AI$19</definedName>
    <definedName name="CREDITO" localSheetId="10">#REF!</definedName>
    <definedName name="CREDITO" localSheetId="3">#REF!</definedName>
    <definedName name="CREDITO" localSheetId="19">#REF!</definedName>
    <definedName name="CREDITO" localSheetId="18">#REF!</definedName>
    <definedName name="CREDITO" localSheetId="9">#REF!</definedName>
    <definedName name="CREDITO" localSheetId="17">#REF!</definedName>
    <definedName name="CREDITO" localSheetId="13">#REF!</definedName>
    <definedName name="CREDITO" localSheetId="8">#REF!</definedName>
    <definedName name="CREDITO" localSheetId="4">#REF!</definedName>
    <definedName name="CREDITO" localSheetId="5">#REF!</definedName>
    <definedName name="CREDITO" localSheetId="16">#REF!</definedName>
    <definedName name="CREDITO" localSheetId="11">#REF!</definedName>
    <definedName name="CREDITO" localSheetId="1">#REF!</definedName>
    <definedName name="CREDITO" localSheetId="7">#REF!</definedName>
    <definedName name="CREDITO" localSheetId="6">#REF!</definedName>
    <definedName name="CREDITO" localSheetId="21">'Calculo ISPT MENSUAL  2015  '!$AC$17:$AD$27</definedName>
    <definedName name="CREDITO" localSheetId="14">#REF!</definedName>
    <definedName name="CREDITO" localSheetId="12">#REF!</definedName>
    <definedName name="CREDITO">#REF!</definedName>
    <definedName name="Credito1" localSheetId="21">#REF!</definedName>
    <definedName name="Credito1">tarifa!$F$50:$G$60</definedName>
    <definedName name="Subsidio1" localSheetId="10">tarifa!#REF!</definedName>
    <definedName name="Subsidio1" localSheetId="3">tarifa!#REF!</definedName>
    <definedName name="Subsidio1" localSheetId="19">tarifa!#REF!</definedName>
    <definedName name="Subsidio1" localSheetId="18">tarifa!#REF!</definedName>
    <definedName name="Subsidio1" localSheetId="9">tarifa!#REF!</definedName>
    <definedName name="Subsidio1" localSheetId="17">tarifa!#REF!</definedName>
    <definedName name="Subsidio1" localSheetId="13">tarifa!#REF!</definedName>
    <definedName name="Subsidio1" localSheetId="8">tarifa!#REF!</definedName>
    <definedName name="Subsidio1" localSheetId="4">tarifa!#REF!</definedName>
    <definedName name="Subsidio1" localSheetId="5">tarifa!#REF!</definedName>
    <definedName name="Subsidio1" localSheetId="16">tarifa!#REF!</definedName>
    <definedName name="Subsidio1" localSheetId="11">tarifa!#REF!</definedName>
    <definedName name="Subsidio1" localSheetId="1">tarifa!#REF!</definedName>
    <definedName name="Subsidio1" localSheetId="7">tarifa!#REF!</definedName>
    <definedName name="Subsidio1" localSheetId="6">tarifa!#REF!</definedName>
    <definedName name="Subsidio1" localSheetId="21">#REF!</definedName>
    <definedName name="Subsidio1" localSheetId="14">tarifa!#REF!</definedName>
    <definedName name="Subsidio1" localSheetId="12">tarifa!#REF!</definedName>
    <definedName name="Subsidio1">tarifa!#REF!</definedName>
    <definedName name="Subsidio10" localSheetId="10">#REF!</definedName>
    <definedName name="Subsidio10" localSheetId="3">#REF!</definedName>
    <definedName name="Subsidio10" localSheetId="19">#REF!</definedName>
    <definedName name="Subsidio10" localSheetId="18">#REF!</definedName>
    <definedName name="Subsidio10" localSheetId="9">#REF!</definedName>
    <definedName name="Subsidio10" localSheetId="17">#REF!</definedName>
    <definedName name="Subsidio10" localSheetId="13">#REF!</definedName>
    <definedName name="Subsidio10" localSheetId="8">#REF!</definedName>
    <definedName name="Subsidio10" localSheetId="4">#REF!</definedName>
    <definedName name="Subsidio10" localSheetId="5">#REF!</definedName>
    <definedName name="Subsidio10" localSheetId="16">#REF!</definedName>
    <definedName name="Subsidio10" localSheetId="11">#REF!</definedName>
    <definedName name="Subsidio10" localSheetId="1">#REF!</definedName>
    <definedName name="Subsidio10" localSheetId="7">#REF!</definedName>
    <definedName name="Subsidio10" localSheetId="6">#REF!</definedName>
    <definedName name="Subsidio10" localSheetId="14">#REF!</definedName>
    <definedName name="Subsidio10" localSheetId="12">#REF!</definedName>
    <definedName name="Subsidio10">#REF!</definedName>
    <definedName name="Subsidio11" localSheetId="10">#REF!</definedName>
    <definedName name="Subsidio11" localSheetId="3">#REF!</definedName>
    <definedName name="Subsidio11" localSheetId="19">#REF!</definedName>
    <definedName name="Subsidio11" localSheetId="18">#REF!</definedName>
    <definedName name="Subsidio11" localSheetId="9">#REF!</definedName>
    <definedName name="Subsidio11" localSheetId="17">#REF!</definedName>
    <definedName name="Subsidio11" localSheetId="13">#REF!</definedName>
    <definedName name="Subsidio11" localSheetId="8">#REF!</definedName>
    <definedName name="Subsidio11" localSheetId="4">#REF!</definedName>
    <definedName name="Subsidio11" localSheetId="5">#REF!</definedName>
    <definedName name="Subsidio11" localSheetId="16">#REF!</definedName>
    <definedName name="Subsidio11" localSheetId="11">#REF!</definedName>
    <definedName name="Subsidio11" localSheetId="1">#REF!</definedName>
    <definedName name="Subsidio11" localSheetId="7">#REF!</definedName>
    <definedName name="Subsidio11" localSheetId="6">#REF!</definedName>
    <definedName name="Subsidio11" localSheetId="14">#REF!</definedName>
    <definedName name="Subsidio11" localSheetId="12">#REF!</definedName>
    <definedName name="Subsidio11">#REF!</definedName>
    <definedName name="Subsidio12" localSheetId="10">#REF!</definedName>
    <definedName name="Subsidio12" localSheetId="3">#REF!</definedName>
    <definedName name="Subsidio12" localSheetId="19">#REF!</definedName>
    <definedName name="Subsidio12" localSheetId="18">#REF!</definedName>
    <definedName name="Subsidio12" localSheetId="9">#REF!</definedName>
    <definedName name="Subsidio12" localSheetId="17">#REF!</definedName>
    <definedName name="Subsidio12" localSheetId="13">#REF!</definedName>
    <definedName name="Subsidio12" localSheetId="8">#REF!</definedName>
    <definedName name="Subsidio12" localSheetId="4">#REF!</definedName>
    <definedName name="Subsidio12" localSheetId="5">#REF!</definedName>
    <definedName name="Subsidio12" localSheetId="16">#REF!</definedName>
    <definedName name="Subsidio12" localSheetId="11">#REF!</definedName>
    <definedName name="Subsidio12" localSheetId="1">#REF!</definedName>
    <definedName name="Subsidio12" localSheetId="7">#REF!</definedName>
    <definedName name="Subsidio12" localSheetId="6">#REF!</definedName>
    <definedName name="Subsidio12" localSheetId="14">#REF!</definedName>
    <definedName name="Subsidio12" localSheetId="12">#REF!</definedName>
    <definedName name="Subsidio12">#REF!</definedName>
    <definedName name="Subsidio2" localSheetId="10">#REF!</definedName>
    <definedName name="Subsidio2" localSheetId="3">#REF!</definedName>
    <definedName name="Subsidio2" localSheetId="19">#REF!</definedName>
    <definedName name="Subsidio2" localSheetId="18">#REF!</definedName>
    <definedName name="Subsidio2" localSheetId="9">#REF!</definedName>
    <definedName name="Subsidio2" localSheetId="17">#REF!</definedName>
    <definedName name="Subsidio2" localSheetId="13">#REF!</definedName>
    <definedName name="Subsidio2" localSheetId="8">#REF!</definedName>
    <definedName name="Subsidio2" localSheetId="4">#REF!</definedName>
    <definedName name="Subsidio2" localSheetId="5">#REF!</definedName>
    <definedName name="Subsidio2" localSheetId="16">#REF!</definedName>
    <definedName name="Subsidio2" localSheetId="11">#REF!</definedName>
    <definedName name="Subsidio2" localSheetId="1">#REF!</definedName>
    <definedName name="Subsidio2" localSheetId="7">#REF!</definedName>
    <definedName name="Subsidio2" localSheetId="6">#REF!</definedName>
    <definedName name="Subsidio2" localSheetId="14">#REF!</definedName>
    <definedName name="Subsidio2" localSheetId="12">#REF!</definedName>
    <definedName name="Subsidio2">#REF!</definedName>
    <definedName name="Subsidio3" localSheetId="10">#REF!</definedName>
    <definedName name="Subsidio3" localSheetId="3">#REF!</definedName>
    <definedName name="Subsidio3" localSheetId="19">#REF!</definedName>
    <definedName name="Subsidio3" localSheetId="18">#REF!</definedName>
    <definedName name="Subsidio3" localSheetId="9">#REF!</definedName>
    <definedName name="Subsidio3" localSheetId="17">#REF!</definedName>
    <definedName name="Subsidio3" localSheetId="13">#REF!</definedName>
    <definedName name="Subsidio3" localSheetId="8">#REF!</definedName>
    <definedName name="Subsidio3" localSheetId="4">#REF!</definedName>
    <definedName name="Subsidio3" localSheetId="5">#REF!</definedName>
    <definedName name="Subsidio3" localSheetId="16">#REF!</definedName>
    <definedName name="Subsidio3" localSheetId="11">#REF!</definedName>
    <definedName name="Subsidio3" localSheetId="1">#REF!</definedName>
    <definedName name="Subsidio3" localSheetId="7">#REF!</definedName>
    <definedName name="Subsidio3" localSheetId="6">#REF!</definedName>
    <definedName name="Subsidio3" localSheetId="14">#REF!</definedName>
    <definedName name="Subsidio3" localSheetId="12">#REF!</definedName>
    <definedName name="Subsidio3">#REF!</definedName>
    <definedName name="Subsidio4" localSheetId="10">#REF!</definedName>
    <definedName name="Subsidio4" localSheetId="3">#REF!</definedName>
    <definedName name="Subsidio4" localSheetId="19">#REF!</definedName>
    <definedName name="Subsidio4" localSheetId="18">#REF!</definedName>
    <definedName name="Subsidio4" localSheetId="9">#REF!</definedName>
    <definedName name="Subsidio4" localSheetId="17">#REF!</definedName>
    <definedName name="Subsidio4" localSheetId="13">#REF!</definedName>
    <definedName name="Subsidio4" localSheetId="8">#REF!</definedName>
    <definedName name="Subsidio4" localSheetId="4">#REF!</definedName>
    <definedName name="Subsidio4" localSheetId="5">#REF!</definedName>
    <definedName name="Subsidio4" localSheetId="16">#REF!</definedName>
    <definedName name="Subsidio4" localSheetId="11">#REF!</definedName>
    <definedName name="Subsidio4" localSheetId="1">#REF!</definedName>
    <definedName name="Subsidio4" localSheetId="7">#REF!</definedName>
    <definedName name="Subsidio4" localSheetId="6">#REF!</definedName>
    <definedName name="Subsidio4" localSheetId="14">#REF!</definedName>
    <definedName name="Subsidio4" localSheetId="12">#REF!</definedName>
    <definedName name="Subsidio4">#REF!</definedName>
    <definedName name="Subsidio5" localSheetId="10">#REF!</definedName>
    <definedName name="Subsidio5" localSheetId="3">#REF!</definedName>
    <definedName name="Subsidio5" localSheetId="19">#REF!</definedName>
    <definedName name="Subsidio5" localSheetId="18">#REF!</definedName>
    <definedName name="Subsidio5" localSheetId="9">#REF!</definedName>
    <definedName name="Subsidio5" localSheetId="17">#REF!</definedName>
    <definedName name="Subsidio5" localSheetId="13">#REF!</definedName>
    <definedName name="Subsidio5" localSheetId="8">#REF!</definedName>
    <definedName name="Subsidio5" localSheetId="4">#REF!</definedName>
    <definedName name="Subsidio5" localSheetId="5">#REF!</definedName>
    <definedName name="Subsidio5" localSheetId="16">#REF!</definedName>
    <definedName name="Subsidio5" localSheetId="11">#REF!</definedName>
    <definedName name="Subsidio5" localSheetId="1">#REF!</definedName>
    <definedName name="Subsidio5" localSheetId="7">#REF!</definedName>
    <definedName name="Subsidio5" localSheetId="6">#REF!</definedName>
    <definedName name="Subsidio5" localSheetId="14">#REF!</definedName>
    <definedName name="Subsidio5" localSheetId="12">#REF!</definedName>
    <definedName name="Subsidio5">#REF!</definedName>
    <definedName name="Subsidio6" localSheetId="10">#REF!</definedName>
    <definedName name="Subsidio6" localSheetId="3">#REF!</definedName>
    <definedName name="Subsidio6" localSheetId="19">#REF!</definedName>
    <definedName name="Subsidio6" localSheetId="18">#REF!</definedName>
    <definedName name="Subsidio6" localSheetId="9">#REF!</definedName>
    <definedName name="Subsidio6" localSheetId="17">#REF!</definedName>
    <definedName name="Subsidio6" localSheetId="13">#REF!</definedName>
    <definedName name="Subsidio6" localSheetId="8">#REF!</definedName>
    <definedName name="Subsidio6" localSheetId="4">#REF!</definedName>
    <definedName name="Subsidio6" localSheetId="5">#REF!</definedName>
    <definedName name="Subsidio6" localSheetId="16">#REF!</definedName>
    <definedName name="Subsidio6" localSheetId="11">#REF!</definedName>
    <definedName name="Subsidio6" localSheetId="1">#REF!</definedName>
    <definedName name="Subsidio6" localSheetId="7">#REF!</definedName>
    <definedName name="Subsidio6" localSheetId="6">#REF!</definedName>
    <definedName name="Subsidio6" localSheetId="14">#REF!</definedName>
    <definedName name="Subsidio6" localSheetId="12">#REF!</definedName>
    <definedName name="Subsidio6">#REF!</definedName>
    <definedName name="Subsidio7" localSheetId="10">#REF!</definedName>
    <definedName name="Subsidio7" localSheetId="3">#REF!</definedName>
    <definedName name="Subsidio7" localSheetId="19">#REF!</definedName>
    <definedName name="Subsidio7" localSheetId="18">#REF!</definedName>
    <definedName name="Subsidio7" localSheetId="9">#REF!</definedName>
    <definedName name="Subsidio7" localSheetId="17">#REF!</definedName>
    <definedName name="Subsidio7" localSheetId="13">#REF!</definedName>
    <definedName name="Subsidio7" localSheetId="8">#REF!</definedName>
    <definedName name="Subsidio7" localSheetId="4">#REF!</definedName>
    <definedName name="Subsidio7" localSheetId="5">#REF!</definedName>
    <definedName name="Subsidio7" localSheetId="16">#REF!</definedName>
    <definedName name="Subsidio7" localSheetId="11">#REF!</definedName>
    <definedName name="Subsidio7" localSheetId="1">#REF!</definedName>
    <definedName name="Subsidio7" localSheetId="7">#REF!</definedName>
    <definedName name="Subsidio7" localSheetId="6">#REF!</definedName>
    <definedName name="Subsidio7" localSheetId="14">#REF!</definedName>
    <definedName name="Subsidio7" localSheetId="12">#REF!</definedName>
    <definedName name="Subsidio7">#REF!</definedName>
    <definedName name="Subsidio8" localSheetId="10">#REF!</definedName>
    <definedName name="Subsidio8" localSheetId="3">#REF!</definedName>
    <definedName name="Subsidio8" localSheetId="19">#REF!</definedName>
    <definedName name="Subsidio8" localSheetId="18">#REF!</definedName>
    <definedName name="Subsidio8" localSheetId="9">#REF!</definedName>
    <definedName name="Subsidio8" localSheetId="17">#REF!</definedName>
    <definedName name="Subsidio8" localSheetId="13">#REF!</definedName>
    <definedName name="Subsidio8" localSheetId="8">#REF!</definedName>
    <definedName name="Subsidio8" localSheetId="4">#REF!</definedName>
    <definedName name="Subsidio8" localSheetId="5">#REF!</definedName>
    <definedName name="Subsidio8" localSheetId="16">#REF!</definedName>
    <definedName name="Subsidio8" localSheetId="11">#REF!</definedName>
    <definedName name="Subsidio8" localSheetId="1">#REF!</definedName>
    <definedName name="Subsidio8" localSheetId="7">#REF!</definedName>
    <definedName name="Subsidio8" localSheetId="6">#REF!</definedName>
    <definedName name="Subsidio8" localSheetId="14">#REF!</definedName>
    <definedName name="Subsidio8" localSheetId="12">#REF!</definedName>
    <definedName name="Subsidio8">#REF!</definedName>
    <definedName name="Subsidio9" localSheetId="10">#REF!</definedName>
    <definedName name="Subsidio9" localSheetId="3">#REF!</definedName>
    <definedName name="Subsidio9" localSheetId="19">#REF!</definedName>
    <definedName name="Subsidio9" localSheetId="18">#REF!</definedName>
    <definedName name="Subsidio9" localSheetId="9">#REF!</definedName>
    <definedName name="Subsidio9" localSheetId="17">#REF!</definedName>
    <definedName name="Subsidio9" localSheetId="13">#REF!</definedName>
    <definedName name="Subsidio9" localSheetId="8">#REF!</definedName>
    <definedName name="Subsidio9" localSheetId="4">#REF!</definedName>
    <definedName name="Subsidio9" localSheetId="5">#REF!</definedName>
    <definedName name="Subsidio9" localSheetId="16">#REF!</definedName>
    <definedName name="Subsidio9" localSheetId="11">#REF!</definedName>
    <definedName name="Subsidio9" localSheetId="1">#REF!</definedName>
    <definedName name="Subsidio9" localSheetId="7">#REF!</definedName>
    <definedName name="Subsidio9" localSheetId="6">#REF!</definedName>
    <definedName name="Subsidio9" localSheetId="14">#REF!</definedName>
    <definedName name="Subsidio9" localSheetId="12">#REF!</definedName>
    <definedName name="Subsidio9">#REF!</definedName>
    <definedName name="TABLA" localSheetId="10">#REF!</definedName>
    <definedName name="TABLA" localSheetId="3">#REF!</definedName>
    <definedName name="TABLA" localSheetId="19">#REF!</definedName>
    <definedName name="TABLA" localSheetId="18">#REF!</definedName>
    <definedName name="TABLA" localSheetId="9">#REF!</definedName>
    <definedName name="TABLA" localSheetId="17">#REF!</definedName>
    <definedName name="TABLA" localSheetId="13">#REF!</definedName>
    <definedName name="TABLA" localSheetId="8">#REF!</definedName>
    <definedName name="TABLA" localSheetId="4">#REF!</definedName>
    <definedName name="TABLA" localSheetId="5">#REF!</definedName>
    <definedName name="TABLA" localSheetId="16">#REF!</definedName>
    <definedName name="TABLA" localSheetId="11">#REF!</definedName>
    <definedName name="TABLA" localSheetId="1">#REF!</definedName>
    <definedName name="TABLA" localSheetId="7">#REF!</definedName>
    <definedName name="TABLA" localSheetId="6">#REF!</definedName>
    <definedName name="TABLA" localSheetId="21">'Calculo ISPT MENSUAL  2015  '!$Y$17:$AA$24</definedName>
    <definedName name="TABLA" localSheetId="14">#REF!</definedName>
    <definedName name="TABLA" localSheetId="12">#REF!</definedName>
    <definedName name="TABLA">#REF!</definedName>
    <definedName name="TABLA_REPECO6" localSheetId="10">'[1]Pequeños Contrib.'!#REF!</definedName>
    <definedName name="TABLA_REPECO6" localSheetId="3">'[1]Pequeños Contrib.'!#REF!</definedName>
    <definedName name="TABLA_REPECO6" localSheetId="19">'[1]Pequeños Contrib.'!#REF!</definedName>
    <definedName name="TABLA_REPECO6" localSheetId="18">'[1]Pequeños Contrib.'!#REF!</definedName>
    <definedName name="TABLA_REPECO6" localSheetId="9">'[1]Pequeños Contrib.'!#REF!</definedName>
    <definedName name="TABLA_REPECO6" localSheetId="17">'[1]Pequeños Contrib.'!#REF!</definedName>
    <definedName name="TABLA_REPECO6" localSheetId="13">'[1]Pequeños Contrib.'!#REF!</definedName>
    <definedName name="TABLA_REPECO6" localSheetId="8">'[1]Pequeños Contrib.'!#REF!</definedName>
    <definedName name="TABLA_REPECO6" localSheetId="4">'[1]Pequeños Contrib.'!#REF!</definedName>
    <definedName name="TABLA_REPECO6" localSheetId="5">'[1]Pequeños Contrib.'!#REF!</definedName>
    <definedName name="TABLA_REPECO6" localSheetId="16">'[1]Pequeños Contrib.'!#REF!</definedName>
    <definedName name="TABLA_REPECO6" localSheetId="11">'[1]Pequeños Contrib.'!#REF!</definedName>
    <definedName name="TABLA_REPECO6" localSheetId="1">'[1]Pequeños Contrib.'!#REF!</definedName>
    <definedName name="TABLA_REPECO6" localSheetId="7">'[1]Pequeños Contrib.'!#REF!</definedName>
    <definedName name="TABLA_REPECO6" localSheetId="6">'[1]Pequeños Contrib.'!#REF!</definedName>
    <definedName name="TABLA_REPECO6" localSheetId="14">'[1]Pequeños Contrib.'!#REF!</definedName>
    <definedName name="TABLA_REPECO6" localSheetId="12">'[1]Pequeños Contrib.'!#REF!</definedName>
    <definedName name="TABLA_REPECO6">'[1]Pequeños Contrib.'!#REF!</definedName>
    <definedName name="TARIFA" localSheetId="10">#REF!</definedName>
    <definedName name="TARIFA" localSheetId="3">#REF!</definedName>
    <definedName name="TARIFA" localSheetId="19">#REF!</definedName>
    <definedName name="TARIFA" localSheetId="18">#REF!</definedName>
    <definedName name="TARIFA" localSheetId="9">#REF!</definedName>
    <definedName name="TARIFA" localSheetId="17">#REF!</definedName>
    <definedName name="TARIFA" localSheetId="13">#REF!</definedName>
    <definedName name="TARIFA" localSheetId="8">#REF!</definedName>
    <definedName name="TARIFA" localSheetId="4">#REF!</definedName>
    <definedName name="TARIFA" localSheetId="5">#REF!</definedName>
    <definedName name="TARIFA" localSheetId="16">#REF!</definedName>
    <definedName name="TARIFA" localSheetId="11">#REF!</definedName>
    <definedName name="TARIFA" localSheetId="1">#REF!</definedName>
    <definedName name="TARIFA" localSheetId="7">#REF!</definedName>
    <definedName name="TARIFA" localSheetId="6">#REF!</definedName>
    <definedName name="TARIFA" localSheetId="21">'Calculo ISPT MENSUAL  2015  '!$U$17:$W$27</definedName>
    <definedName name="TARIFA" localSheetId="14">#REF!</definedName>
    <definedName name="TARIFA" localSheetId="12">#REF!</definedName>
    <definedName name="TARIFA">#REF!</definedName>
    <definedName name="Tarifa1" localSheetId="21">#REF!</definedName>
    <definedName name="Tarifa1">tarifa!$B$53:$D$63</definedName>
    <definedName name="Tarifa10" localSheetId="10">#REF!</definedName>
    <definedName name="Tarifa10" localSheetId="3">#REF!</definedName>
    <definedName name="Tarifa10" localSheetId="19">#REF!</definedName>
    <definedName name="Tarifa10" localSheetId="18">#REF!</definedName>
    <definedName name="Tarifa10" localSheetId="9">#REF!</definedName>
    <definedName name="Tarifa10" localSheetId="17">#REF!</definedName>
    <definedName name="Tarifa10" localSheetId="13">#REF!</definedName>
    <definedName name="Tarifa10" localSheetId="8">#REF!</definedName>
    <definedName name="Tarifa10" localSheetId="4">#REF!</definedName>
    <definedName name="Tarifa10" localSheetId="5">#REF!</definedName>
    <definedName name="Tarifa10" localSheetId="16">#REF!</definedName>
    <definedName name="Tarifa10" localSheetId="11">#REF!</definedName>
    <definedName name="Tarifa10" localSheetId="1">#REF!</definedName>
    <definedName name="Tarifa10" localSheetId="7">#REF!</definedName>
    <definedName name="Tarifa10" localSheetId="6">#REF!</definedName>
    <definedName name="Tarifa10" localSheetId="14">#REF!</definedName>
    <definedName name="Tarifa10" localSheetId="12">#REF!</definedName>
    <definedName name="Tarifa10">#REF!</definedName>
    <definedName name="Tarifa11" localSheetId="10">#REF!</definedName>
    <definedName name="Tarifa11" localSheetId="3">#REF!</definedName>
    <definedName name="Tarifa11" localSheetId="19">#REF!</definedName>
    <definedName name="Tarifa11" localSheetId="18">#REF!</definedName>
    <definedName name="Tarifa11" localSheetId="9">#REF!</definedName>
    <definedName name="Tarifa11" localSheetId="17">#REF!</definedName>
    <definedName name="Tarifa11" localSheetId="13">#REF!</definedName>
    <definedName name="Tarifa11" localSheetId="8">#REF!</definedName>
    <definedName name="Tarifa11" localSheetId="4">#REF!</definedName>
    <definedName name="Tarifa11" localSheetId="5">#REF!</definedName>
    <definedName name="Tarifa11" localSheetId="16">#REF!</definedName>
    <definedName name="Tarifa11" localSheetId="11">#REF!</definedName>
    <definedName name="Tarifa11" localSheetId="1">#REF!</definedName>
    <definedName name="Tarifa11" localSheetId="7">#REF!</definedName>
    <definedName name="Tarifa11" localSheetId="6">#REF!</definedName>
    <definedName name="Tarifa11" localSheetId="14">#REF!</definedName>
    <definedName name="Tarifa11" localSheetId="12">#REF!</definedName>
    <definedName name="Tarifa11">#REF!</definedName>
    <definedName name="Tarifa12" localSheetId="10">#REF!</definedName>
    <definedName name="Tarifa12" localSheetId="3">#REF!</definedName>
    <definedName name="Tarifa12" localSheetId="19">#REF!</definedName>
    <definedName name="Tarifa12" localSheetId="18">#REF!</definedName>
    <definedName name="Tarifa12" localSheetId="9">#REF!</definedName>
    <definedName name="Tarifa12" localSheetId="17">#REF!</definedName>
    <definedName name="Tarifa12" localSheetId="13">#REF!</definedName>
    <definedName name="Tarifa12" localSheetId="8">#REF!</definedName>
    <definedName name="Tarifa12" localSheetId="4">#REF!</definedName>
    <definedName name="Tarifa12" localSheetId="5">#REF!</definedName>
    <definedName name="Tarifa12" localSheetId="16">#REF!</definedName>
    <definedName name="Tarifa12" localSheetId="11">#REF!</definedName>
    <definedName name="Tarifa12" localSheetId="1">#REF!</definedName>
    <definedName name="Tarifa12" localSheetId="7">#REF!</definedName>
    <definedName name="Tarifa12" localSheetId="6">#REF!</definedName>
    <definedName name="Tarifa12" localSheetId="14">#REF!</definedName>
    <definedName name="Tarifa12" localSheetId="12">#REF!</definedName>
    <definedName name="Tarifa12">#REF!</definedName>
    <definedName name="Tarifa2" localSheetId="10">#REF!</definedName>
    <definedName name="Tarifa2" localSheetId="3">#REF!</definedName>
    <definedName name="Tarifa2" localSheetId="19">#REF!</definedName>
    <definedName name="Tarifa2" localSheetId="18">#REF!</definedName>
    <definedName name="Tarifa2" localSheetId="9">#REF!</definedName>
    <definedName name="Tarifa2" localSheetId="17">#REF!</definedName>
    <definedName name="Tarifa2" localSheetId="13">#REF!</definedName>
    <definedName name="Tarifa2" localSheetId="8">#REF!</definedName>
    <definedName name="Tarifa2" localSheetId="4">#REF!</definedName>
    <definedName name="Tarifa2" localSheetId="5">#REF!</definedName>
    <definedName name="Tarifa2" localSheetId="16">#REF!</definedName>
    <definedName name="Tarifa2" localSheetId="11">#REF!</definedName>
    <definedName name="Tarifa2" localSheetId="1">#REF!</definedName>
    <definedName name="Tarifa2" localSheetId="7">#REF!</definedName>
    <definedName name="Tarifa2" localSheetId="6">#REF!</definedName>
    <definedName name="Tarifa2" localSheetId="14">#REF!</definedName>
    <definedName name="Tarifa2" localSheetId="12">#REF!</definedName>
    <definedName name="Tarifa2">#REF!</definedName>
    <definedName name="Tarifa3" localSheetId="10">#REF!</definedName>
    <definedName name="Tarifa3" localSheetId="3">#REF!</definedName>
    <definedName name="Tarifa3" localSheetId="19">#REF!</definedName>
    <definedName name="Tarifa3" localSheetId="18">#REF!</definedName>
    <definedName name="Tarifa3" localSheetId="9">#REF!</definedName>
    <definedName name="Tarifa3" localSheetId="17">#REF!</definedName>
    <definedName name="Tarifa3" localSheetId="13">#REF!</definedName>
    <definedName name="Tarifa3" localSheetId="8">#REF!</definedName>
    <definedName name="Tarifa3" localSheetId="4">#REF!</definedName>
    <definedName name="Tarifa3" localSheetId="5">#REF!</definedName>
    <definedName name="Tarifa3" localSheetId="16">#REF!</definedName>
    <definedName name="Tarifa3" localSheetId="11">#REF!</definedName>
    <definedName name="Tarifa3" localSheetId="1">#REF!</definedName>
    <definedName name="Tarifa3" localSheetId="7">#REF!</definedName>
    <definedName name="Tarifa3" localSheetId="6">#REF!</definedName>
    <definedName name="Tarifa3" localSheetId="14">#REF!</definedName>
    <definedName name="Tarifa3" localSheetId="12">#REF!</definedName>
    <definedName name="Tarifa3">#REF!</definedName>
    <definedName name="Tarifa4" localSheetId="10">#REF!</definedName>
    <definedName name="Tarifa4" localSheetId="3">#REF!</definedName>
    <definedName name="Tarifa4" localSheetId="19">#REF!</definedName>
    <definedName name="Tarifa4" localSheetId="18">#REF!</definedName>
    <definedName name="Tarifa4" localSheetId="9">#REF!</definedName>
    <definedName name="Tarifa4" localSheetId="17">#REF!</definedName>
    <definedName name="Tarifa4" localSheetId="13">#REF!</definedName>
    <definedName name="Tarifa4" localSheetId="8">#REF!</definedName>
    <definedName name="Tarifa4" localSheetId="4">#REF!</definedName>
    <definedName name="Tarifa4" localSheetId="5">#REF!</definedName>
    <definedName name="Tarifa4" localSheetId="16">#REF!</definedName>
    <definedName name="Tarifa4" localSheetId="11">#REF!</definedName>
    <definedName name="Tarifa4" localSheetId="1">#REF!</definedName>
    <definedName name="Tarifa4" localSheetId="7">#REF!</definedName>
    <definedName name="Tarifa4" localSheetId="6">#REF!</definedName>
    <definedName name="Tarifa4" localSheetId="14">#REF!</definedName>
    <definedName name="Tarifa4" localSheetId="12">#REF!</definedName>
    <definedName name="Tarifa4">#REF!</definedName>
    <definedName name="Tarifa5" localSheetId="10">#REF!</definedName>
    <definedName name="Tarifa5" localSheetId="3">#REF!</definedName>
    <definedName name="Tarifa5" localSheetId="19">#REF!</definedName>
    <definedName name="Tarifa5" localSheetId="18">#REF!</definedName>
    <definedName name="Tarifa5" localSheetId="9">#REF!</definedName>
    <definedName name="Tarifa5" localSheetId="17">#REF!</definedName>
    <definedName name="Tarifa5" localSheetId="13">#REF!</definedName>
    <definedName name="Tarifa5" localSheetId="8">#REF!</definedName>
    <definedName name="Tarifa5" localSheetId="4">#REF!</definedName>
    <definedName name="Tarifa5" localSheetId="5">#REF!</definedName>
    <definedName name="Tarifa5" localSheetId="16">#REF!</definedName>
    <definedName name="Tarifa5" localSheetId="11">#REF!</definedName>
    <definedName name="Tarifa5" localSheetId="1">#REF!</definedName>
    <definedName name="Tarifa5" localSheetId="7">#REF!</definedName>
    <definedName name="Tarifa5" localSheetId="6">#REF!</definedName>
    <definedName name="Tarifa5" localSheetId="14">#REF!</definedName>
    <definedName name="Tarifa5" localSheetId="12">#REF!</definedName>
    <definedName name="Tarifa5">#REF!</definedName>
    <definedName name="Tarifa6" localSheetId="10">#REF!</definedName>
    <definedName name="Tarifa6" localSheetId="3">#REF!</definedName>
    <definedName name="Tarifa6" localSheetId="19">#REF!</definedName>
    <definedName name="Tarifa6" localSheetId="18">#REF!</definedName>
    <definedName name="Tarifa6" localSheetId="9">#REF!</definedName>
    <definedName name="Tarifa6" localSheetId="17">#REF!</definedName>
    <definedName name="Tarifa6" localSheetId="13">#REF!</definedName>
    <definedName name="Tarifa6" localSheetId="8">#REF!</definedName>
    <definedName name="Tarifa6" localSheetId="4">#REF!</definedName>
    <definedName name="Tarifa6" localSheetId="5">#REF!</definedName>
    <definedName name="Tarifa6" localSheetId="16">#REF!</definedName>
    <definedName name="Tarifa6" localSheetId="11">#REF!</definedName>
    <definedName name="Tarifa6" localSheetId="1">#REF!</definedName>
    <definedName name="Tarifa6" localSheetId="7">#REF!</definedName>
    <definedName name="Tarifa6" localSheetId="6">#REF!</definedName>
    <definedName name="Tarifa6" localSheetId="14">#REF!</definedName>
    <definedName name="Tarifa6" localSheetId="12">#REF!</definedName>
    <definedName name="Tarifa6">#REF!</definedName>
    <definedName name="Tarifa7" localSheetId="10">#REF!</definedName>
    <definedName name="Tarifa7" localSheetId="3">#REF!</definedName>
    <definedName name="Tarifa7" localSheetId="19">#REF!</definedName>
    <definedName name="Tarifa7" localSheetId="18">#REF!</definedName>
    <definedName name="Tarifa7" localSheetId="9">#REF!</definedName>
    <definedName name="Tarifa7" localSheetId="17">#REF!</definedName>
    <definedName name="Tarifa7" localSheetId="13">#REF!</definedName>
    <definedName name="Tarifa7" localSheetId="8">#REF!</definedName>
    <definedName name="Tarifa7" localSheetId="4">#REF!</definedName>
    <definedName name="Tarifa7" localSheetId="5">#REF!</definedName>
    <definedName name="Tarifa7" localSheetId="16">#REF!</definedName>
    <definedName name="Tarifa7" localSheetId="11">#REF!</definedName>
    <definedName name="Tarifa7" localSheetId="1">#REF!</definedName>
    <definedName name="Tarifa7" localSheetId="7">#REF!</definedName>
    <definedName name="Tarifa7" localSheetId="6">#REF!</definedName>
    <definedName name="Tarifa7" localSheetId="14">#REF!</definedName>
    <definedName name="Tarifa7" localSheetId="12">#REF!</definedName>
    <definedName name="Tarifa7">#REF!</definedName>
    <definedName name="Tarifa8" localSheetId="10">#REF!</definedName>
    <definedName name="Tarifa8" localSheetId="3">#REF!</definedName>
    <definedName name="Tarifa8" localSheetId="19">#REF!</definedName>
    <definedName name="Tarifa8" localSheetId="18">#REF!</definedName>
    <definedName name="Tarifa8" localSheetId="9">#REF!</definedName>
    <definedName name="Tarifa8" localSheetId="17">#REF!</definedName>
    <definedName name="Tarifa8" localSheetId="13">#REF!</definedName>
    <definedName name="Tarifa8" localSheetId="8">#REF!</definedName>
    <definedName name="Tarifa8" localSheetId="4">#REF!</definedName>
    <definedName name="Tarifa8" localSheetId="5">#REF!</definedName>
    <definedName name="Tarifa8" localSheetId="16">#REF!</definedName>
    <definedName name="Tarifa8" localSheetId="11">#REF!</definedName>
    <definedName name="Tarifa8" localSheetId="1">#REF!</definedName>
    <definedName name="Tarifa8" localSheetId="7">#REF!</definedName>
    <definedName name="Tarifa8" localSheetId="6">#REF!</definedName>
    <definedName name="Tarifa8" localSheetId="14">#REF!</definedName>
    <definedName name="Tarifa8" localSheetId="12">#REF!</definedName>
    <definedName name="Tarifa8">#REF!</definedName>
    <definedName name="Tarifa9" localSheetId="10">#REF!</definedName>
    <definedName name="Tarifa9" localSheetId="3">#REF!</definedName>
    <definedName name="Tarifa9" localSheetId="19">#REF!</definedName>
    <definedName name="Tarifa9" localSheetId="18">#REF!</definedName>
    <definedName name="Tarifa9" localSheetId="9">#REF!</definedName>
    <definedName name="Tarifa9" localSheetId="17">#REF!</definedName>
    <definedName name="Tarifa9" localSheetId="13">#REF!</definedName>
    <definedName name="Tarifa9" localSheetId="8">#REF!</definedName>
    <definedName name="Tarifa9" localSheetId="4">#REF!</definedName>
    <definedName name="Tarifa9" localSheetId="5">#REF!</definedName>
    <definedName name="Tarifa9" localSheetId="16">#REF!</definedName>
    <definedName name="Tarifa9" localSheetId="11">#REF!</definedName>
    <definedName name="Tarifa9" localSheetId="1">#REF!</definedName>
    <definedName name="Tarifa9" localSheetId="7">#REF!</definedName>
    <definedName name="Tarifa9" localSheetId="6">#REF!</definedName>
    <definedName name="Tarifa9" localSheetId="14">#REF!</definedName>
    <definedName name="Tarifa9" localSheetId="12">#REF!</definedName>
    <definedName name="Tarifa9">#REF!</definedName>
    <definedName name="_xlnm.Print_Titles" localSheetId="20">'APOYOS MENSUALES COMUNIDADES'!$1:$5</definedName>
  </definedNames>
  <calcPr calcId="124519"/>
</workbook>
</file>

<file path=xl/calcChain.xml><?xml version="1.0" encoding="utf-8"?>
<calcChain xmlns="http://schemas.openxmlformats.org/spreadsheetml/2006/main">
  <c r="D34" i="176"/>
  <c r="E39" i="182" l="1"/>
  <c r="E6" i="183" s="1"/>
  <c r="P32" i="180"/>
  <c r="I32"/>
  <c r="G32"/>
  <c r="Q32" l="1"/>
  <c r="N32"/>
  <c r="P30" l="1"/>
  <c r="I30"/>
  <c r="G30"/>
  <c r="Q30" s="1"/>
  <c r="P29"/>
  <c r="I29"/>
  <c r="G29"/>
  <c r="P10" i="167"/>
  <c r="G10"/>
  <c r="P9"/>
  <c r="G9"/>
  <c r="P8"/>
  <c r="G8"/>
  <c r="P11"/>
  <c r="G11"/>
  <c r="P13" i="164"/>
  <c r="I13"/>
  <c r="G13"/>
  <c r="Q13" s="1"/>
  <c r="Q11" i="167" l="1"/>
  <c r="Q29" i="180"/>
  <c r="N30"/>
  <c r="N29"/>
  <c r="Q10" i="167"/>
  <c r="Q9"/>
  <c r="Q8"/>
  <c r="N9"/>
  <c r="N10"/>
  <c r="N8"/>
  <c r="N11"/>
  <c r="N13" i="164"/>
  <c r="P27" i="160"/>
  <c r="G27"/>
  <c r="P23" i="158"/>
  <c r="G23"/>
  <c r="E5" i="183"/>
  <c r="G52" i="180"/>
  <c r="I52"/>
  <c r="N52" s="1"/>
  <c r="P52"/>
  <c r="P24" i="158"/>
  <c r="G24"/>
  <c r="P22"/>
  <c r="G22"/>
  <c r="P12" i="181"/>
  <c r="G12"/>
  <c r="P11"/>
  <c r="G11"/>
  <c r="AK21"/>
  <c r="AF21"/>
  <c r="AE21"/>
  <c r="AD21"/>
  <c r="AC21"/>
  <c r="M21"/>
  <c r="L21"/>
  <c r="K21"/>
  <c r="J21"/>
  <c r="H21"/>
  <c r="P10"/>
  <c r="G10"/>
  <c r="P9"/>
  <c r="G9"/>
  <c r="P8"/>
  <c r="N8"/>
  <c r="G8"/>
  <c r="Q8" s="1"/>
  <c r="I21"/>
  <c r="P21"/>
  <c r="P10" i="180"/>
  <c r="I10"/>
  <c r="G10"/>
  <c r="P15" i="169"/>
  <c r="I15"/>
  <c r="G15"/>
  <c r="P13"/>
  <c r="I13"/>
  <c r="G13"/>
  <c r="Q13" s="1"/>
  <c r="P12"/>
  <c r="I12"/>
  <c r="G12"/>
  <c r="P9" i="180"/>
  <c r="I9"/>
  <c r="I34" s="1"/>
  <c r="G9"/>
  <c r="P51"/>
  <c r="G51"/>
  <c r="P17" i="161"/>
  <c r="I17"/>
  <c r="G17"/>
  <c r="Q17" s="1"/>
  <c r="P16"/>
  <c r="I16"/>
  <c r="G16"/>
  <c r="Q16" s="1"/>
  <c r="P35" i="160"/>
  <c r="G35"/>
  <c r="N35" s="1"/>
  <c r="P50" i="180"/>
  <c r="G50"/>
  <c r="P49"/>
  <c r="G49"/>
  <c r="AF72"/>
  <c r="AE72"/>
  <c r="AD72"/>
  <c r="AC72"/>
  <c r="M72"/>
  <c r="L72"/>
  <c r="K72"/>
  <c r="J72"/>
  <c r="H72"/>
  <c r="P68"/>
  <c r="I68"/>
  <c r="G68"/>
  <c r="P67"/>
  <c r="I67"/>
  <c r="G67"/>
  <c r="P66"/>
  <c r="I66"/>
  <c r="G66"/>
  <c r="P65"/>
  <c r="I65"/>
  <c r="G65"/>
  <c r="P64"/>
  <c r="I64"/>
  <c r="G64"/>
  <c r="P63"/>
  <c r="I63"/>
  <c r="G63"/>
  <c r="P62"/>
  <c r="I62"/>
  <c r="G62"/>
  <c r="P61"/>
  <c r="I61"/>
  <c r="G61"/>
  <c r="P60"/>
  <c r="I60"/>
  <c r="G60"/>
  <c r="P59"/>
  <c r="I59"/>
  <c r="G59"/>
  <c r="P58"/>
  <c r="I58"/>
  <c r="G58"/>
  <c r="P57"/>
  <c r="I57"/>
  <c r="G57"/>
  <c r="P56"/>
  <c r="I56"/>
  <c r="G56"/>
  <c r="P55"/>
  <c r="I55"/>
  <c r="G55"/>
  <c r="P54"/>
  <c r="I54"/>
  <c r="G54"/>
  <c r="P53"/>
  <c r="I53"/>
  <c r="G53"/>
  <c r="P48"/>
  <c r="G48"/>
  <c r="P21" i="158"/>
  <c r="G21"/>
  <c r="Q21" s="1"/>
  <c r="P8" i="180"/>
  <c r="G8"/>
  <c r="AF34"/>
  <c r="AE34"/>
  <c r="AD34"/>
  <c r="AC34"/>
  <c r="M34"/>
  <c r="L34"/>
  <c r="K34"/>
  <c r="J34"/>
  <c r="H34"/>
  <c r="I6" i="179"/>
  <c r="Q49" i="180" l="1"/>
  <c r="Q35" i="160"/>
  <c r="Q12" i="169"/>
  <c r="Q15"/>
  <c r="Q11" i="181"/>
  <c r="Q12"/>
  <c r="Q22" i="158"/>
  <c r="Q52" i="180"/>
  <c r="Q23" i="158"/>
  <c r="Q27" i="160"/>
  <c r="Q53" i="180"/>
  <c r="I72"/>
  <c r="Q59"/>
  <c r="Q61"/>
  <c r="Q63"/>
  <c r="Q65"/>
  <c r="N49"/>
  <c r="Q9"/>
  <c r="N27" i="160"/>
  <c r="N23" i="158"/>
  <c r="Q51" i="180"/>
  <c r="P34"/>
  <c r="Q10"/>
  <c r="Q55"/>
  <c r="Q57"/>
  <c r="Q8"/>
  <c r="Q48"/>
  <c r="N48"/>
  <c r="Q58"/>
  <c r="Q60"/>
  <c r="Q62"/>
  <c r="Q64"/>
  <c r="Q66"/>
  <c r="Q68"/>
  <c r="Q50"/>
  <c r="N51"/>
  <c r="G34"/>
  <c r="Q24" i="158"/>
  <c r="N24"/>
  <c r="N22"/>
  <c r="Q54" i="180"/>
  <c r="Q56"/>
  <c r="Q67"/>
  <c r="G21" i="181"/>
  <c r="N11"/>
  <c r="N12"/>
  <c r="Q9"/>
  <c r="Q10"/>
  <c r="N9"/>
  <c r="N10"/>
  <c r="N10" i="180"/>
  <c r="N15" i="169"/>
  <c r="N13"/>
  <c r="N12"/>
  <c r="N9" i="180"/>
  <c r="N17" i="161"/>
  <c r="N16"/>
  <c r="P72" i="180"/>
  <c r="G72"/>
  <c r="N50"/>
  <c r="N53"/>
  <c r="N55"/>
  <c r="N57"/>
  <c r="N59"/>
  <c r="N61"/>
  <c r="N63"/>
  <c r="N65"/>
  <c r="N67"/>
  <c r="N54"/>
  <c r="N56"/>
  <c r="N58"/>
  <c r="N60"/>
  <c r="N62"/>
  <c r="N64"/>
  <c r="N66"/>
  <c r="N68"/>
  <c r="N21" i="158"/>
  <c r="N8" i="180"/>
  <c r="P18" i="169"/>
  <c r="I18"/>
  <c r="G18"/>
  <c r="Q18" s="1"/>
  <c r="P16"/>
  <c r="I16"/>
  <c r="G16"/>
  <c r="P14"/>
  <c r="I14"/>
  <c r="G14"/>
  <c r="Q14" s="1"/>
  <c r="P20" i="158"/>
  <c r="G20"/>
  <c r="Q20" s="1"/>
  <c r="P14" i="173"/>
  <c r="I14"/>
  <c r="G14"/>
  <c r="P34" i="172"/>
  <c r="G34"/>
  <c r="P12" i="164"/>
  <c r="I12"/>
  <c r="G12"/>
  <c r="Q12" s="1"/>
  <c r="P24" i="174"/>
  <c r="G24"/>
  <c r="P23"/>
  <c r="G23"/>
  <c r="P22"/>
  <c r="G22"/>
  <c r="Q22" s="1"/>
  <c r="P21"/>
  <c r="G21"/>
  <c r="P20"/>
  <c r="G20"/>
  <c r="P12"/>
  <c r="G12"/>
  <c r="P19" i="158"/>
  <c r="G19"/>
  <c r="P18"/>
  <c r="G18"/>
  <c r="P17"/>
  <c r="G17"/>
  <c r="P16"/>
  <c r="G16"/>
  <c r="P11" i="159"/>
  <c r="I11"/>
  <c r="G11"/>
  <c r="P10" i="178"/>
  <c r="I10"/>
  <c r="G10"/>
  <c r="Q10" s="1"/>
  <c r="P9"/>
  <c r="I9"/>
  <c r="G9"/>
  <c r="P12" i="162"/>
  <c r="I12"/>
  <c r="G12"/>
  <c r="Q12" s="1"/>
  <c r="P15" i="178"/>
  <c r="I15"/>
  <c r="G15"/>
  <c r="P14"/>
  <c r="I14"/>
  <c r="G14"/>
  <c r="Q14" s="1"/>
  <c r="P13"/>
  <c r="I13"/>
  <c r="G13"/>
  <c r="G18" i="171"/>
  <c r="N18" s="1"/>
  <c r="P18"/>
  <c r="P15"/>
  <c r="G15"/>
  <c r="P14"/>
  <c r="G14"/>
  <c r="P33" i="172"/>
  <c r="G33"/>
  <c r="Q31"/>
  <c r="P31"/>
  <c r="N31"/>
  <c r="G31"/>
  <c r="P17" i="166"/>
  <c r="G17"/>
  <c r="G15"/>
  <c r="N15" s="1"/>
  <c r="P15"/>
  <c r="P15" i="161"/>
  <c r="I15"/>
  <c r="G15"/>
  <c r="Q15" s="1"/>
  <c r="P14"/>
  <c r="I14"/>
  <c r="G14"/>
  <c r="P13"/>
  <c r="I13"/>
  <c r="G13"/>
  <c r="Q13" s="1"/>
  <c r="P18"/>
  <c r="I18"/>
  <c r="G18"/>
  <c r="G14" i="160"/>
  <c r="N14" s="1"/>
  <c r="P14"/>
  <c r="G15"/>
  <c r="N15" s="1"/>
  <c r="P15"/>
  <c r="G16"/>
  <c r="N16" s="1"/>
  <c r="P16"/>
  <c r="G17"/>
  <c r="N17" s="1"/>
  <c r="P17"/>
  <c r="G18"/>
  <c r="N18" s="1"/>
  <c r="P18"/>
  <c r="G43"/>
  <c r="N43" s="1"/>
  <c r="P43"/>
  <c r="G44"/>
  <c r="N44" s="1"/>
  <c r="P44"/>
  <c r="G45"/>
  <c r="N45" s="1"/>
  <c r="P45"/>
  <c r="G46"/>
  <c r="N46" s="1"/>
  <c r="P46"/>
  <c r="G47"/>
  <c r="N47" s="1"/>
  <c r="P47"/>
  <c r="G48"/>
  <c r="N48" s="1"/>
  <c r="P48"/>
  <c r="G49"/>
  <c r="N49" s="1"/>
  <c r="P49"/>
  <c r="G36"/>
  <c r="N36" s="1"/>
  <c r="P36"/>
  <c r="G37"/>
  <c r="N37" s="1"/>
  <c r="P37"/>
  <c r="G38"/>
  <c r="N38" s="1"/>
  <c r="P38"/>
  <c r="G39"/>
  <c r="N39" s="1"/>
  <c r="P39"/>
  <c r="G40"/>
  <c r="N40" s="1"/>
  <c r="P40"/>
  <c r="G41"/>
  <c r="N41" s="1"/>
  <c r="P41"/>
  <c r="G42"/>
  <c r="N42" s="1"/>
  <c r="P42"/>
  <c r="G14" i="168"/>
  <c r="I14"/>
  <c r="P14"/>
  <c r="G15"/>
  <c r="I15"/>
  <c r="N15" s="1"/>
  <c r="P15"/>
  <c r="G16"/>
  <c r="I16"/>
  <c r="P16"/>
  <c r="G17"/>
  <c r="I17"/>
  <c r="N17" s="1"/>
  <c r="P17"/>
  <c r="G18"/>
  <c r="I18"/>
  <c r="P18"/>
  <c r="Q16" i="169" l="1"/>
  <c r="Q21" i="181"/>
  <c r="Q12" i="174"/>
  <c r="Q23"/>
  <c r="Q72" i="180"/>
  <c r="N21" i="181"/>
  <c r="AL10"/>
  <c r="AL9"/>
  <c r="N72" i="180"/>
  <c r="N34"/>
  <c r="Q34"/>
  <c r="N18" i="168"/>
  <c r="N16"/>
  <c r="Q15"/>
  <c r="N14"/>
  <c r="Q18" i="161"/>
  <c r="Q14"/>
  <c r="Q15" i="166"/>
  <c r="Q17"/>
  <c r="Q13" i="178"/>
  <c r="Q15"/>
  <c r="Q11" i="159"/>
  <c r="Q34" i="172"/>
  <c r="Q14" i="173"/>
  <c r="Q9" i="178"/>
  <c r="Q20" i="174"/>
  <c r="Q21"/>
  <c r="Q15" i="171"/>
  <c r="N18" i="169"/>
  <c r="N16"/>
  <c r="N14"/>
  <c r="N20" i="158"/>
  <c r="Q24" i="174"/>
  <c r="Q16" i="158"/>
  <c r="Q17"/>
  <c r="N24" i="174"/>
  <c r="N14" i="173"/>
  <c r="N34" i="172"/>
  <c r="Q14" i="160"/>
  <c r="N12" i="164"/>
  <c r="N23" i="174"/>
  <c r="N22"/>
  <c r="N21"/>
  <c r="N20"/>
  <c r="N12"/>
  <c r="Q19" i="158"/>
  <c r="Q18"/>
  <c r="N19"/>
  <c r="N18"/>
  <c r="N17"/>
  <c r="N16"/>
  <c r="N11" i="159"/>
  <c r="N10" i="178"/>
  <c r="N9"/>
  <c r="N12" i="162"/>
  <c r="N15" i="178"/>
  <c r="N14"/>
  <c r="N13"/>
  <c r="Q18" i="171"/>
  <c r="N15"/>
  <c r="Q14"/>
  <c r="N14"/>
  <c r="Q33" i="172"/>
  <c r="N33"/>
  <c r="N17" i="166"/>
  <c r="N15" i="161"/>
  <c r="N14"/>
  <c r="N13"/>
  <c r="N18"/>
  <c r="Q18" i="160"/>
  <c r="Q17"/>
  <c r="Q16"/>
  <c r="Q15"/>
  <c r="Q43"/>
  <c r="Q49"/>
  <c r="Q48"/>
  <c r="Q47"/>
  <c r="Q46"/>
  <c r="Q45"/>
  <c r="Q44"/>
  <c r="Q42"/>
  <c r="Q39"/>
  <c r="Q37"/>
  <c r="Q36"/>
  <c r="Q41"/>
  <c r="Q40"/>
  <c r="Q38"/>
  <c r="Q17" i="168"/>
  <c r="Q18"/>
  <c r="Q16"/>
  <c r="Q14"/>
  <c r="G10" i="166"/>
  <c r="N10" s="1"/>
  <c r="P10"/>
  <c r="G11"/>
  <c r="N11" s="1"/>
  <c r="P11"/>
  <c r="G12"/>
  <c r="N12" s="1"/>
  <c r="P12"/>
  <c r="G13"/>
  <c r="N13" s="1"/>
  <c r="P13"/>
  <c r="G14"/>
  <c r="N14" s="1"/>
  <c r="P14"/>
  <c r="G18"/>
  <c r="N18" s="1"/>
  <c r="P18"/>
  <c r="G21" i="179"/>
  <c r="Q13" i="166" l="1"/>
  <c r="Q18"/>
  <c r="Q10"/>
  <c r="Q12"/>
  <c r="Q14"/>
  <c r="Q11"/>
  <c r="G9" i="174"/>
  <c r="N9" s="1"/>
  <c r="P9"/>
  <c r="G10"/>
  <c r="N10" s="1"/>
  <c r="P10"/>
  <c r="G11"/>
  <c r="N11" s="1"/>
  <c r="P11"/>
  <c r="G13"/>
  <c r="N13" s="1"/>
  <c r="P13"/>
  <c r="G14"/>
  <c r="N14" s="1"/>
  <c r="P14"/>
  <c r="G15"/>
  <c r="N15" s="1"/>
  <c r="P15"/>
  <c r="G16"/>
  <c r="N16" s="1"/>
  <c r="P16"/>
  <c r="G17"/>
  <c r="N17" s="1"/>
  <c r="P17"/>
  <c r="G18"/>
  <c r="N18" s="1"/>
  <c r="P18"/>
  <c r="G19"/>
  <c r="P19"/>
  <c r="Q19" l="1"/>
  <c r="N19"/>
  <c r="Q18"/>
  <c r="Q11"/>
  <c r="Q13"/>
  <c r="Q14"/>
  <c r="Q15"/>
  <c r="Q16"/>
  <c r="Q10"/>
  <c r="Q17"/>
  <c r="Q9"/>
  <c r="G13" i="163"/>
  <c r="N13" s="1"/>
  <c r="P13"/>
  <c r="G14"/>
  <c r="N14" s="1"/>
  <c r="P14"/>
  <c r="G15"/>
  <c r="P15"/>
  <c r="G16"/>
  <c r="N16" s="1"/>
  <c r="P16"/>
  <c r="G17"/>
  <c r="N17" s="1"/>
  <c r="P17"/>
  <c r="Q13" l="1"/>
  <c r="Q14"/>
  <c r="Q16"/>
  <c r="Q15"/>
  <c r="N15"/>
  <c r="Q17"/>
  <c r="G9" i="160" l="1"/>
  <c r="N9" s="1"/>
  <c r="P9"/>
  <c r="G10"/>
  <c r="N10" s="1"/>
  <c r="P10"/>
  <c r="G11"/>
  <c r="N11" s="1"/>
  <c r="P11"/>
  <c r="G12"/>
  <c r="N12" s="1"/>
  <c r="P12"/>
  <c r="G13"/>
  <c r="N13" s="1"/>
  <c r="P13"/>
  <c r="G19"/>
  <c r="N19" s="1"/>
  <c r="P19"/>
  <c r="G20"/>
  <c r="N20" s="1"/>
  <c r="P20"/>
  <c r="G21"/>
  <c r="N21" s="1"/>
  <c r="P21"/>
  <c r="G22"/>
  <c r="N22" s="1"/>
  <c r="P22"/>
  <c r="G23"/>
  <c r="N23" s="1"/>
  <c r="P23"/>
  <c r="G24"/>
  <c r="N24" s="1"/>
  <c r="P24"/>
  <c r="G28"/>
  <c r="N28" s="1"/>
  <c r="P28"/>
  <c r="G29"/>
  <c r="N29" s="1"/>
  <c r="P29"/>
  <c r="G30"/>
  <c r="N30" s="1"/>
  <c r="P30"/>
  <c r="G31"/>
  <c r="N31" s="1"/>
  <c r="P31"/>
  <c r="G32"/>
  <c r="N32" s="1"/>
  <c r="P32"/>
  <c r="G34"/>
  <c r="P34"/>
  <c r="AL8" i="181" l="1"/>
  <c r="AL21" s="1"/>
  <c r="Q34" i="160"/>
  <c r="N34"/>
  <c r="Q30"/>
  <c r="Q21"/>
  <c r="Q12"/>
  <c r="Q10"/>
  <c r="Q9"/>
  <c r="Q22"/>
  <c r="Q28"/>
  <c r="Q23"/>
  <c r="Q19"/>
  <c r="Q11"/>
  <c r="Q29"/>
  <c r="Q24"/>
  <c r="Q20"/>
  <c r="Q31"/>
  <c r="Q13"/>
  <c r="Q32"/>
  <c r="AB15" i="158" l="1"/>
  <c r="AG15" s="1"/>
  <c r="AA15"/>
  <c r="G15"/>
  <c r="N15" s="1"/>
  <c r="G14"/>
  <c r="N14" s="1"/>
  <c r="P14"/>
  <c r="AH15" l="1"/>
  <c r="Q14"/>
  <c r="O21" i="166" l="1"/>
  <c r="Z21"/>
  <c r="AC21"/>
  <c r="AD21"/>
  <c r="AE21"/>
  <c r="AF21"/>
  <c r="AN50" i="160" l="1"/>
  <c r="G9" i="158" l="1"/>
  <c r="N9" s="1"/>
  <c r="P9"/>
  <c r="G10"/>
  <c r="N10" s="1"/>
  <c r="P10"/>
  <c r="G11"/>
  <c r="P11"/>
  <c r="G12"/>
  <c r="N12" s="1"/>
  <c r="P12"/>
  <c r="G13"/>
  <c r="P13"/>
  <c r="G32" i="172"/>
  <c r="N32" s="1"/>
  <c r="P32"/>
  <c r="G9"/>
  <c r="N9" s="1"/>
  <c r="P9"/>
  <c r="G10"/>
  <c r="N10" s="1"/>
  <c r="P10"/>
  <c r="G11"/>
  <c r="N11" s="1"/>
  <c r="P11"/>
  <c r="G12"/>
  <c r="N12" s="1"/>
  <c r="P12"/>
  <c r="G13"/>
  <c r="P13"/>
  <c r="G14"/>
  <c r="N14" s="1"/>
  <c r="P14"/>
  <c r="G15"/>
  <c r="P15"/>
  <c r="G16"/>
  <c r="N16" s="1"/>
  <c r="P16"/>
  <c r="G17"/>
  <c r="N17" s="1"/>
  <c r="P17"/>
  <c r="G18"/>
  <c r="N18" s="1"/>
  <c r="P18"/>
  <c r="G19"/>
  <c r="N19" s="1"/>
  <c r="P19"/>
  <c r="Q19" s="1"/>
  <c r="G20"/>
  <c r="N20" s="1"/>
  <c r="P20"/>
  <c r="G21"/>
  <c r="N21" s="1"/>
  <c r="P21"/>
  <c r="G22"/>
  <c r="P22"/>
  <c r="G23"/>
  <c r="P23"/>
  <c r="G24"/>
  <c r="N24" s="1"/>
  <c r="P24"/>
  <c r="G25"/>
  <c r="N25" s="1"/>
  <c r="P25"/>
  <c r="G26"/>
  <c r="N26" s="1"/>
  <c r="P26"/>
  <c r="G27"/>
  <c r="N27" s="1"/>
  <c r="P27"/>
  <c r="G28"/>
  <c r="N28" s="1"/>
  <c r="P28"/>
  <c r="G29"/>
  <c r="N29" s="1"/>
  <c r="P29"/>
  <c r="G30"/>
  <c r="N30" s="1"/>
  <c r="P30"/>
  <c r="Q18" l="1"/>
  <c r="Q17"/>
  <c r="Q16"/>
  <c r="Q9"/>
  <c r="Q25"/>
  <c r="Q20"/>
  <c r="Q22"/>
  <c r="Q30"/>
  <c r="Q29"/>
  <c r="Q28"/>
  <c r="Q27"/>
  <c r="Q26"/>
  <c r="Q24"/>
  <c r="N22"/>
  <c r="Q14"/>
  <c r="Q13"/>
  <c r="Q12"/>
  <c r="Q11"/>
  <c r="Q10"/>
  <c r="Q32"/>
  <c r="Q11" i="158"/>
  <c r="Q13"/>
  <c r="Q10"/>
  <c r="Q12"/>
  <c r="N13"/>
  <c r="N11"/>
  <c r="Q9"/>
  <c r="Q21" i="172"/>
  <c r="Q23"/>
  <c r="N23"/>
  <c r="N13"/>
  <c r="Q15"/>
  <c r="N15"/>
  <c r="G10" i="171" l="1"/>
  <c r="N10" s="1"/>
  <c r="G9"/>
  <c r="P10"/>
  <c r="G12" i="168"/>
  <c r="I12"/>
  <c r="P12"/>
  <c r="G13"/>
  <c r="I13"/>
  <c r="P13"/>
  <c r="Q12" l="1"/>
  <c r="N13"/>
  <c r="Q10" i="171"/>
  <c r="N12" i="168"/>
  <c r="Q13"/>
  <c r="C5" i="179" l="1"/>
  <c r="G13" i="173" l="1"/>
  <c r="I13"/>
  <c r="P13"/>
  <c r="N13" l="1"/>
  <c r="Q13"/>
  <c r="AK18" i="178" l="1"/>
  <c r="AF18"/>
  <c r="AE18"/>
  <c r="AD18"/>
  <c r="AC18"/>
  <c r="M18"/>
  <c r="L18"/>
  <c r="K18"/>
  <c r="J18"/>
  <c r="H18"/>
  <c r="I18"/>
  <c r="P8"/>
  <c r="G8"/>
  <c r="N8" s="1"/>
  <c r="B3"/>
  <c r="AK23" i="177"/>
  <c r="AF23"/>
  <c r="AE23"/>
  <c r="AD23"/>
  <c r="AC23"/>
  <c r="M23"/>
  <c r="L23"/>
  <c r="K23"/>
  <c r="J23"/>
  <c r="H23"/>
  <c r="P16"/>
  <c r="I16"/>
  <c r="G16"/>
  <c r="P14"/>
  <c r="I14"/>
  <c r="G14"/>
  <c r="P12"/>
  <c r="I12"/>
  <c r="G12"/>
  <c r="P10"/>
  <c r="I10"/>
  <c r="G10"/>
  <c r="P8"/>
  <c r="G8"/>
  <c r="B3"/>
  <c r="B3" i="171"/>
  <c r="B3" i="169"/>
  <c r="B3" i="168"/>
  <c r="B3" i="167"/>
  <c r="B3" i="166"/>
  <c r="B3" i="165"/>
  <c r="B3" i="164"/>
  <c r="B3" i="163"/>
  <c r="B3" i="162"/>
  <c r="B3" i="161"/>
  <c r="B3" i="160"/>
  <c r="B3" i="159"/>
  <c r="B3" i="158"/>
  <c r="B3" i="174"/>
  <c r="B3" i="173"/>
  <c r="N12" i="177" l="1"/>
  <c r="N16"/>
  <c r="N14"/>
  <c r="I23"/>
  <c r="P18" i="178"/>
  <c r="Q10" i="177"/>
  <c r="P23"/>
  <c r="Q8" i="178"/>
  <c r="G18"/>
  <c r="Q14" i="177"/>
  <c r="N10"/>
  <c r="G23"/>
  <c r="Q12"/>
  <c r="Q8"/>
  <c r="Q16"/>
  <c r="N8"/>
  <c r="G28" i="179"/>
  <c r="N18" i="178" l="1"/>
  <c r="Q18"/>
  <c r="N23" i="177"/>
  <c r="Q23"/>
  <c r="C12" i="68"/>
  <c r="AK47" i="175"/>
  <c r="AF47"/>
  <c r="AE47"/>
  <c r="AD47"/>
  <c r="AC47"/>
  <c r="M47"/>
  <c r="L47"/>
  <c r="K47"/>
  <c r="J47"/>
  <c r="H47"/>
  <c r="AK27" i="174"/>
  <c r="AF27"/>
  <c r="AE27"/>
  <c r="AD27"/>
  <c r="AC27"/>
  <c r="M27"/>
  <c r="L27"/>
  <c r="K27"/>
  <c r="J27"/>
  <c r="H27"/>
  <c r="P8"/>
  <c r="G8"/>
  <c r="AK19" i="173"/>
  <c r="AF19"/>
  <c r="AE19"/>
  <c r="AD19"/>
  <c r="AC19"/>
  <c r="M19"/>
  <c r="L19"/>
  <c r="K19"/>
  <c r="J19"/>
  <c r="H19"/>
  <c r="P12"/>
  <c r="I12"/>
  <c r="G12"/>
  <c r="N12" s="1"/>
  <c r="P11"/>
  <c r="I11"/>
  <c r="G11"/>
  <c r="P10"/>
  <c r="I10"/>
  <c r="G10"/>
  <c r="P9"/>
  <c r="I9"/>
  <c r="G9"/>
  <c r="P8"/>
  <c r="G8"/>
  <c r="AK37" i="172"/>
  <c r="AF37"/>
  <c r="AE37"/>
  <c r="AD37"/>
  <c r="AC37"/>
  <c r="M37"/>
  <c r="L37"/>
  <c r="K37"/>
  <c r="J37"/>
  <c r="H37"/>
  <c r="P8"/>
  <c r="G8"/>
  <c r="AK21" i="171"/>
  <c r="AF21"/>
  <c r="AE21"/>
  <c r="AD21"/>
  <c r="AC21"/>
  <c r="M21"/>
  <c r="L21"/>
  <c r="K21"/>
  <c r="J21"/>
  <c r="H21"/>
  <c r="P9"/>
  <c r="I9"/>
  <c r="N9" s="1"/>
  <c r="P8"/>
  <c r="G8"/>
  <c r="N8" s="1"/>
  <c r="AK22" i="169"/>
  <c r="AF22"/>
  <c r="AE22"/>
  <c r="AD22"/>
  <c r="AC22"/>
  <c r="M22"/>
  <c r="L22"/>
  <c r="K22"/>
  <c r="J22"/>
  <c r="H22"/>
  <c r="P10"/>
  <c r="I10"/>
  <c r="G10"/>
  <c r="P9"/>
  <c r="I9"/>
  <c r="I22" s="1"/>
  <c r="G9"/>
  <c r="P8"/>
  <c r="G8"/>
  <c r="G8" i="168"/>
  <c r="N8" s="1"/>
  <c r="G9"/>
  <c r="G10"/>
  <c r="G11"/>
  <c r="AK21"/>
  <c r="AF21"/>
  <c r="AE21"/>
  <c r="AD21"/>
  <c r="AC21"/>
  <c r="M21"/>
  <c r="L21"/>
  <c r="K21"/>
  <c r="J21"/>
  <c r="H21"/>
  <c r="P11"/>
  <c r="I11"/>
  <c r="P10"/>
  <c r="I10"/>
  <c r="P9"/>
  <c r="I9"/>
  <c r="P8"/>
  <c r="AK15" i="167"/>
  <c r="AF15"/>
  <c r="AE15"/>
  <c r="AD15"/>
  <c r="AC15"/>
  <c r="M15"/>
  <c r="L15"/>
  <c r="K15"/>
  <c r="J15"/>
  <c r="H15"/>
  <c r="AK21" i="166"/>
  <c r="M21"/>
  <c r="L21"/>
  <c r="K21"/>
  <c r="J21"/>
  <c r="H21"/>
  <c r="P8"/>
  <c r="P21" s="1"/>
  <c r="G8"/>
  <c r="AK14" i="165"/>
  <c r="AF14"/>
  <c r="AE14"/>
  <c r="AD14"/>
  <c r="AC14"/>
  <c r="M14"/>
  <c r="L14"/>
  <c r="K14"/>
  <c r="J14"/>
  <c r="H14"/>
  <c r="P9"/>
  <c r="I9"/>
  <c r="G9"/>
  <c r="P8"/>
  <c r="G8"/>
  <c r="AK17" i="164"/>
  <c r="AF17"/>
  <c r="AE17"/>
  <c r="AD17"/>
  <c r="AC17"/>
  <c r="M17"/>
  <c r="L17"/>
  <c r="K17"/>
  <c r="J17"/>
  <c r="H17"/>
  <c r="P11"/>
  <c r="I11"/>
  <c r="G11"/>
  <c r="P10"/>
  <c r="I10"/>
  <c r="G10"/>
  <c r="P9"/>
  <c r="I9"/>
  <c r="G9"/>
  <c r="P8"/>
  <c r="G8"/>
  <c r="AK22" i="163"/>
  <c r="AF22"/>
  <c r="AE22"/>
  <c r="AD22"/>
  <c r="AC22"/>
  <c r="M22"/>
  <c r="L22"/>
  <c r="K22"/>
  <c r="J22"/>
  <c r="H22"/>
  <c r="P12"/>
  <c r="I12"/>
  <c r="G12"/>
  <c r="N12" s="1"/>
  <c r="P11"/>
  <c r="I11"/>
  <c r="G11"/>
  <c r="N11" s="1"/>
  <c r="P10"/>
  <c r="I10"/>
  <c r="G10"/>
  <c r="N10" s="1"/>
  <c r="P9"/>
  <c r="I9"/>
  <c r="G9"/>
  <c r="N9" s="1"/>
  <c r="P8"/>
  <c r="G8"/>
  <c r="N8" s="1"/>
  <c r="AK23" i="162"/>
  <c r="AF23"/>
  <c r="AE23"/>
  <c r="AD23"/>
  <c r="AC23"/>
  <c r="M23"/>
  <c r="L23"/>
  <c r="K23"/>
  <c r="J23"/>
  <c r="H23"/>
  <c r="P18"/>
  <c r="I18"/>
  <c r="G18"/>
  <c r="P17"/>
  <c r="I17"/>
  <c r="G17"/>
  <c r="P16"/>
  <c r="I16"/>
  <c r="G16"/>
  <c r="P15"/>
  <c r="I15"/>
  <c r="G15"/>
  <c r="P13"/>
  <c r="I13"/>
  <c r="G13"/>
  <c r="P11"/>
  <c r="I11"/>
  <c r="G11"/>
  <c r="P10"/>
  <c r="I10"/>
  <c r="G10"/>
  <c r="P9"/>
  <c r="I9"/>
  <c r="G9"/>
  <c r="P8"/>
  <c r="G8"/>
  <c r="N8" s="1"/>
  <c r="AK21" i="161"/>
  <c r="AF21"/>
  <c r="AE21"/>
  <c r="AD21"/>
  <c r="AC21"/>
  <c r="M21"/>
  <c r="L21"/>
  <c r="K21"/>
  <c r="J21"/>
  <c r="H21"/>
  <c r="P12"/>
  <c r="I12"/>
  <c r="G12"/>
  <c r="P11"/>
  <c r="I11"/>
  <c r="G11"/>
  <c r="P10"/>
  <c r="I10"/>
  <c r="G10"/>
  <c r="P9"/>
  <c r="I9"/>
  <c r="G9"/>
  <c r="P8"/>
  <c r="G8"/>
  <c r="AK52" i="160"/>
  <c r="AF52"/>
  <c r="AE52"/>
  <c r="AD52"/>
  <c r="AC52"/>
  <c r="M52"/>
  <c r="L52"/>
  <c r="K52"/>
  <c r="J52"/>
  <c r="H52"/>
  <c r="P8"/>
  <c r="G8"/>
  <c r="AK17" i="159"/>
  <c r="AF17"/>
  <c r="AE17"/>
  <c r="AD17"/>
  <c r="AC17"/>
  <c r="M17"/>
  <c r="L17"/>
  <c r="K17"/>
  <c r="J17"/>
  <c r="H17"/>
  <c r="P10"/>
  <c r="I10"/>
  <c r="G10"/>
  <c r="P9"/>
  <c r="I9"/>
  <c r="G9"/>
  <c r="P8"/>
  <c r="G8"/>
  <c r="N8" s="1"/>
  <c r="AK27" i="158"/>
  <c r="AE27"/>
  <c r="AD27"/>
  <c r="M27"/>
  <c r="L27"/>
  <c r="K27"/>
  <c r="AF27"/>
  <c r="P8"/>
  <c r="J27"/>
  <c r="G8"/>
  <c r="N10" i="168" l="1"/>
  <c r="N10" i="162"/>
  <c r="N11" i="168"/>
  <c r="N18" i="162"/>
  <c r="Q10" i="164"/>
  <c r="Q10" i="159"/>
  <c r="AL18" i="177"/>
  <c r="AL17"/>
  <c r="AL19"/>
  <c r="N10" i="161"/>
  <c r="P22" i="163"/>
  <c r="Q15" i="162"/>
  <c r="N10" i="173"/>
  <c r="I19"/>
  <c r="N12" i="161"/>
  <c r="Q8" i="169"/>
  <c r="P14" i="165"/>
  <c r="P21" i="171"/>
  <c r="Q10" i="163"/>
  <c r="P17" i="164"/>
  <c r="I21" i="171"/>
  <c r="Q11" i="173"/>
  <c r="G37" i="172"/>
  <c r="N9" i="169"/>
  <c r="P19" i="173"/>
  <c r="I47" i="175"/>
  <c r="P47"/>
  <c r="G47"/>
  <c r="P27" i="174"/>
  <c r="Q8"/>
  <c r="I27"/>
  <c r="N8"/>
  <c r="G27"/>
  <c r="G19" i="173"/>
  <c r="Q9"/>
  <c r="Q8"/>
  <c r="N9"/>
  <c r="Q10"/>
  <c r="N11"/>
  <c r="Q12"/>
  <c r="N8"/>
  <c r="I37" i="172"/>
  <c r="P37"/>
  <c r="Q8"/>
  <c r="N8"/>
  <c r="G21" i="171"/>
  <c r="Q8"/>
  <c r="Q9"/>
  <c r="P22" i="169"/>
  <c r="G22"/>
  <c r="Q9"/>
  <c r="N10"/>
  <c r="Q10"/>
  <c r="N8"/>
  <c r="P21" i="168"/>
  <c r="Q8"/>
  <c r="N9"/>
  <c r="I21"/>
  <c r="Q10"/>
  <c r="Q9"/>
  <c r="Q11"/>
  <c r="G21"/>
  <c r="P15" i="167"/>
  <c r="G15"/>
  <c r="I15"/>
  <c r="G21" i="166"/>
  <c r="I21"/>
  <c r="N8"/>
  <c r="Q8"/>
  <c r="I14" i="165"/>
  <c r="Q9"/>
  <c r="G14"/>
  <c r="Q8"/>
  <c r="N9"/>
  <c r="N8"/>
  <c r="G17" i="164"/>
  <c r="Q11"/>
  <c r="I17"/>
  <c r="Q9"/>
  <c r="N10"/>
  <c r="Q8"/>
  <c r="N9"/>
  <c r="N11"/>
  <c r="N8"/>
  <c r="G22" i="163"/>
  <c r="I22"/>
  <c r="Q12"/>
  <c r="Q9"/>
  <c r="Q11"/>
  <c r="Q8"/>
  <c r="Q13" i="162"/>
  <c r="Q18"/>
  <c r="G23"/>
  <c r="I23"/>
  <c r="Q16"/>
  <c r="Q17"/>
  <c r="Q9"/>
  <c r="N13"/>
  <c r="P23"/>
  <c r="Q10"/>
  <c r="Q11"/>
  <c r="N16"/>
  <c r="Q8"/>
  <c r="N9"/>
  <c r="N11"/>
  <c r="N15"/>
  <c r="N17"/>
  <c r="Q10" i="161"/>
  <c r="Q11"/>
  <c r="G21"/>
  <c r="N8"/>
  <c r="Q8"/>
  <c r="I21"/>
  <c r="Q9"/>
  <c r="P21"/>
  <c r="Q12"/>
  <c r="N9"/>
  <c r="N11"/>
  <c r="P52" i="160"/>
  <c r="G52"/>
  <c r="I52"/>
  <c r="Q8"/>
  <c r="N8"/>
  <c r="P17" i="159"/>
  <c r="Q8"/>
  <c r="I17"/>
  <c r="N10"/>
  <c r="G17"/>
  <c r="N9"/>
  <c r="Q9"/>
  <c r="Q8" i="158"/>
  <c r="P27"/>
  <c r="G27"/>
  <c r="N8"/>
  <c r="Q21" i="166" l="1"/>
  <c r="N21"/>
  <c r="N21" i="171"/>
  <c r="AL20" i="177"/>
  <c r="Q22" i="169"/>
  <c r="Q47" i="175"/>
  <c r="N47"/>
  <c r="Q27" i="174"/>
  <c r="N27"/>
  <c r="N19" i="173"/>
  <c r="Q19"/>
  <c r="N37" i="172"/>
  <c r="Q37"/>
  <c r="Q21" i="171"/>
  <c r="N22" i="169"/>
  <c r="N21" i="168"/>
  <c r="Q21"/>
  <c r="N15" i="167"/>
  <c r="Q15"/>
  <c r="N14" i="165"/>
  <c r="Q14"/>
  <c r="N17" i="164"/>
  <c r="Q17"/>
  <c r="Q22" i="163"/>
  <c r="N22"/>
  <c r="N23" i="162"/>
  <c r="Q23"/>
  <c r="N21" i="161"/>
  <c r="Q21"/>
  <c r="N52" i="160"/>
  <c r="Q52"/>
  <c r="Q17" i="159"/>
  <c r="N17"/>
  <c r="AC27" i="158"/>
  <c r="H27"/>
  <c r="Q27" l="1"/>
  <c r="I27"/>
  <c r="N27" l="1"/>
  <c r="D63" i="2" l="1"/>
  <c r="D62"/>
  <c r="D61"/>
  <c r="D60"/>
  <c r="D59"/>
  <c r="D58"/>
  <c r="D57"/>
  <c r="D56"/>
  <c r="D55"/>
  <c r="C63"/>
  <c r="C62"/>
  <c r="C61"/>
  <c r="C60"/>
  <c r="C59"/>
  <c r="C58"/>
  <c r="C57"/>
  <c r="C56"/>
  <c r="C55"/>
  <c r="B63"/>
  <c r="B62"/>
  <c r="B61"/>
  <c r="B60"/>
  <c r="B59"/>
  <c r="B58"/>
  <c r="B57"/>
  <c r="B56"/>
  <c r="B55"/>
  <c r="B54"/>
  <c r="C54"/>
  <c r="D54"/>
  <c r="T32" i="180" l="1"/>
  <c r="V32"/>
  <c r="R32"/>
  <c r="S32" s="1"/>
  <c r="U32" s="1"/>
  <c r="V30"/>
  <c r="R30"/>
  <c r="S30" s="1"/>
  <c r="T29"/>
  <c r="T8" i="167"/>
  <c r="V11"/>
  <c r="R11"/>
  <c r="S11" s="1"/>
  <c r="T13" i="164"/>
  <c r="R13"/>
  <c r="S13" s="1"/>
  <c r="T30" i="180"/>
  <c r="V29"/>
  <c r="R29"/>
  <c r="S29" s="1"/>
  <c r="U29" s="1"/>
  <c r="R9" i="167"/>
  <c r="S9" s="1"/>
  <c r="V8"/>
  <c r="R8"/>
  <c r="S8" s="1"/>
  <c r="U8" s="1"/>
  <c r="T11"/>
  <c r="V13" i="164"/>
  <c r="V10" i="167"/>
  <c r="R10"/>
  <c r="S10" s="1"/>
  <c r="T9"/>
  <c r="T27" i="160"/>
  <c r="V23" i="158"/>
  <c r="R23"/>
  <c r="S23" s="1"/>
  <c r="T52" i="180"/>
  <c r="T24" i="158"/>
  <c r="V22"/>
  <c r="R22"/>
  <c r="S22" s="1"/>
  <c r="T11" i="181"/>
  <c r="T12"/>
  <c r="V10"/>
  <c r="R10"/>
  <c r="S10" s="1"/>
  <c r="T8"/>
  <c r="V15" i="169"/>
  <c r="R15"/>
  <c r="S15" s="1"/>
  <c r="T13"/>
  <c r="V12"/>
  <c r="R12"/>
  <c r="S12" s="1"/>
  <c r="T9" i="180"/>
  <c r="T51"/>
  <c r="T17" i="161"/>
  <c r="V16"/>
  <c r="R16"/>
  <c r="S16" s="1"/>
  <c r="T35" i="160"/>
  <c r="T49" i="180"/>
  <c r="T55"/>
  <c r="V57"/>
  <c r="T59"/>
  <c r="V61"/>
  <c r="R61"/>
  <c r="S61" s="1"/>
  <c r="T63"/>
  <c r="V65"/>
  <c r="R65"/>
  <c r="S65" s="1"/>
  <c r="T56"/>
  <c r="V58"/>
  <c r="V60"/>
  <c r="R60"/>
  <c r="S60" s="1"/>
  <c r="T64"/>
  <c r="V66"/>
  <c r="V68"/>
  <c r="R68"/>
  <c r="S68" s="1"/>
  <c r="T53"/>
  <c r="R48"/>
  <c r="V21" i="158"/>
  <c r="R21"/>
  <c r="S21" s="1"/>
  <c r="T10" i="167"/>
  <c r="V9"/>
  <c r="V27" i="160"/>
  <c r="R27"/>
  <c r="S27" s="1"/>
  <c r="T23" i="158"/>
  <c r="R52" i="180"/>
  <c r="S52" s="1"/>
  <c r="U52" s="1"/>
  <c r="V52"/>
  <c r="V24" i="158"/>
  <c r="R24"/>
  <c r="S24" s="1"/>
  <c r="U24" s="1"/>
  <c r="T22"/>
  <c r="V11" i="181"/>
  <c r="R11"/>
  <c r="S11" s="1"/>
  <c r="U11" s="1"/>
  <c r="V12"/>
  <c r="R12"/>
  <c r="S12" s="1"/>
  <c r="T9"/>
  <c r="T10"/>
  <c r="R8"/>
  <c r="V8"/>
  <c r="T15" i="169"/>
  <c r="V13"/>
  <c r="R13"/>
  <c r="S13" s="1"/>
  <c r="U13" s="1"/>
  <c r="T12"/>
  <c r="V9" i="180"/>
  <c r="R9"/>
  <c r="S9" s="1"/>
  <c r="U9" s="1"/>
  <c r="R51"/>
  <c r="S51" s="1"/>
  <c r="U51" s="1"/>
  <c r="V51"/>
  <c r="V17" i="161"/>
  <c r="R17"/>
  <c r="S17" s="1"/>
  <c r="U17" s="1"/>
  <c r="T16"/>
  <c r="V35" i="160"/>
  <c r="R35"/>
  <c r="S35" s="1"/>
  <c r="U35" s="1"/>
  <c r="R49" i="180"/>
  <c r="S49" s="1"/>
  <c r="U49" s="1"/>
  <c r="V49"/>
  <c r="V55"/>
  <c r="R55"/>
  <c r="S55" s="1"/>
  <c r="U55" s="1"/>
  <c r="T61"/>
  <c r="T65"/>
  <c r="V54"/>
  <c r="V56"/>
  <c r="R56"/>
  <c r="S56" s="1"/>
  <c r="T60"/>
  <c r="V62"/>
  <c r="V64"/>
  <c r="R64"/>
  <c r="S64" s="1"/>
  <c r="T68"/>
  <c r="V67"/>
  <c r="T21" i="158"/>
  <c r="T8" i="180"/>
  <c r="V50"/>
  <c r="V10"/>
  <c r="V59"/>
  <c r="V8"/>
  <c r="V48"/>
  <c r="R53"/>
  <c r="S53" s="1"/>
  <c r="R62"/>
  <c r="S62" s="1"/>
  <c r="R54"/>
  <c r="S54" s="1"/>
  <c r="R59"/>
  <c r="S59" s="1"/>
  <c r="U59" s="1"/>
  <c r="W59" s="1"/>
  <c r="R8"/>
  <c r="T66"/>
  <c r="T58"/>
  <c r="T57"/>
  <c r="R10"/>
  <c r="S10" s="1"/>
  <c r="V9" i="181"/>
  <c r="V63" i="180"/>
  <c r="V53"/>
  <c r="R9" i="181"/>
  <c r="S9" s="1"/>
  <c r="R67" i="180"/>
  <c r="S67" s="1"/>
  <c r="R66"/>
  <c r="S66" s="1"/>
  <c r="R58"/>
  <c r="S58" s="1"/>
  <c r="R63"/>
  <c r="S63" s="1"/>
  <c r="U63" s="1"/>
  <c r="W63" s="1"/>
  <c r="R57"/>
  <c r="S57" s="1"/>
  <c r="T10"/>
  <c r="T50"/>
  <c r="T48"/>
  <c r="T67"/>
  <c r="T62"/>
  <c r="T54"/>
  <c r="R50"/>
  <c r="S50" s="1"/>
  <c r="T18" i="169"/>
  <c r="T16"/>
  <c r="T14"/>
  <c r="T20" i="158"/>
  <c r="T34" i="172"/>
  <c r="V12" i="164"/>
  <c r="R12"/>
  <c r="S12" s="1"/>
  <c r="T24" i="174"/>
  <c r="T23"/>
  <c r="T22"/>
  <c r="V20"/>
  <c r="R20"/>
  <c r="S20" s="1"/>
  <c r="T12"/>
  <c r="T17" i="158"/>
  <c r="V10" i="178"/>
  <c r="R10"/>
  <c r="S10" s="1"/>
  <c r="V12" i="162"/>
  <c r="R12"/>
  <c r="S12" s="1"/>
  <c r="V15" i="178"/>
  <c r="R15"/>
  <c r="S15" s="1"/>
  <c r="V14"/>
  <c r="R14"/>
  <c r="S14" s="1"/>
  <c r="T15" i="171"/>
  <c r="T31" i="172"/>
  <c r="T17" i="166"/>
  <c r="T15" i="161"/>
  <c r="T13"/>
  <c r="V18"/>
  <c r="R18"/>
  <c r="S18" s="1"/>
  <c r="R14" i="160"/>
  <c r="S14" s="1"/>
  <c r="V14"/>
  <c r="R42"/>
  <c r="S42" s="1"/>
  <c r="T17" i="168"/>
  <c r="V18"/>
  <c r="T16"/>
  <c r="V14"/>
  <c r="V18" i="169"/>
  <c r="R18"/>
  <c r="S18" s="1"/>
  <c r="V16"/>
  <c r="R16"/>
  <c r="S16" s="1"/>
  <c r="V14"/>
  <c r="R14"/>
  <c r="S14" s="1"/>
  <c r="R20" i="158"/>
  <c r="S20" s="1"/>
  <c r="V20"/>
  <c r="V14" i="173"/>
  <c r="R14"/>
  <c r="S14" s="1"/>
  <c r="V34" i="172"/>
  <c r="R34"/>
  <c r="S34" s="1"/>
  <c r="T12" i="164"/>
  <c r="R24" i="174"/>
  <c r="S24" s="1"/>
  <c r="U24" s="1"/>
  <c r="V24"/>
  <c r="V23"/>
  <c r="R23"/>
  <c r="S23" s="1"/>
  <c r="U23" s="1"/>
  <c r="V22"/>
  <c r="R22"/>
  <c r="S22" s="1"/>
  <c r="V21"/>
  <c r="R21"/>
  <c r="S21" s="1"/>
  <c r="T20"/>
  <c r="V12"/>
  <c r="R12"/>
  <c r="S12" s="1"/>
  <c r="V17" i="158"/>
  <c r="R17"/>
  <c r="S17" s="1"/>
  <c r="U17" s="1"/>
  <c r="T16"/>
  <c r="T11" i="159"/>
  <c r="T10" i="178"/>
  <c r="T9"/>
  <c r="T12" i="162"/>
  <c r="T15" i="178"/>
  <c r="T14"/>
  <c r="T13"/>
  <c r="V15" i="171"/>
  <c r="R15"/>
  <c r="S15" s="1"/>
  <c r="T33" i="172"/>
  <c r="R31"/>
  <c r="S31" s="1"/>
  <c r="U31" s="1"/>
  <c r="V31"/>
  <c r="V17" i="166"/>
  <c r="R17"/>
  <c r="S17" s="1"/>
  <c r="U17" s="1"/>
  <c r="T15"/>
  <c r="V15" i="161"/>
  <c r="R15"/>
  <c r="S15" s="1"/>
  <c r="U15" s="1"/>
  <c r="T14"/>
  <c r="V13"/>
  <c r="R13"/>
  <c r="S13" s="1"/>
  <c r="U13" s="1"/>
  <c r="T18"/>
  <c r="T14" i="160"/>
  <c r="T15" i="168"/>
  <c r="V17"/>
  <c r="V15"/>
  <c r="T18"/>
  <c r="V16"/>
  <c r="T14"/>
  <c r="V9" i="178"/>
  <c r="V13"/>
  <c r="R15" i="166"/>
  <c r="S15" s="1"/>
  <c r="V15"/>
  <c r="R41" i="160"/>
  <c r="S41" s="1"/>
  <c r="V19" i="158"/>
  <c r="R16" i="168"/>
  <c r="S16" s="1"/>
  <c r="T37" i="160"/>
  <c r="R36"/>
  <c r="S36" s="1"/>
  <c r="T42"/>
  <c r="R14" i="171"/>
  <c r="S14" s="1"/>
  <c r="R13" i="178"/>
  <c r="S13" s="1"/>
  <c r="R11" i="159"/>
  <c r="S11" s="1"/>
  <c r="U11" s="1"/>
  <c r="V18" i="158"/>
  <c r="T14" i="173"/>
  <c r="R15" i="168"/>
  <c r="S15" s="1"/>
  <c r="V14" i="171"/>
  <c r="T18" i="158"/>
  <c r="V33" i="172"/>
  <c r="R19" i="158"/>
  <c r="S19" s="1"/>
  <c r="T18" i="171"/>
  <c r="T16" i="160"/>
  <c r="T18"/>
  <c r="V18"/>
  <c r="T15"/>
  <c r="V17"/>
  <c r="T17"/>
  <c r="V42"/>
  <c r="T43"/>
  <c r="V43"/>
  <c r="T45"/>
  <c r="R44"/>
  <c r="S44" s="1"/>
  <c r="V44"/>
  <c r="T46"/>
  <c r="R48"/>
  <c r="S48" s="1"/>
  <c r="V48"/>
  <c r="V49"/>
  <c r="T47"/>
  <c r="V38"/>
  <c r="T38"/>
  <c r="V39"/>
  <c r="V37"/>
  <c r="V40"/>
  <c r="V11" i="159"/>
  <c r="V14" i="161"/>
  <c r="R38" i="160"/>
  <c r="S38" s="1"/>
  <c r="R37"/>
  <c r="S37" s="1"/>
  <c r="R43"/>
  <c r="S43" s="1"/>
  <c r="R18" i="171"/>
  <c r="S18" s="1"/>
  <c r="V16" i="158"/>
  <c r="R14" i="168"/>
  <c r="S14" s="1"/>
  <c r="R18"/>
  <c r="S18" s="1"/>
  <c r="R40" i="160"/>
  <c r="S40" s="1"/>
  <c r="R39"/>
  <c r="S39" s="1"/>
  <c r="R14" i="161"/>
  <c r="S14" s="1"/>
  <c r="R9" i="178"/>
  <c r="S9" s="1"/>
  <c r="T19" i="158"/>
  <c r="T21" i="174"/>
  <c r="V18" i="171"/>
  <c r="R16" i="158"/>
  <c r="S16" s="1"/>
  <c r="U16" s="1"/>
  <c r="W16" s="1"/>
  <c r="R33" i="172"/>
  <c r="S33" s="1"/>
  <c r="R18" i="158"/>
  <c r="S18" s="1"/>
  <c r="U18" s="1"/>
  <c r="W18" s="1"/>
  <c r="T14" i="171"/>
  <c r="R16" i="160"/>
  <c r="S16" s="1"/>
  <c r="U16" s="1"/>
  <c r="V16"/>
  <c r="R18"/>
  <c r="S18" s="1"/>
  <c r="R15"/>
  <c r="S15" s="1"/>
  <c r="U15" s="1"/>
  <c r="V15"/>
  <c r="R17"/>
  <c r="S17" s="1"/>
  <c r="U17" s="1"/>
  <c r="T40"/>
  <c r="T39"/>
  <c r="R45"/>
  <c r="S45" s="1"/>
  <c r="V45"/>
  <c r="T44"/>
  <c r="R46"/>
  <c r="S46" s="1"/>
  <c r="V46"/>
  <c r="T48"/>
  <c r="T49"/>
  <c r="R49"/>
  <c r="S49" s="1"/>
  <c r="R47"/>
  <c r="S47" s="1"/>
  <c r="U47" s="1"/>
  <c r="V47"/>
  <c r="T36"/>
  <c r="V36"/>
  <c r="V41"/>
  <c r="T41"/>
  <c r="U41" s="1"/>
  <c r="R17" i="168"/>
  <c r="S17" s="1"/>
  <c r="U17" s="1"/>
  <c r="W17" s="1"/>
  <c r="V13" i="166"/>
  <c r="R13"/>
  <c r="S13" s="1"/>
  <c r="T13"/>
  <c r="R10"/>
  <c r="S10" s="1"/>
  <c r="R18"/>
  <c r="S18" s="1"/>
  <c r="V18"/>
  <c r="V12"/>
  <c r="T12"/>
  <c r="T14"/>
  <c r="V11"/>
  <c r="R18" i="174"/>
  <c r="S18" s="1"/>
  <c r="T18"/>
  <c r="R19"/>
  <c r="S19" s="1"/>
  <c r="T19"/>
  <c r="R11"/>
  <c r="S11" s="1"/>
  <c r="T11"/>
  <c r="V19"/>
  <c r="V11"/>
  <c r="R12" i="166"/>
  <c r="S12" s="1"/>
  <c r="T10"/>
  <c r="V14"/>
  <c r="V10"/>
  <c r="T18"/>
  <c r="R11"/>
  <c r="S11" s="1"/>
  <c r="R14"/>
  <c r="S14" s="1"/>
  <c r="T11"/>
  <c r="V18" i="174"/>
  <c r="V13" i="163"/>
  <c r="R9" i="174"/>
  <c r="S9" s="1"/>
  <c r="T9"/>
  <c r="V16"/>
  <c r="R15"/>
  <c r="S15" s="1"/>
  <c r="T15"/>
  <c r="V14"/>
  <c r="T14"/>
  <c r="V13"/>
  <c r="T13"/>
  <c r="V17"/>
  <c r="R10"/>
  <c r="S10" s="1"/>
  <c r="T10"/>
  <c r="R13" i="163"/>
  <c r="S13" s="1"/>
  <c r="T16"/>
  <c r="T15"/>
  <c r="V14"/>
  <c r="R14"/>
  <c r="S14" s="1"/>
  <c r="V9" i="174"/>
  <c r="R16"/>
  <c r="S16" s="1"/>
  <c r="T16"/>
  <c r="V15"/>
  <c r="R14"/>
  <c r="S14" s="1"/>
  <c r="R13"/>
  <c r="S13" s="1"/>
  <c r="U13" s="1"/>
  <c r="R17"/>
  <c r="S17" s="1"/>
  <c r="T17"/>
  <c r="V10"/>
  <c r="V16" i="163"/>
  <c r="R16"/>
  <c r="S16" s="1"/>
  <c r="U16" s="1"/>
  <c r="R15"/>
  <c r="S15" s="1"/>
  <c r="U15" s="1"/>
  <c r="V15"/>
  <c r="T13"/>
  <c r="T14"/>
  <c r="R17"/>
  <c r="S17" s="1"/>
  <c r="V17"/>
  <c r="T17"/>
  <c r="V34" i="160"/>
  <c r="T34"/>
  <c r="T12"/>
  <c r="V9"/>
  <c r="T10"/>
  <c r="R30"/>
  <c r="S30" s="1"/>
  <c r="V30"/>
  <c r="R21"/>
  <c r="S21" s="1"/>
  <c r="R34"/>
  <c r="S34" s="1"/>
  <c r="R12"/>
  <c r="S12" s="1"/>
  <c r="V12"/>
  <c r="R9"/>
  <c r="S9" s="1"/>
  <c r="T9"/>
  <c r="R10"/>
  <c r="S10" s="1"/>
  <c r="V10"/>
  <c r="T30"/>
  <c r="V21"/>
  <c r="T21"/>
  <c r="R24"/>
  <c r="S24" s="1"/>
  <c r="R19"/>
  <c r="S19" s="1"/>
  <c r="V19"/>
  <c r="R13"/>
  <c r="S13" s="1"/>
  <c r="V13"/>
  <c r="R29"/>
  <c r="S29" s="1"/>
  <c r="R28"/>
  <c r="S28" s="1"/>
  <c r="V28"/>
  <c r="V31"/>
  <c r="T31"/>
  <c r="T23"/>
  <c r="R22"/>
  <c r="S22" s="1"/>
  <c r="V32"/>
  <c r="T32"/>
  <c r="V20"/>
  <c r="T20"/>
  <c r="V11"/>
  <c r="V24"/>
  <c r="T24"/>
  <c r="T19"/>
  <c r="T13"/>
  <c r="V29"/>
  <c r="T29"/>
  <c r="T28"/>
  <c r="R31"/>
  <c r="S31" s="1"/>
  <c r="R23"/>
  <c r="S23" s="1"/>
  <c r="V23"/>
  <c r="V22"/>
  <c r="T22"/>
  <c r="R32"/>
  <c r="S32" s="1"/>
  <c r="U32" s="1"/>
  <c r="R20"/>
  <c r="S20" s="1"/>
  <c r="R11"/>
  <c r="S11" s="1"/>
  <c r="T11"/>
  <c r="V14" i="158"/>
  <c r="T14"/>
  <c r="R14"/>
  <c r="S14" s="1"/>
  <c r="T17" i="172"/>
  <c r="V9"/>
  <c r="T25"/>
  <c r="T16"/>
  <c r="R9"/>
  <c r="S9" s="1"/>
  <c r="V13" i="158"/>
  <c r="V19" i="172"/>
  <c r="R20"/>
  <c r="S20" s="1"/>
  <c r="V18"/>
  <c r="T12"/>
  <c r="R12"/>
  <c r="S12" s="1"/>
  <c r="V10"/>
  <c r="R22"/>
  <c r="S22" s="1"/>
  <c r="R29"/>
  <c r="S29" s="1"/>
  <c r="T29"/>
  <c r="T14"/>
  <c r="V16"/>
  <c r="V17"/>
  <c r="R17"/>
  <c r="S17" s="1"/>
  <c r="V25"/>
  <c r="R25"/>
  <c r="S25" s="1"/>
  <c r="R16"/>
  <c r="S16" s="1"/>
  <c r="T9"/>
  <c r="T19"/>
  <c r="R19"/>
  <c r="S19" s="1"/>
  <c r="T20"/>
  <c r="V20"/>
  <c r="T18"/>
  <c r="V12"/>
  <c r="V27"/>
  <c r="T27"/>
  <c r="T10"/>
  <c r="T26"/>
  <c r="T22"/>
  <c r="T11"/>
  <c r="R13"/>
  <c r="S13" s="1"/>
  <c r="T28"/>
  <c r="V28"/>
  <c r="R30"/>
  <c r="S30" s="1"/>
  <c r="R18"/>
  <c r="S18" s="1"/>
  <c r="U18" s="1"/>
  <c r="R14"/>
  <c r="S14" s="1"/>
  <c r="V24"/>
  <c r="R32"/>
  <c r="S32" s="1"/>
  <c r="R11"/>
  <c r="S11" s="1"/>
  <c r="R26"/>
  <c r="S26" s="1"/>
  <c r="U26" s="1"/>
  <c r="T30"/>
  <c r="T13"/>
  <c r="V26"/>
  <c r="V11" i="158"/>
  <c r="R10" i="172"/>
  <c r="S10" s="1"/>
  <c r="V14"/>
  <c r="T24"/>
  <c r="R27"/>
  <c r="S27" s="1"/>
  <c r="U27" s="1"/>
  <c r="T9" i="158"/>
  <c r="T13"/>
  <c r="V10"/>
  <c r="T12"/>
  <c r="R11"/>
  <c r="S11" s="1"/>
  <c r="R21" i="172"/>
  <c r="S21" s="1"/>
  <c r="R15"/>
  <c r="S15" s="1"/>
  <c r="V15"/>
  <c r="R23"/>
  <c r="S23" s="1"/>
  <c r="T23"/>
  <c r="V12" i="158"/>
  <c r="T32" i="172"/>
  <c r="V13"/>
  <c r="V30"/>
  <c r="R28"/>
  <c r="S28" s="1"/>
  <c r="V11"/>
  <c r="V32"/>
  <c r="R24"/>
  <c r="S24" s="1"/>
  <c r="V29"/>
  <c r="V22"/>
  <c r="R10" i="158"/>
  <c r="S10" s="1"/>
  <c r="T10"/>
  <c r="R9"/>
  <c r="S9" s="1"/>
  <c r="R13"/>
  <c r="S13" s="1"/>
  <c r="R12"/>
  <c r="S12" s="1"/>
  <c r="T11"/>
  <c r="V9"/>
  <c r="V21" i="172"/>
  <c r="T15"/>
  <c r="T21"/>
  <c r="V23"/>
  <c r="R12" i="168"/>
  <c r="S12" s="1"/>
  <c r="T12"/>
  <c r="T10" i="171"/>
  <c r="R13" i="168"/>
  <c r="S13" s="1"/>
  <c r="V12"/>
  <c r="V10" i="171"/>
  <c r="R10"/>
  <c r="S10" s="1"/>
  <c r="V13" i="168"/>
  <c r="T13"/>
  <c r="R13" i="173"/>
  <c r="S13" s="1"/>
  <c r="V13"/>
  <c r="T13"/>
  <c r="T12" i="177"/>
  <c r="V10"/>
  <c r="T10"/>
  <c r="R8" i="178"/>
  <c r="T8"/>
  <c r="R12" i="177"/>
  <c r="S12" s="1"/>
  <c r="T8"/>
  <c r="V8"/>
  <c r="V16"/>
  <c r="R16"/>
  <c r="S16" s="1"/>
  <c r="V8" i="178"/>
  <c r="V14" i="177"/>
  <c r="R10"/>
  <c r="S10" s="1"/>
  <c r="R14"/>
  <c r="S14" s="1"/>
  <c r="T14"/>
  <c r="V12"/>
  <c r="R8"/>
  <c r="T16"/>
  <c r="V10" i="164"/>
  <c r="T10" i="163"/>
  <c r="V17" i="162"/>
  <c r="T10"/>
  <c r="R13"/>
  <c r="S13" s="1"/>
  <c r="T10" i="159"/>
  <c r="V10"/>
  <c r="T8" i="171"/>
  <c r="R10" i="164"/>
  <c r="S10" s="1"/>
  <c r="R17" i="162"/>
  <c r="S17" s="1"/>
  <c r="V10"/>
  <c r="V15"/>
  <c r="V8" i="159"/>
  <c r="V8" i="169"/>
  <c r="R8"/>
  <c r="R15" i="162"/>
  <c r="S15" s="1"/>
  <c r="R10" i="159"/>
  <c r="S10" s="1"/>
  <c r="V9" i="173"/>
  <c r="T17" i="162"/>
  <c r="T15"/>
  <c r="V9" i="171"/>
  <c r="V10" i="163"/>
  <c r="T8" i="169"/>
  <c r="T8" i="168"/>
  <c r="R16" i="162"/>
  <c r="S16" s="1"/>
  <c r="V13"/>
  <c r="R8" i="171"/>
  <c r="S8" s="1"/>
  <c r="T13" i="162"/>
  <c r="R9" i="169"/>
  <c r="S9" s="1"/>
  <c r="T10" i="164"/>
  <c r="R8" i="174"/>
  <c r="R8" i="168"/>
  <c r="R9" i="164"/>
  <c r="S9" s="1"/>
  <c r="R10" i="163"/>
  <c r="S10" s="1"/>
  <c r="R9" i="171"/>
  <c r="S9" s="1"/>
  <c r="V11" i="164"/>
  <c r="V16" i="162"/>
  <c r="T18"/>
  <c r="R9"/>
  <c r="S9" s="1"/>
  <c r="T12" i="173"/>
  <c r="T8" i="172"/>
  <c r="R11" i="168"/>
  <c r="S11" s="1"/>
  <c r="R8" i="165"/>
  <c r="V9" i="164"/>
  <c r="V11" i="163"/>
  <c r="V18" i="162"/>
  <c r="R8"/>
  <c r="V12" i="161"/>
  <c r="V9"/>
  <c r="T10" i="168"/>
  <c r="T8" i="174"/>
  <c r="T9" i="171"/>
  <c r="T9" i="164"/>
  <c r="V12" i="173"/>
  <c r="V8" i="172"/>
  <c r="T10" i="169"/>
  <c r="R18" i="162"/>
  <c r="S18" s="1"/>
  <c r="R10" i="161"/>
  <c r="S10" s="1"/>
  <c r="R8" i="159"/>
  <c r="V8" i="168"/>
  <c r="T11" i="161"/>
  <c r="R12" i="173"/>
  <c r="S12" s="1"/>
  <c r="R8" i="172"/>
  <c r="V10" i="169"/>
  <c r="V10" i="168"/>
  <c r="R10"/>
  <c r="S10" s="1"/>
  <c r="T11"/>
  <c r="T8" i="166"/>
  <c r="R11" i="173"/>
  <c r="S11" s="1"/>
  <c r="V9" i="165"/>
  <c r="T9" i="169"/>
  <c r="R9" i="173"/>
  <c r="S9" s="1"/>
  <c r="T16" i="162"/>
  <c r="R10" i="173"/>
  <c r="S10" s="1"/>
  <c r="V8" i="171"/>
  <c r="R9" i="168"/>
  <c r="S9" s="1"/>
  <c r="V8" i="166"/>
  <c r="V8" i="165"/>
  <c r="T8" i="161"/>
  <c r="R8" i="160"/>
  <c r="R12" i="163"/>
  <c r="S12" s="1"/>
  <c r="T8"/>
  <c r="R8" i="161"/>
  <c r="T8" i="160"/>
  <c r="R9" i="165"/>
  <c r="S9" s="1"/>
  <c r="R9" i="161"/>
  <c r="S9" s="1"/>
  <c r="T12" i="163"/>
  <c r="V10" i="161"/>
  <c r="T8" i="173"/>
  <c r="T9" i="168"/>
  <c r="T8" i="165"/>
  <c r="T11" i="163"/>
  <c r="V8" i="161"/>
  <c r="V8" i="160"/>
  <c r="V9" i="159"/>
  <c r="T11" i="162"/>
  <c r="V8" i="164"/>
  <c r="R11" i="161"/>
  <c r="S11" s="1"/>
  <c r="V8" i="173"/>
  <c r="T9"/>
  <c r="V10"/>
  <c r="R8"/>
  <c r="V11" i="168"/>
  <c r="T9" i="163"/>
  <c r="V11" i="161"/>
  <c r="R9" i="159"/>
  <c r="S9" s="1"/>
  <c r="V8" i="174"/>
  <c r="V9" i="163"/>
  <c r="V11" i="173"/>
  <c r="R11" i="162"/>
  <c r="S11" s="1"/>
  <c r="T10" i="161"/>
  <c r="R11" i="164"/>
  <c r="S11" s="1"/>
  <c r="T10" i="173"/>
  <c r="R8" i="164"/>
  <c r="R9" i="163"/>
  <c r="S9" s="1"/>
  <c r="R10" i="162"/>
  <c r="S10" s="1"/>
  <c r="U10" s="1"/>
  <c r="T9" i="161"/>
  <c r="T9" i="159"/>
  <c r="T11" i="173"/>
  <c r="V11" i="162"/>
  <c r="V9" i="169"/>
  <c r="R8" i="166"/>
  <c r="T11" i="164"/>
  <c r="T8"/>
  <c r="T9" i="162"/>
  <c r="T8"/>
  <c r="T8" i="159"/>
  <c r="V9" i="168"/>
  <c r="R12" i="161"/>
  <c r="S12" s="1"/>
  <c r="R10" i="169"/>
  <c r="S10" s="1"/>
  <c r="V8" i="163"/>
  <c r="V8" i="162"/>
  <c r="T9" i="165"/>
  <c r="R8" i="163"/>
  <c r="V12"/>
  <c r="V9" i="162"/>
  <c r="R11" i="163"/>
  <c r="S11" s="1"/>
  <c r="T12" i="161"/>
  <c r="V8" i="158"/>
  <c r="T8"/>
  <c r="R8"/>
  <c r="V18" i="178" l="1"/>
  <c r="U24" i="172"/>
  <c r="W24" s="1"/>
  <c r="U31" i="160"/>
  <c r="U36"/>
  <c r="U45"/>
  <c r="U18"/>
  <c r="W18" s="1"/>
  <c r="U9" i="178"/>
  <c r="U43" i="160"/>
  <c r="W43" s="1"/>
  <c r="U13" i="178"/>
  <c r="U22" i="174"/>
  <c r="U20" i="158"/>
  <c r="W55" i="180"/>
  <c r="W35" i="160"/>
  <c r="W13" i="169"/>
  <c r="W24" i="158"/>
  <c r="W8" i="167"/>
  <c r="U13" i="164"/>
  <c r="W32" i="180"/>
  <c r="U46" i="160"/>
  <c r="W17"/>
  <c r="U33" i="172"/>
  <c r="W33" s="1"/>
  <c r="U14" i="161"/>
  <c r="W14" s="1"/>
  <c r="U15" i="171"/>
  <c r="U50" i="180"/>
  <c r="W50" s="1"/>
  <c r="T72"/>
  <c r="U9" i="181"/>
  <c r="W9" s="1"/>
  <c r="U53" i="180"/>
  <c r="V34"/>
  <c r="U64"/>
  <c r="U56"/>
  <c r="U12" i="181"/>
  <c r="U27" i="160"/>
  <c r="W51" i="180"/>
  <c r="U30"/>
  <c r="W30" s="1"/>
  <c r="S8" i="181"/>
  <c r="R21"/>
  <c r="U67" i="180"/>
  <c r="W67" s="1"/>
  <c r="U57"/>
  <c r="W57" s="1"/>
  <c r="U66"/>
  <c r="W66" s="1"/>
  <c r="U62"/>
  <c r="W62" s="1"/>
  <c r="V72"/>
  <c r="U61"/>
  <c r="W61" s="1"/>
  <c r="U12" i="169"/>
  <c r="W12" s="1"/>
  <c r="U10" i="181"/>
  <c r="W10" s="1"/>
  <c r="U22" i="158"/>
  <c r="W22" s="1"/>
  <c r="U23"/>
  <c r="W23" s="1"/>
  <c r="U10" i="167"/>
  <c r="W10" s="1"/>
  <c r="W13" i="164"/>
  <c r="U11" i="167"/>
  <c r="W11" s="1"/>
  <c r="S8" i="180"/>
  <c r="R34"/>
  <c r="S48"/>
  <c r="R72"/>
  <c r="U10"/>
  <c r="W10" s="1"/>
  <c r="U58"/>
  <c r="W58" s="1"/>
  <c r="U54"/>
  <c r="W54" s="1"/>
  <c r="W53"/>
  <c r="T34"/>
  <c r="W64"/>
  <c r="W56"/>
  <c r="W49"/>
  <c r="W17" i="161"/>
  <c r="W9" i="180"/>
  <c r="V21" i="181"/>
  <c r="W12"/>
  <c r="W11"/>
  <c r="W52" i="180"/>
  <c r="W27" i="160"/>
  <c r="U21" i="158"/>
  <c r="W21" s="1"/>
  <c r="U68" i="180"/>
  <c r="W68" s="1"/>
  <c r="U60"/>
  <c r="W60" s="1"/>
  <c r="U65"/>
  <c r="W65" s="1"/>
  <c r="U16" i="161"/>
  <c r="W16" s="1"/>
  <c r="U15" i="169"/>
  <c r="W15" s="1"/>
  <c r="T21" i="181"/>
  <c r="U9" i="167"/>
  <c r="W9" s="1"/>
  <c r="W29" i="180"/>
  <c r="U12" i="177"/>
  <c r="W12" s="1"/>
  <c r="U23" i="160"/>
  <c r="U10"/>
  <c r="W10" s="1"/>
  <c r="U12" i="166"/>
  <c r="W41" i="160"/>
  <c r="U49"/>
  <c r="W49" s="1"/>
  <c r="W46"/>
  <c r="U39"/>
  <c r="U37"/>
  <c r="W37" s="1"/>
  <c r="W17" i="158"/>
  <c r="U12" i="174"/>
  <c r="W12" s="1"/>
  <c r="W24"/>
  <c r="U34" i="172"/>
  <c r="W34" s="1"/>
  <c r="U14" i="169"/>
  <c r="W9" i="178"/>
  <c r="U38" i="160"/>
  <c r="W38" s="1"/>
  <c r="W13" i="161"/>
  <c r="W20" i="158"/>
  <c r="U28" i="172"/>
  <c r="W15" i="171"/>
  <c r="W17" i="166"/>
  <c r="U16" i="169"/>
  <c r="W16" s="1"/>
  <c r="U18"/>
  <c r="W18" s="1"/>
  <c r="W13" i="178"/>
  <c r="W15" i="160"/>
  <c r="U10" i="171"/>
  <c r="W10" s="1"/>
  <c r="W36" i="160"/>
  <c r="W47"/>
  <c r="W45"/>
  <c r="U40"/>
  <c r="W40" s="1"/>
  <c r="W16"/>
  <c r="W39"/>
  <c r="U48"/>
  <c r="W48" s="1"/>
  <c r="U18" i="171"/>
  <c r="W18" s="1"/>
  <c r="W11" i="159"/>
  <c r="U14" i="171"/>
  <c r="W14" s="1"/>
  <c r="U15" i="168"/>
  <c r="W15" s="1"/>
  <c r="W15" i="161"/>
  <c r="U15" i="166"/>
  <c r="W15" s="1"/>
  <c r="W31" i="172"/>
  <c r="U21" i="174"/>
  <c r="W21" s="1"/>
  <c r="W22"/>
  <c r="W23"/>
  <c r="U14" i="173"/>
  <c r="W14" s="1"/>
  <c r="W14" i="169"/>
  <c r="U42" i="160"/>
  <c r="W42" s="1"/>
  <c r="U14"/>
  <c r="W14" s="1"/>
  <c r="U12" i="164"/>
  <c r="W12" s="1"/>
  <c r="U44" i="160"/>
  <c r="W44" s="1"/>
  <c r="U19" i="158"/>
  <c r="W19" s="1"/>
  <c r="U14" i="168"/>
  <c r="W14" s="1"/>
  <c r="U18"/>
  <c r="W18" s="1"/>
  <c r="U16"/>
  <c r="W16" s="1"/>
  <c r="U18" i="161"/>
  <c r="W18" s="1"/>
  <c r="U14" i="178"/>
  <c r="W14" s="1"/>
  <c r="U15"/>
  <c r="W15" s="1"/>
  <c r="U12" i="162"/>
  <c r="W12" s="1"/>
  <c r="U10" i="178"/>
  <c r="W10" s="1"/>
  <c r="U20" i="174"/>
  <c r="W20" s="1"/>
  <c r="U12" i="158"/>
  <c r="W12" s="1"/>
  <c r="U9"/>
  <c r="W9" s="1"/>
  <c r="U10"/>
  <c r="W10" s="1"/>
  <c r="W28" i="172"/>
  <c r="U23"/>
  <c r="W27"/>
  <c r="U32"/>
  <c r="U14"/>
  <c r="U19"/>
  <c r="W19" s="1"/>
  <c r="U25"/>
  <c r="W25" s="1"/>
  <c r="U17"/>
  <c r="W17" s="1"/>
  <c r="U14" i="158"/>
  <c r="W14" s="1"/>
  <c r="W15" i="163"/>
  <c r="W13" i="174"/>
  <c r="U16"/>
  <c r="W16" s="1"/>
  <c r="U14" i="163"/>
  <c r="W14" s="1"/>
  <c r="U10" i="174"/>
  <c r="W10" s="1"/>
  <c r="U9"/>
  <c r="W9" s="1"/>
  <c r="U14" i="166"/>
  <c r="W14" s="1"/>
  <c r="W12"/>
  <c r="U11" i="174"/>
  <c r="W11" s="1"/>
  <c r="U19"/>
  <c r="W19" s="1"/>
  <c r="U18"/>
  <c r="U14" i="177"/>
  <c r="W14" s="1"/>
  <c r="W26" i="172"/>
  <c r="U30"/>
  <c r="U12"/>
  <c r="W23"/>
  <c r="U15"/>
  <c r="W15" s="1"/>
  <c r="W30"/>
  <c r="U22"/>
  <c r="W22" s="1"/>
  <c r="U10" i="166"/>
  <c r="W10" s="1"/>
  <c r="U13"/>
  <c r="W13" s="1"/>
  <c r="U11" i="160"/>
  <c r="W11" s="1"/>
  <c r="W32"/>
  <c r="W23"/>
  <c r="U24"/>
  <c r="W24" s="1"/>
  <c r="U9"/>
  <c r="W9" s="1"/>
  <c r="U12"/>
  <c r="W12" s="1"/>
  <c r="U21"/>
  <c r="W21" s="1"/>
  <c r="U30"/>
  <c r="W30" s="1"/>
  <c r="U12" i="168"/>
  <c r="W12" s="1"/>
  <c r="U16" i="177"/>
  <c r="W16" s="1"/>
  <c r="V23"/>
  <c r="T18" i="178"/>
  <c r="U13" i="168"/>
  <c r="W13" s="1"/>
  <c r="U11" i="158"/>
  <c r="W11" s="1"/>
  <c r="W32" i="172"/>
  <c r="W14"/>
  <c r="W12"/>
  <c r="U28" i="160"/>
  <c r="W28" s="1"/>
  <c r="U17" i="163"/>
  <c r="W17" s="1"/>
  <c r="U13"/>
  <c r="W13" s="1"/>
  <c r="W18" i="174"/>
  <c r="S8" i="177"/>
  <c r="R23"/>
  <c r="U10"/>
  <c r="W10" s="1"/>
  <c r="T23"/>
  <c r="R18" i="178"/>
  <c r="S8"/>
  <c r="U13" i="173"/>
  <c r="W13" s="1"/>
  <c r="U13" i="158"/>
  <c r="W13" s="1"/>
  <c r="U21" i="172"/>
  <c r="W21" s="1"/>
  <c r="U11"/>
  <c r="W11" s="1"/>
  <c r="W18"/>
  <c r="U13"/>
  <c r="W13" s="1"/>
  <c r="U10"/>
  <c r="W10" s="1"/>
  <c r="U16"/>
  <c r="W16" s="1"/>
  <c r="U29"/>
  <c r="W29" s="1"/>
  <c r="U20"/>
  <c r="W20" s="1"/>
  <c r="U9"/>
  <c r="W9" s="1"/>
  <c r="U20" i="160"/>
  <c r="W20" s="1"/>
  <c r="W31"/>
  <c r="U22"/>
  <c r="W22" s="1"/>
  <c r="U29"/>
  <c r="W29" s="1"/>
  <c r="U13"/>
  <c r="W13" s="1"/>
  <c r="U19"/>
  <c r="W19" s="1"/>
  <c r="U34"/>
  <c r="W34" s="1"/>
  <c r="W16" i="163"/>
  <c r="U17" i="174"/>
  <c r="W17" s="1"/>
  <c r="U14"/>
  <c r="W14" s="1"/>
  <c r="U15"/>
  <c r="W15" s="1"/>
  <c r="U11" i="166"/>
  <c r="W11" s="1"/>
  <c r="U18"/>
  <c r="W18" s="1"/>
  <c r="V21"/>
  <c r="R21"/>
  <c r="T21"/>
  <c r="V21" i="171"/>
  <c r="U10" i="169"/>
  <c r="W10" s="1"/>
  <c r="U11" i="168"/>
  <c r="W11" s="1"/>
  <c r="U12" i="163"/>
  <c r="W12" s="1"/>
  <c r="U11"/>
  <c r="W11" s="1"/>
  <c r="U12" i="161"/>
  <c r="U12" i="173"/>
  <c r="W12" s="1"/>
  <c r="U9" i="163"/>
  <c r="W9" s="1"/>
  <c r="W10" i="162"/>
  <c r="U18"/>
  <c r="W18" s="1"/>
  <c r="U9" i="161"/>
  <c r="W9" s="1"/>
  <c r="U10" i="159"/>
  <c r="W10" s="1"/>
  <c r="V47" i="175"/>
  <c r="T52" i="160"/>
  <c r="U9" i="171"/>
  <c r="W9" s="1"/>
  <c r="U8"/>
  <c r="S8" i="165"/>
  <c r="R14"/>
  <c r="T14"/>
  <c r="R21" i="161"/>
  <c r="S8"/>
  <c r="U9" i="173"/>
  <c r="W9" s="1"/>
  <c r="V21" i="168"/>
  <c r="V37" i="172"/>
  <c r="T22" i="169"/>
  <c r="V22" i="163"/>
  <c r="W12" i="161"/>
  <c r="R17" i="164"/>
  <c r="S8"/>
  <c r="U11" i="162"/>
  <c r="W11" s="1"/>
  <c r="U9" i="159"/>
  <c r="W9" s="1"/>
  <c r="V19" i="173"/>
  <c r="V17" i="164"/>
  <c r="R52" i="160"/>
  <c r="S8"/>
  <c r="T21" i="171"/>
  <c r="R23" i="162"/>
  <c r="S8"/>
  <c r="U9" i="169"/>
  <c r="W9" s="1"/>
  <c r="V22"/>
  <c r="U17" i="162"/>
  <c r="W17" s="1"/>
  <c r="T37" i="172"/>
  <c r="V27" i="174"/>
  <c r="R47" i="175"/>
  <c r="V15" i="167"/>
  <c r="T27" i="174"/>
  <c r="V23" i="162"/>
  <c r="U11" i="161"/>
  <c r="W11" s="1"/>
  <c r="S8" i="163"/>
  <c r="R22"/>
  <c r="T17" i="164"/>
  <c r="S8" i="173"/>
  <c r="R19"/>
  <c r="U11"/>
  <c r="W11" s="1"/>
  <c r="V52" i="160"/>
  <c r="S8" i="174"/>
  <c r="R27"/>
  <c r="U16" i="162"/>
  <c r="W16" s="1"/>
  <c r="S8" i="166"/>
  <c r="S21" s="1"/>
  <c r="T23" i="162"/>
  <c r="S8" i="169"/>
  <c r="R22"/>
  <c r="U9" i="162"/>
  <c r="W9" s="1"/>
  <c r="U9" i="168"/>
  <c r="W9" s="1"/>
  <c r="V21" i="161"/>
  <c r="T19" i="173"/>
  <c r="U10"/>
  <c r="W10" s="1"/>
  <c r="U10" i="168"/>
  <c r="W10" s="1"/>
  <c r="S8" i="172"/>
  <c r="R37"/>
  <c r="S8" i="159"/>
  <c r="R17"/>
  <c r="T47" i="175"/>
  <c r="U10" i="163"/>
  <c r="W10" s="1"/>
  <c r="S8" i="168"/>
  <c r="R21"/>
  <c r="T21"/>
  <c r="U15" i="162"/>
  <c r="W15" s="1"/>
  <c r="V17" i="159"/>
  <c r="U13" i="162"/>
  <c r="W13" s="1"/>
  <c r="T17" i="159"/>
  <c r="U11" i="164"/>
  <c r="W11" s="1"/>
  <c r="R15" i="167"/>
  <c r="U9" i="165"/>
  <c r="W9" s="1"/>
  <c r="T22" i="163"/>
  <c r="V14" i="165"/>
  <c r="U10" i="161"/>
  <c r="W10" s="1"/>
  <c r="T15" i="167"/>
  <c r="R21" i="171"/>
  <c r="U9" i="164"/>
  <c r="W9" s="1"/>
  <c r="U10"/>
  <c r="W10" s="1"/>
  <c r="V27" i="158"/>
  <c r="S8"/>
  <c r="R27"/>
  <c r="T27"/>
  <c r="S72" i="180" l="1"/>
  <c r="U48"/>
  <c r="U8"/>
  <c r="S34"/>
  <c r="U8" i="181"/>
  <c r="S21"/>
  <c r="U8" i="178"/>
  <c r="S18"/>
  <c r="U8" i="177"/>
  <c r="S23"/>
  <c r="U8" i="169"/>
  <c r="S22"/>
  <c r="S21" i="161"/>
  <c r="U8"/>
  <c r="U8" i="164"/>
  <c r="S17"/>
  <c r="S14" i="165"/>
  <c r="U8"/>
  <c r="U8" i="173"/>
  <c r="S19"/>
  <c r="S27" i="174"/>
  <c r="U8"/>
  <c r="U8" i="162"/>
  <c r="S23"/>
  <c r="U8" i="160"/>
  <c r="S52"/>
  <c r="S21" i="171"/>
  <c r="U8" i="159"/>
  <c r="S17"/>
  <c r="U8" i="166"/>
  <c r="U21" s="1"/>
  <c r="W8" i="171"/>
  <c r="U21"/>
  <c r="S15" i="167"/>
  <c r="U8" i="168"/>
  <c r="S21"/>
  <c r="S37" i="172"/>
  <c r="U8"/>
  <c r="S47" i="175"/>
  <c r="U8" i="163"/>
  <c r="S22"/>
  <c r="U8" i="158"/>
  <c r="S27"/>
  <c r="W8" i="181" l="1"/>
  <c r="U21"/>
  <c r="W8" i="180"/>
  <c r="U34"/>
  <c r="U72"/>
  <c r="W48"/>
  <c r="U23" i="177"/>
  <c r="W8"/>
  <c r="U18" i="178"/>
  <c r="W8"/>
  <c r="W8" i="165"/>
  <c r="U14"/>
  <c r="U47" i="175"/>
  <c r="U27" i="174"/>
  <c r="W8"/>
  <c r="U15" i="167"/>
  <c r="W21" i="171"/>
  <c r="W8" i="166"/>
  <c r="W21" s="1"/>
  <c r="W8" i="160"/>
  <c r="U52"/>
  <c r="U22" i="169"/>
  <c r="W8"/>
  <c r="W8" i="172"/>
  <c r="U37"/>
  <c r="W8" i="164"/>
  <c r="U17"/>
  <c r="W8" i="162"/>
  <c r="U23"/>
  <c r="U19" i="173"/>
  <c r="W8"/>
  <c r="W8" i="159"/>
  <c r="U17"/>
  <c r="U21" i="168"/>
  <c r="W8"/>
  <c r="W8" i="161"/>
  <c r="W8" i="163"/>
  <c r="U22"/>
  <c r="W8" i="158"/>
  <c r="U27"/>
  <c r="W34" i="180" l="1"/>
  <c r="W21" i="181"/>
  <c r="W72" i="180"/>
  <c r="W18" i="178"/>
  <c r="W23" i="177"/>
  <c r="W47" i="175"/>
  <c r="W17" i="159"/>
  <c r="W17" i="164"/>
  <c r="W19" i="173"/>
  <c r="W22" i="163"/>
  <c r="W37" i="172"/>
  <c r="W14" i="165"/>
  <c r="W22" i="169"/>
  <c r="W15" i="167"/>
  <c r="W23" i="162"/>
  <c r="W21" i="168"/>
  <c r="W27" i="174"/>
  <c r="W52" i="160"/>
  <c r="W27" i="158"/>
  <c r="C15" i="68" l="1"/>
  <c r="C26" s="1"/>
  <c r="D53" i="2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X32" i="180" l="1"/>
  <c r="Y32" s="1"/>
  <c r="X29"/>
  <c r="Y29" s="1"/>
  <c r="X8" i="167"/>
  <c r="Y8" s="1"/>
  <c r="X30" i="180"/>
  <c r="Y30" s="1"/>
  <c r="X10" i="167"/>
  <c r="Y10" s="1"/>
  <c r="X11"/>
  <c r="Y11" s="1"/>
  <c r="X13" i="164"/>
  <c r="Y13" s="1"/>
  <c r="X27" i="160"/>
  <c r="Y27" s="1"/>
  <c r="X52" i="180"/>
  <c r="Y52" s="1"/>
  <c r="X11" i="181"/>
  <c r="Y11" s="1"/>
  <c r="X12"/>
  <c r="Y12" s="1"/>
  <c r="X13" i="169"/>
  <c r="Y13" s="1"/>
  <c r="X9" i="180"/>
  <c r="Y9" s="1"/>
  <c r="X17" i="161"/>
  <c r="Y17" s="1"/>
  <c r="X35" i="160"/>
  <c r="Y35" s="1"/>
  <c r="X55" i="180"/>
  <c r="Y55" s="1"/>
  <c r="X56"/>
  <c r="Y56" s="1"/>
  <c r="X64"/>
  <c r="Y64" s="1"/>
  <c r="X8"/>
  <c r="Y8" s="1"/>
  <c r="X8" i="181"/>
  <c r="X9" i="167"/>
  <c r="Y9" s="1"/>
  <c r="X23" i="158"/>
  <c r="Y23" s="1"/>
  <c r="X22"/>
  <c r="Y22" s="1"/>
  <c r="X9" i="181"/>
  <c r="Y9" s="1"/>
  <c r="X10"/>
  <c r="Y10" s="1"/>
  <c r="X15" i="169"/>
  <c r="Y15" s="1"/>
  <c r="X12"/>
  <c r="Y12" s="1"/>
  <c r="X16" i="161"/>
  <c r="Y16" s="1"/>
  <c r="X59" i="180"/>
  <c r="Y59" s="1"/>
  <c r="X61"/>
  <c r="Y61" s="1"/>
  <c r="X63"/>
  <c r="Y63" s="1"/>
  <c r="X65"/>
  <c r="Y65" s="1"/>
  <c r="X60"/>
  <c r="Y60" s="1"/>
  <c r="X68"/>
  <c r="Y68" s="1"/>
  <c r="X53"/>
  <c r="Y53" s="1"/>
  <c r="X21" i="158"/>
  <c r="Y21" s="1"/>
  <c r="X67" i="180"/>
  <c r="Y67" s="1"/>
  <c r="X62"/>
  <c r="Y62" s="1"/>
  <c r="X48"/>
  <c r="Y48" s="1"/>
  <c r="X49"/>
  <c r="Y49" s="1"/>
  <c r="X50"/>
  <c r="X54"/>
  <c r="Y54" s="1"/>
  <c r="X66"/>
  <c r="Y66" s="1"/>
  <c r="X58"/>
  <c r="Y58" s="1"/>
  <c r="X57"/>
  <c r="Y57" s="1"/>
  <c r="X24" i="158"/>
  <c r="Y24" s="1"/>
  <c r="X51" i="180"/>
  <c r="Y51" s="1"/>
  <c r="X10"/>
  <c r="X31" i="172"/>
  <c r="Y31" s="1"/>
  <c r="X18" i="169"/>
  <c r="Y18" s="1"/>
  <c r="X16"/>
  <c r="Y16" s="1"/>
  <c r="X14"/>
  <c r="Y14" s="1"/>
  <c r="X34" i="172"/>
  <c r="Y34" s="1"/>
  <c r="X23" i="174"/>
  <c r="Y23" s="1"/>
  <c r="X22"/>
  <c r="Y22" s="1"/>
  <c r="X12"/>
  <c r="Y12" s="1"/>
  <c r="X18" i="158"/>
  <c r="Y18" s="1"/>
  <c r="X17"/>
  <c r="Y17" s="1"/>
  <c r="X15" i="171"/>
  <c r="Y15" s="1"/>
  <c r="X17" i="166"/>
  <c r="Y17" s="1"/>
  <c r="X15" i="161"/>
  <c r="Y15" s="1"/>
  <c r="X13"/>
  <c r="Y13" s="1"/>
  <c r="X16" i="168"/>
  <c r="Y16" s="1"/>
  <c r="X20" i="158"/>
  <c r="Y20" s="1"/>
  <c r="X12" i="164"/>
  <c r="Y12" s="1"/>
  <c r="X20" i="174"/>
  <c r="Y20" s="1"/>
  <c r="X19" i="158"/>
  <c r="Y19" s="1"/>
  <c r="X11" i="159"/>
  <c r="Y11" s="1"/>
  <c r="X10" i="178"/>
  <c r="Y10" s="1"/>
  <c r="X9"/>
  <c r="Y9" s="1"/>
  <c r="X12" i="162"/>
  <c r="Y12" s="1"/>
  <c r="X15" i="178"/>
  <c r="Y15" s="1"/>
  <c r="X14"/>
  <c r="Y14" s="1"/>
  <c r="X13"/>
  <c r="Y13" s="1"/>
  <c r="X14" i="161"/>
  <c r="Y14" s="1"/>
  <c r="X18"/>
  <c r="Y18" s="1"/>
  <c r="X14" i="160"/>
  <c r="Y14" s="1"/>
  <c r="X37"/>
  <c r="Y37" s="1"/>
  <c r="X15" i="168"/>
  <c r="Y15" s="1"/>
  <c r="X18"/>
  <c r="Y18" s="1"/>
  <c r="X14"/>
  <c r="Y14" s="1"/>
  <c r="X14" i="173"/>
  <c r="Y14" s="1"/>
  <c r="X14" i="171"/>
  <c r="Y14" s="1"/>
  <c r="X33" i="172"/>
  <c r="Y33" s="1"/>
  <c r="X16" i="158"/>
  <c r="Y16" s="1"/>
  <c r="X16" i="160"/>
  <c r="Y16" s="1"/>
  <c r="X15"/>
  <c r="Y15" s="1"/>
  <c r="X42"/>
  <c r="Y42" s="1"/>
  <c r="X45"/>
  <c r="Y45" s="1"/>
  <c r="X46"/>
  <c r="Y46" s="1"/>
  <c r="X49"/>
  <c r="Y49" s="1"/>
  <c r="X47"/>
  <c r="Y47" s="1"/>
  <c r="X36"/>
  <c r="Y36" s="1"/>
  <c r="X39"/>
  <c r="Y39" s="1"/>
  <c r="X17" i="168"/>
  <c r="Y17" s="1"/>
  <c r="X21" i="174"/>
  <c r="Y21" s="1"/>
  <c r="X15" i="166"/>
  <c r="Y15" s="1"/>
  <c r="X24" i="174"/>
  <c r="Y24" s="1"/>
  <c r="X18" i="171"/>
  <c r="Y18" s="1"/>
  <c r="X18" i="160"/>
  <c r="Y18" s="1"/>
  <c r="X17"/>
  <c r="Y17" s="1"/>
  <c r="X43"/>
  <c r="Y43" s="1"/>
  <c r="X44"/>
  <c r="Y44" s="1"/>
  <c r="X48"/>
  <c r="Y48" s="1"/>
  <c r="X38"/>
  <c r="Y38" s="1"/>
  <c r="X41"/>
  <c r="Y41" s="1"/>
  <c r="X40"/>
  <c r="Y40" s="1"/>
  <c r="T21" i="161"/>
  <c r="X13" i="166"/>
  <c r="Y13" s="1"/>
  <c r="X11"/>
  <c r="Y11" s="1"/>
  <c r="X10"/>
  <c r="Y10" s="1"/>
  <c r="X14"/>
  <c r="Y14" s="1"/>
  <c r="X18"/>
  <c r="Y18" s="1"/>
  <c r="X12"/>
  <c r="Y12" s="1"/>
  <c r="X18" i="174"/>
  <c r="Y18" s="1"/>
  <c r="X16"/>
  <c r="Y16" s="1"/>
  <c r="X17"/>
  <c r="Y17" s="1"/>
  <c r="X16" i="163"/>
  <c r="Y16" s="1"/>
  <c r="X11" i="174"/>
  <c r="Y11" s="1"/>
  <c r="X19"/>
  <c r="Y19" s="1"/>
  <c r="X9"/>
  <c r="Y9" s="1"/>
  <c r="X15"/>
  <c r="Y15" s="1"/>
  <c r="X14"/>
  <c r="Y14" s="1"/>
  <c r="X13"/>
  <c r="Y13" s="1"/>
  <c r="X10"/>
  <c r="Y10" s="1"/>
  <c r="X13" i="163"/>
  <c r="Y13" s="1"/>
  <c r="X15"/>
  <c r="Y15" s="1"/>
  <c r="X14"/>
  <c r="Y14" s="1"/>
  <c r="X17"/>
  <c r="Y17" s="1"/>
  <c r="X34" i="160"/>
  <c r="Y34" s="1"/>
  <c r="X30"/>
  <c r="Y30" s="1"/>
  <c r="X21"/>
  <c r="Y21" s="1"/>
  <c r="X12"/>
  <c r="Y12" s="1"/>
  <c r="X10"/>
  <c r="Y10" s="1"/>
  <c r="X24"/>
  <c r="Y24" s="1"/>
  <c r="X13"/>
  <c r="Y13" s="1"/>
  <c r="X31"/>
  <c r="Y31" s="1"/>
  <c r="X23"/>
  <c r="Y23" s="1"/>
  <c r="X32"/>
  <c r="Y32" s="1"/>
  <c r="X11"/>
  <c r="Y11" s="1"/>
  <c r="X9"/>
  <c r="Y9" s="1"/>
  <c r="X19"/>
  <c r="Y19" s="1"/>
  <c r="X29"/>
  <c r="Y29" s="1"/>
  <c r="X28"/>
  <c r="Y28" s="1"/>
  <c r="X22"/>
  <c r="Y22" s="1"/>
  <c r="X20"/>
  <c r="Y20" s="1"/>
  <c r="X14" i="158"/>
  <c r="Y14" s="1"/>
  <c r="X19" i="172"/>
  <c r="Y19" s="1"/>
  <c r="X20"/>
  <c r="Y20" s="1"/>
  <c r="X18"/>
  <c r="Y18" s="1"/>
  <c r="X14"/>
  <c r="Y14" s="1"/>
  <c r="X9"/>
  <c r="Y9" s="1"/>
  <c r="X17"/>
  <c r="Y17" s="1"/>
  <c r="X16"/>
  <c r="Y16" s="1"/>
  <c r="X13" i="158"/>
  <c r="Y13" s="1"/>
  <c r="X12"/>
  <c r="Y12" s="1"/>
  <c r="X10" i="172"/>
  <c r="Y10" s="1"/>
  <c r="X26"/>
  <c r="Y26" s="1"/>
  <c r="X22"/>
  <c r="Y22" s="1"/>
  <c r="X25"/>
  <c r="Y25" s="1"/>
  <c r="X32"/>
  <c r="Y32" s="1"/>
  <c r="X13"/>
  <c r="Y13" s="1"/>
  <c r="X30"/>
  <c r="Y30" s="1"/>
  <c r="X29"/>
  <c r="Y29" s="1"/>
  <c r="X10" i="158"/>
  <c r="Y10" s="1"/>
  <c r="X9"/>
  <c r="Y9" s="1"/>
  <c r="X21" i="172"/>
  <c r="Y21" s="1"/>
  <c r="X23"/>
  <c r="Y23" s="1"/>
  <c r="X11"/>
  <c r="Y11" s="1"/>
  <c r="X28"/>
  <c r="Y28" s="1"/>
  <c r="X12"/>
  <c r="Y12" s="1"/>
  <c r="X24"/>
  <c r="Y24" s="1"/>
  <c r="X27"/>
  <c r="Y27" s="1"/>
  <c r="X11" i="158"/>
  <c r="Y11" s="1"/>
  <c r="X15" i="172"/>
  <c r="Y15" s="1"/>
  <c r="X12" i="168"/>
  <c r="Y12" s="1"/>
  <c r="AA12" s="1"/>
  <c r="X10" i="171"/>
  <c r="Y10" s="1"/>
  <c r="X13" i="168"/>
  <c r="Y13" s="1"/>
  <c r="AA13" s="1"/>
  <c r="X13" i="173"/>
  <c r="Y13" s="1"/>
  <c r="X10" i="177"/>
  <c r="Y10" s="1"/>
  <c r="X14"/>
  <c r="Y14" s="1"/>
  <c r="X12"/>
  <c r="Y12" s="1"/>
  <c r="X8" i="178"/>
  <c r="X8" i="177"/>
  <c r="X16"/>
  <c r="Y16" s="1"/>
  <c r="X11" i="162"/>
  <c r="Y11" s="1"/>
  <c r="X8" i="169"/>
  <c r="X15" i="162"/>
  <c r="Y15" s="1"/>
  <c r="X10" i="164"/>
  <c r="Y10" s="1"/>
  <c r="X17" i="162"/>
  <c r="Y17" s="1"/>
  <c r="X8" i="168"/>
  <c r="X12" i="163"/>
  <c r="Y12" s="1"/>
  <c r="AB12" s="1"/>
  <c r="AG12" s="1"/>
  <c r="X16" i="162"/>
  <c r="Y16" s="1"/>
  <c r="X13"/>
  <c r="Y13" s="1"/>
  <c r="X10" i="159"/>
  <c r="Y10" s="1"/>
  <c r="X11" i="164"/>
  <c r="Y11" s="1"/>
  <c r="X10" i="163"/>
  <c r="Y10" s="1"/>
  <c r="AB10" s="1"/>
  <c r="AG10" s="1"/>
  <c r="X8" i="164"/>
  <c r="X10" i="161"/>
  <c r="Y10" s="1"/>
  <c r="X11" i="168"/>
  <c r="Y11" s="1"/>
  <c r="X9" i="165"/>
  <c r="Y9" s="1"/>
  <c r="X9" i="171"/>
  <c r="Y9" s="1"/>
  <c r="AA9" s="1"/>
  <c r="X10" i="162"/>
  <c r="Y10" s="1"/>
  <c r="X9" i="173"/>
  <c r="Y9" s="1"/>
  <c r="AA9" s="1"/>
  <c r="X10" i="169"/>
  <c r="Y10" s="1"/>
  <c r="X9" i="163"/>
  <c r="Y9" s="1"/>
  <c r="AB9" s="1"/>
  <c r="AG9" s="1"/>
  <c r="X8"/>
  <c r="X11" i="161"/>
  <c r="Y11" s="1"/>
  <c r="X8" i="173"/>
  <c r="X9" i="168"/>
  <c r="Y9" s="1"/>
  <c r="AA9" s="1"/>
  <c r="X8" i="165"/>
  <c r="X11" i="163"/>
  <c r="Y11" s="1"/>
  <c r="AB11" s="1"/>
  <c r="AG11" s="1"/>
  <c r="X10" i="173"/>
  <c r="Y10" s="1"/>
  <c r="AA10" s="1"/>
  <c r="X8" i="172"/>
  <c r="X9" i="162"/>
  <c r="Y9" s="1"/>
  <c r="X11" i="173"/>
  <c r="Y11" s="1"/>
  <c r="AA11" s="1"/>
  <c r="X9" i="159"/>
  <c r="Y9" s="1"/>
  <c r="X10" i="168"/>
  <c r="Y10" s="1"/>
  <c r="X18" i="162"/>
  <c r="Y18" s="1"/>
  <c r="X8"/>
  <c r="X8" i="159"/>
  <c r="X12" i="173"/>
  <c r="Y12" s="1"/>
  <c r="AA12" s="1"/>
  <c r="X12" i="161"/>
  <c r="Y12" s="1"/>
  <c r="X9"/>
  <c r="Y9" s="1"/>
  <c r="X8" i="171"/>
  <c r="Y8" s="1"/>
  <c r="AA8" s="1"/>
  <c r="X9" i="164"/>
  <c r="Y9" s="1"/>
  <c r="X8" i="160"/>
  <c r="X8" i="174"/>
  <c r="X8" i="161"/>
  <c r="X9" i="169"/>
  <c r="Y9" s="1"/>
  <c r="X8" i="166"/>
  <c r="X8" i="158"/>
  <c r="C16" i="68"/>
  <c r="C18" s="1"/>
  <c r="C19"/>
  <c r="C22"/>
  <c r="AB51" i="180" l="1"/>
  <c r="AG51" s="1"/>
  <c r="AA51"/>
  <c r="AA57"/>
  <c r="AB57"/>
  <c r="AG57" s="1"/>
  <c r="AA66"/>
  <c r="AB66"/>
  <c r="AG66" s="1"/>
  <c r="X72"/>
  <c r="Y50"/>
  <c r="Y72" s="1"/>
  <c r="AA48"/>
  <c r="AB48"/>
  <c r="AB67"/>
  <c r="AG67" s="1"/>
  <c r="AA67"/>
  <c r="AB53"/>
  <c r="AG53" s="1"/>
  <c r="AA53"/>
  <c r="AA60"/>
  <c r="AB60"/>
  <c r="AG60" s="1"/>
  <c r="AB63"/>
  <c r="AG63" s="1"/>
  <c r="AA63"/>
  <c r="AB59"/>
  <c r="AG59" s="1"/>
  <c r="AA59"/>
  <c r="AA12" i="169"/>
  <c r="AB12"/>
  <c r="AG12" s="1"/>
  <c r="AB10" i="181"/>
  <c r="AG10" s="1"/>
  <c r="AA10"/>
  <c r="AB22" i="158"/>
  <c r="AG22" s="1"/>
  <c r="AA22"/>
  <c r="AA9" i="167"/>
  <c r="AB9"/>
  <c r="AG9" s="1"/>
  <c r="AA8" i="180"/>
  <c r="AB8"/>
  <c r="AA56"/>
  <c r="AB56"/>
  <c r="AG56" s="1"/>
  <c r="AA35" i="160"/>
  <c r="AB35"/>
  <c r="AG35" s="1"/>
  <c r="AA9" i="180"/>
  <c r="AB9"/>
  <c r="AG9" s="1"/>
  <c r="AA12" i="181"/>
  <c r="AB12"/>
  <c r="AG12" s="1"/>
  <c r="AA52" i="180"/>
  <c r="AB52"/>
  <c r="AG52" s="1"/>
  <c r="AA13" i="164"/>
  <c r="AB13"/>
  <c r="AG13" s="1"/>
  <c r="AB10" i="167"/>
  <c r="AG10" s="1"/>
  <c r="AA10"/>
  <c r="AA8"/>
  <c r="AB8"/>
  <c r="AG8" s="1"/>
  <c r="AA32" i="180"/>
  <c r="AB32"/>
  <c r="AG32" s="1"/>
  <c r="X34"/>
  <c r="Y10"/>
  <c r="AA24" i="158"/>
  <c r="AB24"/>
  <c r="AG24" s="1"/>
  <c r="AA58" i="180"/>
  <c r="AB58"/>
  <c r="AG58" s="1"/>
  <c r="AA54"/>
  <c r="AB54"/>
  <c r="AG54" s="1"/>
  <c r="AB49"/>
  <c r="AG49" s="1"/>
  <c r="AA49"/>
  <c r="AA62"/>
  <c r="AB62"/>
  <c r="AG62" s="1"/>
  <c r="AB21" i="158"/>
  <c r="AG21" s="1"/>
  <c r="AA21"/>
  <c r="AB68" i="180"/>
  <c r="AG68" s="1"/>
  <c r="AA68"/>
  <c r="AB65"/>
  <c r="AG65" s="1"/>
  <c r="AA65"/>
  <c r="AB61"/>
  <c r="AG61" s="1"/>
  <c r="AA61"/>
  <c r="AB16" i="161"/>
  <c r="AG16" s="1"/>
  <c r="AA16"/>
  <c r="AA15" i="169"/>
  <c r="AB15"/>
  <c r="AG15" s="1"/>
  <c r="AA9" i="181"/>
  <c r="AB9"/>
  <c r="AG9" s="1"/>
  <c r="AB23" i="158"/>
  <c r="AG23" s="1"/>
  <c r="AA23"/>
  <c r="X21" i="181"/>
  <c r="Y8"/>
  <c r="AA64" i="180"/>
  <c r="AB64"/>
  <c r="AG64" s="1"/>
  <c r="AA55"/>
  <c r="AB55"/>
  <c r="AG55" s="1"/>
  <c r="AA17" i="161"/>
  <c r="AB17"/>
  <c r="AG17" s="1"/>
  <c r="AA13" i="169"/>
  <c r="AB13"/>
  <c r="AG13" s="1"/>
  <c r="AA11" i="181"/>
  <c r="AB11"/>
  <c r="AG11" s="1"/>
  <c r="AA27" i="160"/>
  <c r="AB27"/>
  <c r="AG27" s="1"/>
  <c r="AB11" i="167"/>
  <c r="AG11" s="1"/>
  <c r="AA11"/>
  <c r="AA30" i="180"/>
  <c r="AB30"/>
  <c r="AG30" s="1"/>
  <c r="AA29"/>
  <c r="AB29"/>
  <c r="AG29" s="1"/>
  <c r="AB40" i="160"/>
  <c r="AG40" s="1"/>
  <c r="AA40"/>
  <c r="AA38"/>
  <c r="AB38"/>
  <c r="AG38" s="1"/>
  <c r="AA44"/>
  <c r="AB44"/>
  <c r="AG44" s="1"/>
  <c r="AB17"/>
  <c r="AG17" s="1"/>
  <c r="AA17"/>
  <c r="AB18" i="171"/>
  <c r="AG18" s="1"/>
  <c r="AA18"/>
  <c r="AA15" i="166"/>
  <c r="AB15"/>
  <c r="AG15" s="1"/>
  <c r="AB39" i="160"/>
  <c r="AG39" s="1"/>
  <c r="AA39"/>
  <c r="AB47"/>
  <c r="AG47" s="1"/>
  <c r="AA47"/>
  <c r="AA46"/>
  <c r="AB46"/>
  <c r="AG46" s="1"/>
  <c r="AA42"/>
  <c r="AB42"/>
  <c r="AG42" s="1"/>
  <c r="AB16"/>
  <c r="AG16" s="1"/>
  <c r="AA16"/>
  <c r="AA14" i="171"/>
  <c r="AB14"/>
  <c r="AG14" s="1"/>
  <c r="AB18" i="168"/>
  <c r="AG18" s="1"/>
  <c r="AA18"/>
  <c r="AB14" i="160"/>
  <c r="AG14" s="1"/>
  <c r="AA14"/>
  <c r="AB14" i="161"/>
  <c r="AG14" s="1"/>
  <c r="AA14"/>
  <c r="AA14" i="178"/>
  <c r="AB14"/>
  <c r="AG14" s="1"/>
  <c r="AB12" i="162"/>
  <c r="AG12" s="1"/>
  <c r="AA12"/>
  <c r="AB10" i="178"/>
  <c r="AG10" s="1"/>
  <c r="AA10"/>
  <c r="AB19" i="158"/>
  <c r="AG19" s="1"/>
  <c r="AA19"/>
  <c r="AB12" i="164"/>
  <c r="AG12" s="1"/>
  <c r="AA12"/>
  <c r="AL12" s="1"/>
  <c r="AA20" i="158"/>
  <c r="AB20"/>
  <c r="AG20" s="1"/>
  <c r="AA13" i="161"/>
  <c r="AB13"/>
  <c r="AG13" s="1"/>
  <c r="AA17" i="158"/>
  <c r="AB17"/>
  <c r="AG17" s="1"/>
  <c r="AA12" i="174"/>
  <c r="AB12"/>
  <c r="AG12" s="1"/>
  <c r="AB23"/>
  <c r="AG23" s="1"/>
  <c r="AA23"/>
  <c r="AA14" i="169"/>
  <c r="AB14"/>
  <c r="AG14" s="1"/>
  <c r="AB31" i="172"/>
  <c r="AG31" s="1"/>
  <c r="AA31"/>
  <c r="U21" i="161"/>
  <c r="AB41" i="160"/>
  <c r="AG41" s="1"/>
  <c r="AA41"/>
  <c r="AA48"/>
  <c r="AB48"/>
  <c r="AG48" s="1"/>
  <c r="AB43"/>
  <c r="AG43" s="1"/>
  <c r="AA43"/>
  <c r="AA18"/>
  <c r="AB18"/>
  <c r="AG18" s="1"/>
  <c r="AA24" i="174"/>
  <c r="AB24"/>
  <c r="AG24" s="1"/>
  <c r="AA21"/>
  <c r="AB21"/>
  <c r="AG21" s="1"/>
  <c r="AB17" i="168"/>
  <c r="AG17" s="1"/>
  <c r="AA17"/>
  <c r="AB36" i="160"/>
  <c r="AG36" s="1"/>
  <c r="AA36"/>
  <c r="AB49"/>
  <c r="AG49" s="1"/>
  <c r="AA49"/>
  <c r="AB45"/>
  <c r="AG45" s="1"/>
  <c r="AA45"/>
  <c r="AA15"/>
  <c r="AB15"/>
  <c r="AG15" s="1"/>
  <c r="AA16" i="158"/>
  <c r="AB16"/>
  <c r="AG16" s="1"/>
  <c r="AB33" i="172"/>
  <c r="AG33" s="1"/>
  <c r="AA33"/>
  <c r="AB14" i="173"/>
  <c r="AG14" s="1"/>
  <c r="AA14"/>
  <c r="AB14" i="168"/>
  <c r="AG14" s="1"/>
  <c r="AA14"/>
  <c r="AA15"/>
  <c r="AB15"/>
  <c r="AG15" s="1"/>
  <c r="AA37" i="160"/>
  <c r="AB37"/>
  <c r="AG37" s="1"/>
  <c r="AA18" i="161"/>
  <c r="AB18"/>
  <c r="AG18" s="1"/>
  <c r="AA13" i="178"/>
  <c r="AB13"/>
  <c r="AG13" s="1"/>
  <c r="AA15"/>
  <c r="AB15"/>
  <c r="AG15" s="1"/>
  <c r="AB9"/>
  <c r="AG9" s="1"/>
  <c r="AA9"/>
  <c r="AA11" i="159"/>
  <c r="AB11"/>
  <c r="AG11" s="1"/>
  <c r="AA20" i="174"/>
  <c r="AB20"/>
  <c r="AG20" s="1"/>
  <c r="AB16" i="168"/>
  <c r="AG16" s="1"/>
  <c r="AA16"/>
  <c r="AA15" i="161"/>
  <c r="AB15"/>
  <c r="AG15" s="1"/>
  <c r="AB17" i="166"/>
  <c r="AG17" s="1"/>
  <c r="AA17"/>
  <c r="AA15" i="171"/>
  <c r="AB15"/>
  <c r="AG15" s="1"/>
  <c r="AA18" i="158"/>
  <c r="AB18"/>
  <c r="AG18" s="1"/>
  <c r="AB22" i="174"/>
  <c r="AG22" s="1"/>
  <c r="AA22"/>
  <c r="AA34" i="172"/>
  <c r="AB34"/>
  <c r="AG34" s="1"/>
  <c r="AA16" i="169"/>
  <c r="AB16"/>
  <c r="AG16" s="1"/>
  <c r="AA18"/>
  <c r="AB18"/>
  <c r="AG18" s="1"/>
  <c r="AA16" i="177"/>
  <c r="AB16"/>
  <c r="AG16" s="1"/>
  <c r="X18" i="178"/>
  <c r="Y8"/>
  <c r="AA14" i="177"/>
  <c r="AB14"/>
  <c r="AB10"/>
  <c r="AA10"/>
  <c r="AL11" i="171"/>
  <c r="AB12" i="168"/>
  <c r="AG12" s="1"/>
  <c r="AA11" i="158"/>
  <c r="AB11"/>
  <c r="AG11" s="1"/>
  <c r="AB24" i="172"/>
  <c r="AA24"/>
  <c r="AB28"/>
  <c r="AA28"/>
  <c r="AA23"/>
  <c r="AB23"/>
  <c r="AB9" i="158"/>
  <c r="AG9" s="1"/>
  <c r="AA9"/>
  <c r="AA29" i="172"/>
  <c r="AB29"/>
  <c r="AB13"/>
  <c r="AA13"/>
  <c r="AA25"/>
  <c r="AB25"/>
  <c r="AB26"/>
  <c r="AA26"/>
  <c r="AA12" i="158"/>
  <c r="AB12"/>
  <c r="AG12" s="1"/>
  <c r="AB17" i="172"/>
  <c r="AA17"/>
  <c r="AB14"/>
  <c r="AA14"/>
  <c r="AB20"/>
  <c r="AA20"/>
  <c r="AA14" i="158"/>
  <c r="AB14"/>
  <c r="AG14" s="1"/>
  <c r="AA28" i="160"/>
  <c r="AB28"/>
  <c r="AA19"/>
  <c r="AB19"/>
  <c r="AG19" s="1"/>
  <c r="AB9"/>
  <c r="AG9" s="1"/>
  <c r="AA9"/>
  <c r="AB11"/>
  <c r="AG11" s="1"/>
  <c r="AA11"/>
  <c r="AA23"/>
  <c r="AB23"/>
  <c r="AG23" s="1"/>
  <c r="AA13"/>
  <c r="AB13"/>
  <c r="AG13" s="1"/>
  <c r="AA10"/>
  <c r="AB10"/>
  <c r="AG10" s="1"/>
  <c r="AA21"/>
  <c r="AB21"/>
  <c r="AG21" s="1"/>
  <c r="AB30"/>
  <c r="AG30" s="1"/>
  <c r="AA30"/>
  <c r="AB17" i="163"/>
  <c r="AA17"/>
  <c r="AB15"/>
  <c r="AA15"/>
  <c r="AB10" i="174"/>
  <c r="AG10" s="1"/>
  <c r="AA10"/>
  <c r="AA14"/>
  <c r="AB14"/>
  <c r="AG14" s="1"/>
  <c r="AB9"/>
  <c r="AG9" s="1"/>
  <c r="AA9"/>
  <c r="AB11"/>
  <c r="AG11" s="1"/>
  <c r="AA11"/>
  <c r="AA17"/>
  <c r="AB17"/>
  <c r="AG17" s="1"/>
  <c r="AB18"/>
  <c r="AG18" s="1"/>
  <c r="AA18"/>
  <c r="AB12" i="166"/>
  <c r="AG12" s="1"/>
  <c r="AA12"/>
  <c r="AA14"/>
  <c r="AB14"/>
  <c r="AG14" s="1"/>
  <c r="AA11"/>
  <c r="AB11"/>
  <c r="AG11" s="1"/>
  <c r="X23" i="177"/>
  <c r="Y8"/>
  <c r="AB12"/>
  <c r="AG12" s="1"/>
  <c r="AA12"/>
  <c r="AA13" i="173"/>
  <c r="AB13"/>
  <c r="AG13" s="1"/>
  <c r="AB13" i="168"/>
  <c r="AG13" s="1"/>
  <c r="AA10" i="171"/>
  <c r="AB10"/>
  <c r="AG10" s="1"/>
  <c r="AB15" i="172"/>
  <c r="AA15"/>
  <c r="AB27"/>
  <c r="AA27"/>
  <c r="AA12"/>
  <c r="AB12"/>
  <c r="AA11"/>
  <c r="AB11"/>
  <c r="AB21"/>
  <c r="AA21"/>
  <c r="AA10" i="158"/>
  <c r="AB10"/>
  <c r="AG10" s="1"/>
  <c r="AB30" i="172"/>
  <c r="AA30"/>
  <c r="AB32"/>
  <c r="AA32"/>
  <c r="AA22"/>
  <c r="AB22"/>
  <c r="AA10"/>
  <c r="AB10"/>
  <c r="AA13" i="158"/>
  <c r="AB13"/>
  <c r="AB16" i="172"/>
  <c r="AA16"/>
  <c r="AA9"/>
  <c r="AB9"/>
  <c r="AA18"/>
  <c r="AB18"/>
  <c r="AA19"/>
  <c r="AB19"/>
  <c r="AA20" i="160"/>
  <c r="AB20"/>
  <c r="AG20" s="1"/>
  <c r="AB22"/>
  <c r="AG22" s="1"/>
  <c r="AA22"/>
  <c r="AB29"/>
  <c r="AG29" s="1"/>
  <c r="AA29"/>
  <c r="AB32"/>
  <c r="AG32" s="1"/>
  <c r="AA32"/>
  <c r="AB31"/>
  <c r="AG31" s="1"/>
  <c r="AA31"/>
  <c r="AB24"/>
  <c r="AG24" s="1"/>
  <c r="AA24"/>
  <c r="AA12"/>
  <c r="AB12"/>
  <c r="AG12" s="1"/>
  <c r="AA34"/>
  <c r="AB34"/>
  <c r="AG34" s="1"/>
  <c r="AB14" i="163"/>
  <c r="AA14"/>
  <c r="AB13"/>
  <c r="AA13"/>
  <c r="AA13" i="174"/>
  <c r="AB13"/>
  <c r="AG13" s="1"/>
  <c r="AB15"/>
  <c r="AG15" s="1"/>
  <c r="AA15"/>
  <c r="AA19"/>
  <c r="AB19"/>
  <c r="AG19" s="1"/>
  <c r="AB16" i="163"/>
  <c r="AA16"/>
  <c r="AA16" i="174"/>
  <c r="AB16"/>
  <c r="AG16" s="1"/>
  <c r="AB18" i="166"/>
  <c r="AG18" s="1"/>
  <c r="AA18"/>
  <c r="AB10"/>
  <c r="AG10" s="1"/>
  <c r="AA10"/>
  <c r="AA13"/>
  <c r="AB13"/>
  <c r="AG13" s="1"/>
  <c r="X21"/>
  <c r="AA9" i="163"/>
  <c r="AH9" s="1"/>
  <c r="AA12"/>
  <c r="AH12" s="1"/>
  <c r="AA11"/>
  <c r="AH11" s="1"/>
  <c r="AA10"/>
  <c r="AH10" s="1"/>
  <c r="AB9" i="159"/>
  <c r="AA9"/>
  <c r="AL9" i="175"/>
  <c r="X17" i="159"/>
  <c r="Y8"/>
  <c r="AL13" i="164"/>
  <c r="AL9" i="166"/>
  <c r="AA10" i="159"/>
  <c r="AB10"/>
  <c r="AB9" i="164"/>
  <c r="AA9"/>
  <c r="AB12" i="161"/>
  <c r="AA12"/>
  <c r="AB10" i="168"/>
  <c r="AA10"/>
  <c r="AA9" i="165"/>
  <c r="AB9"/>
  <c r="AA13" i="162"/>
  <c r="AL13" s="1"/>
  <c r="AB13"/>
  <c r="AG13" s="1"/>
  <c r="AA11"/>
  <c r="AB11"/>
  <c r="X52" i="160"/>
  <c r="Y8"/>
  <c r="X19" i="173"/>
  <c r="Y8"/>
  <c r="AB10" i="161"/>
  <c r="AA10"/>
  <c r="X17" i="164"/>
  <c r="Y8"/>
  <c r="AL11" i="167"/>
  <c r="AA16" i="162"/>
  <c r="AL16" s="1"/>
  <c r="AB16"/>
  <c r="AG16" s="1"/>
  <c r="AB17"/>
  <c r="AG17" s="1"/>
  <c r="AA17"/>
  <c r="X21" i="161"/>
  <c r="Y8"/>
  <c r="AB8" s="1"/>
  <c r="AA18" i="162"/>
  <c r="AL18" s="1"/>
  <c r="AB18"/>
  <c r="AG18" s="1"/>
  <c r="AB15"/>
  <c r="AA15"/>
  <c r="X27" i="174"/>
  <c r="Y8"/>
  <c r="AA8" s="1"/>
  <c r="AB9" i="168"/>
  <c r="AL15" i="173"/>
  <c r="AB8" i="171"/>
  <c r="X47" i="175"/>
  <c r="AB11" i="161"/>
  <c r="AA11"/>
  <c r="AB9" i="173"/>
  <c r="AB9" i="171"/>
  <c r="AG9" s="1"/>
  <c r="X21"/>
  <c r="Y21"/>
  <c r="AL14" i="173"/>
  <c r="AA10" i="164"/>
  <c r="AL10" s="1"/>
  <c r="AB10"/>
  <c r="AG10" s="1"/>
  <c r="AB11"/>
  <c r="AG11" s="1"/>
  <c r="AA11"/>
  <c r="AB9" i="169"/>
  <c r="AG9" s="1"/>
  <c r="AA9"/>
  <c r="AL9" s="1"/>
  <c r="AL13" i="174"/>
  <c r="AB12" i="173"/>
  <c r="AA9" i="162"/>
  <c r="AB9"/>
  <c r="X15" i="167"/>
  <c r="X14" i="165"/>
  <c r="Y8"/>
  <c r="X22" i="163"/>
  <c r="Y8"/>
  <c r="AB8" s="1"/>
  <c r="AG8" s="1"/>
  <c r="X21" i="168"/>
  <c r="Y8"/>
  <c r="X22" i="169"/>
  <c r="Y8"/>
  <c r="AB10" i="173"/>
  <c r="AG10" s="1"/>
  <c r="AL10"/>
  <c r="AA9" i="161"/>
  <c r="AB9"/>
  <c r="AL27" i="175"/>
  <c r="AA10" i="162"/>
  <c r="AB10"/>
  <c r="Y8" i="166"/>
  <c r="Y21" s="1"/>
  <c r="AA10" i="169"/>
  <c r="AL10" s="1"/>
  <c r="AB10"/>
  <c r="AG10" s="1"/>
  <c r="AB11" i="168"/>
  <c r="AG11" s="1"/>
  <c r="AA11"/>
  <c r="X23" i="162"/>
  <c r="Y8"/>
  <c r="AB11" i="173"/>
  <c r="X37" i="172"/>
  <c r="Y8"/>
  <c r="AL12" i="167"/>
  <c r="X27" i="158"/>
  <c r="Y8"/>
  <c r="C21" i="68"/>
  <c r="C24" s="1"/>
  <c r="C28" s="1"/>
  <c r="AH9" i="167" l="1"/>
  <c r="AH12" i="169"/>
  <c r="AH60" i="180"/>
  <c r="AH29"/>
  <c r="AH64"/>
  <c r="AH23" i="158"/>
  <c r="AH16" i="161"/>
  <c r="AH61" i="180"/>
  <c r="AH65"/>
  <c r="AH68"/>
  <c r="AH49"/>
  <c r="AH10" i="167"/>
  <c r="AH35" i="160"/>
  <c r="AH53" i="180"/>
  <c r="AH67"/>
  <c r="AG8"/>
  <c r="AH8" s="1"/>
  <c r="AH30"/>
  <c r="AH11" i="167"/>
  <c r="AH27" i="160"/>
  <c r="AH11" i="181"/>
  <c r="AH13" i="169"/>
  <c r="AH17" i="161"/>
  <c r="AH55" i="180"/>
  <c r="AH9" i="181"/>
  <c r="AH15" i="169"/>
  <c r="AH21" i="158"/>
  <c r="AH62" i="180"/>
  <c r="AH54"/>
  <c r="AH58"/>
  <c r="AH24" i="158"/>
  <c r="AH32" i="180"/>
  <c r="AH8" i="167"/>
  <c r="AH13" i="164"/>
  <c r="AH52" i="180"/>
  <c r="AH12" i="181"/>
  <c r="AH9" i="180"/>
  <c r="AH56"/>
  <c r="AH22" i="158"/>
  <c r="AH10" i="181"/>
  <c r="AH59" i="180"/>
  <c r="AH63"/>
  <c r="AH66"/>
  <c r="AH57"/>
  <c r="AA8" i="181"/>
  <c r="AB8"/>
  <c r="Y21"/>
  <c r="AB10" i="180"/>
  <c r="AG10" s="1"/>
  <c r="AA10"/>
  <c r="AA34"/>
  <c r="AG48"/>
  <c r="AA50"/>
  <c r="AB50"/>
  <c r="AG50" s="1"/>
  <c r="Y34"/>
  <c r="AH51"/>
  <c r="AH34" i="172"/>
  <c r="AH11" i="159"/>
  <c r="AH9" i="178"/>
  <c r="AH18" i="161"/>
  <c r="AH17" i="160"/>
  <c r="AH14" i="169"/>
  <c r="AH40" i="160"/>
  <c r="AH23" i="174"/>
  <c r="AH20"/>
  <c r="AH11" i="166"/>
  <c r="AH9" i="174"/>
  <c r="AH12"/>
  <c r="AH17" i="158"/>
  <c r="AH13" i="161"/>
  <c r="AH20" i="158"/>
  <c r="AH10" i="178"/>
  <c r="AH14"/>
  <c r="AH14" i="171"/>
  <c r="AH42" i="160"/>
  <c r="AH46"/>
  <c r="AH37"/>
  <c r="AH15" i="168"/>
  <c r="AH16" i="158"/>
  <c r="AH17" i="168"/>
  <c r="AH24" i="174"/>
  <c r="AH18" i="160"/>
  <c r="AH48"/>
  <c r="AH18" i="171"/>
  <c r="AH18" i="169"/>
  <c r="AH16"/>
  <c r="AH15" i="161"/>
  <c r="AH15" i="160"/>
  <c r="W21" i="161"/>
  <c r="AH15" i="166"/>
  <c r="AH38" i="160"/>
  <c r="AH22" i="174"/>
  <c r="AH18" i="158"/>
  <c r="AH15" i="171"/>
  <c r="AH17" i="166"/>
  <c r="AH16" i="168"/>
  <c r="AH15" i="178"/>
  <c r="AH13"/>
  <c r="AH14" i="168"/>
  <c r="AH14" i="173"/>
  <c r="AH33" i="172"/>
  <c r="AH45" i="160"/>
  <c r="AH49"/>
  <c r="AH36"/>
  <c r="AH21" i="174"/>
  <c r="AH43" i="160"/>
  <c r="AH41"/>
  <c r="AH31" i="172"/>
  <c r="AH12" i="164"/>
  <c r="AH19" i="158"/>
  <c r="AH12" i="162"/>
  <c r="AH14" i="161"/>
  <c r="AH14" i="160"/>
  <c r="AH18" i="168"/>
  <c r="AH16" i="160"/>
  <c r="AH47"/>
  <c r="AH39"/>
  <c r="AH44"/>
  <c r="AH10" i="158"/>
  <c r="AH19" i="174"/>
  <c r="AH18"/>
  <c r="AH16"/>
  <c r="AH13"/>
  <c r="AH11"/>
  <c r="AH10"/>
  <c r="AH13" i="173"/>
  <c r="AH12" i="166"/>
  <c r="AH34" i="160"/>
  <c r="AH12"/>
  <c r="AH20"/>
  <c r="AH30"/>
  <c r="AH11"/>
  <c r="AH9"/>
  <c r="AH13" i="166"/>
  <c r="AL13"/>
  <c r="AG16" i="163"/>
  <c r="AL16"/>
  <c r="AG13"/>
  <c r="AL13"/>
  <c r="AG14"/>
  <c r="AH14" s="1"/>
  <c r="AL14"/>
  <c r="AL16" i="172"/>
  <c r="AG16"/>
  <c r="AH16" s="1"/>
  <c r="AL32"/>
  <c r="AG32"/>
  <c r="AH32" s="1"/>
  <c r="AL30"/>
  <c r="AG30"/>
  <c r="AH30" s="1"/>
  <c r="AG21"/>
  <c r="AH21" s="1"/>
  <c r="AL21"/>
  <c r="AL27"/>
  <c r="AG27"/>
  <c r="AH27" s="1"/>
  <c r="AL15"/>
  <c r="AG15"/>
  <c r="AH15" s="1"/>
  <c r="AH10" i="171"/>
  <c r="AL10"/>
  <c r="AH13" i="168"/>
  <c r="AL13"/>
  <c r="AL11" i="178"/>
  <c r="AG28" i="160"/>
  <c r="AL28"/>
  <c r="AL25" i="172"/>
  <c r="AG25"/>
  <c r="AH25" s="1"/>
  <c r="AL29"/>
  <c r="AG29"/>
  <c r="AH29" s="1"/>
  <c r="AL23"/>
  <c r="AG23"/>
  <c r="AH23" s="1"/>
  <c r="AG14" i="177"/>
  <c r="AH14" s="1"/>
  <c r="AL14"/>
  <c r="Y18" i="178"/>
  <c r="AA8"/>
  <c r="AB8"/>
  <c r="AH10" i="164"/>
  <c r="AH18" i="162"/>
  <c r="AH16"/>
  <c r="AH13"/>
  <c r="AH10" i="166"/>
  <c r="AH18"/>
  <c r="AL18"/>
  <c r="AH16" i="163"/>
  <c r="AH15" i="174"/>
  <c r="AH13" i="163"/>
  <c r="AH24" i="160"/>
  <c r="AH31"/>
  <c r="AH32"/>
  <c r="AH29"/>
  <c r="AH22"/>
  <c r="AL19" i="172"/>
  <c r="AG19"/>
  <c r="AH19" s="1"/>
  <c r="AL18"/>
  <c r="AG18"/>
  <c r="AH18" s="1"/>
  <c r="AL9"/>
  <c r="AG9"/>
  <c r="AH9" s="1"/>
  <c r="AG13" i="158"/>
  <c r="AH13" s="1"/>
  <c r="AL13"/>
  <c r="AL10" i="172"/>
  <c r="AG10"/>
  <c r="AH10" s="1"/>
  <c r="AG22"/>
  <c r="AH22" s="1"/>
  <c r="AL22"/>
  <c r="AL11"/>
  <c r="AG11"/>
  <c r="AH11" s="1"/>
  <c r="AL12"/>
  <c r="AG12"/>
  <c r="AH12" s="1"/>
  <c r="AL12" i="177"/>
  <c r="AH12"/>
  <c r="G10" i="179" s="1"/>
  <c r="AB8" i="177"/>
  <c r="Y23"/>
  <c r="AA8"/>
  <c r="AH14" i="166"/>
  <c r="AL14"/>
  <c r="AH17" i="174"/>
  <c r="AH14"/>
  <c r="AG15" i="163"/>
  <c r="AH15" s="1"/>
  <c r="AL15"/>
  <c r="AG17"/>
  <c r="AH17" s="1"/>
  <c r="AL17"/>
  <c r="AH21" i="160"/>
  <c r="AH10"/>
  <c r="AH13"/>
  <c r="AH23"/>
  <c r="AH19"/>
  <c r="AH28"/>
  <c r="AH14" i="158"/>
  <c r="AL20" i="172"/>
  <c r="AG20"/>
  <c r="AH20" s="1"/>
  <c r="AG14"/>
  <c r="AH14" s="1"/>
  <c r="AL14"/>
  <c r="AL17"/>
  <c r="AG17"/>
  <c r="AH17" s="1"/>
  <c r="AH12" i="158"/>
  <c r="AL26" i="172"/>
  <c r="AG26"/>
  <c r="AH26" s="1"/>
  <c r="AG13"/>
  <c r="AH13" s="1"/>
  <c r="AL13"/>
  <c r="AH9" i="158"/>
  <c r="AL28" i="172"/>
  <c r="AG28"/>
  <c r="AH28" s="1"/>
  <c r="AL24"/>
  <c r="AG24"/>
  <c r="AH24" s="1"/>
  <c r="AH11" i="158"/>
  <c r="AL12" i="168"/>
  <c r="AH12"/>
  <c r="AL14"/>
  <c r="AL10" i="177"/>
  <c r="AG10"/>
  <c r="AH10" s="1"/>
  <c r="AH16"/>
  <c r="G12" i="179" s="1"/>
  <c r="AL16" i="177"/>
  <c r="AH10" i="169"/>
  <c r="AH9"/>
  <c r="AH10" i="173"/>
  <c r="AL10" i="163"/>
  <c r="AL23" i="175"/>
  <c r="AB8" i="169"/>
  <c r="AA8"/>
  <c r="Y22"/>
  <c r="AL15" i="174"/>
  <c r="AL14" i="164"/>
  <c r="AL9" i="171"/>
  <c r="AH9"/>
  <c r="AL11" i="163"/>
  <c r="AL16" i="175"/>
  <c r="AL15" i="162"/>
  <c r="AG15"/>
  <c r="AH15" s="1"/>
  <c r="AG10" i="161"/>
  <c r="AH10" s="1"/>
  <c r="AL10"/>
  <c r="AG12"/>
  <c r="AH12" s="1"/>
  <c r="AL12"/>
  <c r="AL21" i="160"/>
  <c r="AL9" i="163"/>
  <c r="AL12" i="158"/>
  <c r="AL17" i="162"/>
  <c r="AH17"/>
  <c r="AL10" i="167"/>
  <c r="Y52" i="160"/>
  <c r="AB8"/>
  <c r="AA8"/>
  <c r="AA52" s="1"/>
  <c r="AL11" i="166"/>
  <c r="AL10" i="159"/>
  <c r="AG10"/>
  <c r="AH10" s="1"/>
  <c r="AL14" i="175"/>
  <c r="Y23" i="162"/>
  <c r="AA8"/>
  <c r="AB8"/>
  <c r="AA8" i="166"/>
  <c r="AA21" s="1"/>
  <c r="AB8"/>
  <c r="AB21" s="1"/>
  <c r="AA8" i="163"/>
  <c r="AH8" s="1"/>
  <c r="Y22"/>
  <c r="AL9" i="162"/>
  <c r="AG9"/>
  <c r="AH9" s="1"/>
  <c r="AL11" i="164"/>
  <c r="AH11"/>
  <c r="AL12" i="166"/>
  <c r="AL9" i="168"/>
  <c r="AG9"/>
  <c r="AH9" s="1"/>
  <c r="AL9" i="160"/>
  <c r="AL24" i="175"/>
  <c r="AL9" i="164"/>
  <c r="AG9"/>
  <c r="AH9" s="1"/>
  <c r="AL15" i="175"/>
  <c r="AL26"/>
  <c r="AL11" i="174"/>
  <c r="AL18" i="175"/>
  <c r="AL21"/>
  <c r="AL8" i="171"/>
  <c r="AG8"/>
  <c r="AH8" s="1"/>
  <c r="AB21"/>
  <c r="AL9" i="161"/>
  <c r="AG9"/>
  <c r="AH9" s="1"/>
  <c r="AL10" i="175"/>
  <c r="Y47"/>
  <c r="AL13"/>
  <c r="AL10" i="168"/>
  <c r="AG10"/>
  <c r="AH10" s="1"/>
  <c r="AL9" i="159"/>
  <c r="AG9"/>
  <c r="AH9" s="1"/>
  <c r="AL12" i="173"/>
  <c r="AG12"/>
  <c r="AH12" s="1"/>
  <c r="AG11" i="162"/>
  <c r="AH11" s="1"/>
  <c r="AL11"/>
  <c r="Y15" i="167"/>
  <c r="AL25" i="160"/>
  <c r="AG9" i="173"/>
  <c r="AH9" s="1"/>
  <c r="AL9"/>
  <c r="AL17" i="175"/>
  <c r="AA8" i="161"/>
  <c r="Y21"/>
  <c r="AL9" i="165"/>
  <c r="AG9"/>
  <c r="AH9" s="1"/>
  <c r="AL12" i="175"/>
  <c r="AL19"/>
  <c r="AL29"/>
  <c r="AL26" i="160"/>
  <c r="AL9" i="174"/>
  <c r="AL24"/>
  <c r="AL12" i="160"/>
  <c r="AG11" i="161"/>
  <c r="AH11" s="1"/>
  <c r="AL11"/>
  <c r="AL9" i="167"/>
  <c r="Y27" i="174"/>
  <c r="AB8"/>
  <c r="AB8" i="164"/>
  <c r="AA8"/>
  <c r="Y17"/>
  <c r="AL11" i="160"/>
  <c r="AL20" i="175"/>
  <c r="AL22" i="160"/>
  <c r="AL19"/>
  <c r="Y17" i="159"/>
  <c r="AA8"/>
  <c r="AB8"/>
  <c r="AL22" i="175"/>
  <c r="AL28"/>
  <c r="AL20" i="160"/>
  <c r="AL11" i="173"/>
  <c r="AG11"/>
  <c r="AH11" s="1"/>
  <c r="AL12" i="163"/>
  <c r="AL13" i="160"/>
  <c r="AB8" i="173"/>
  <c r="AA8"/>
  <c r="Y19"/>
  <c r="AL23" i="160"/>
  <c r="AL18" i="174"/>
  <c r="AL10" i="160"/>
  <c r="AL11" i="158"/>
  <c r="AL25" i="175"/>
  <c r="AB8" i="172"/>
  <c r="Y37"/>
  <c r="AA8"/>
  <c r="AL11" i="168"/>
  <c r="AH11"/>
  <c r="AL10" i="162"/>
  <c r="AG10"/>
  <c r="AH10" s="1"/>
  <c r="AL10" i="158"/>
  <c r="Y21" i="168"/>
  <c r="AA8"/>
  <c r="AB8"/>
  <c r="AL10" i="166"/>
  <c r="Y14" i="165"/>
  <c r="AA8"/>
  <c r="AB8"/>
  <c r="AL11" i="175"/>
  <c r="AL10" i="174"/>
  <c r="AL14"/>
  <c r="AL24" i="160"/>
  <c r="AL9" i="158"/>
  <c r="AA8"/>
  <c r="AB8"/>
  <c r="Y27"/>
  <c r="C40" i="68"/>
  <c r="C30"/>
  <c r="C41" s="1"/>
  <c r="AH10" i="180" l="1"/>
  <c r="AG8" i="181"/>
  <c r="AG21" s="1"/>
  <c r="AB21"/>
  <c r="AH50" i="180"/>
  <c r="AB72"/>
  <c r="AH34"/>
  <c r="AA72"/>
  <c r="AG34"/>
  <c r="AL11" i="181"/>
  <c r="AG72" i="180"/>
  <c r="AH48"/>
  <c r="AH72" s="1"/>
  <c r="AB34"/>
  <c r="G20" i="179"/>
  <c r="AL8" i="178"/>
  <c r="AL18" s="1"/>
  <c r="AB18"/>
  <c r="AG8"/>
  <c r="AG18" s="1"/>
  <c r="AA23" i="177"/>
  <c r="AB23"/>
  <c r="AG8"/>
  <c r="AG23" s="1"/>
  <c r="AL8"/>
  <c r="AL23" s="1"/>
  <c r="AA18" i="178"/>
  <c r="AL8" i="158"/>
  <c r="AL27" s="1"/>
  <c r="AB27"/>
  <c r="AA17" i="159"/>
  <c r="AL8" i="164"/>
  <c r="AL17" s="1"/>
  <c r="AA17"/>
  <c r="AA37" i="172"/>
  <c r="AL8" i="173"/>
  <c r="AL19" s="1"/>
  <c r="AA19"/>
  <c r="AB17" i="164"/>
  <c r="AG8"/>
  <c r="AG17" s="1"/>
  <c r="AG15" i="167"/>
  <c r="AB15"/>
  <c r="AA22" i="169"/>
  <c r="AA22" i="163"/>
  <c r="AL8" i="160"/>
  <c r="AL52" s="1"/>
  <c r="AG8"/>
  <c r="AG52" s="1"/>
  <c r="AB52"/>
  <c r="AB22" i="169"/>
  <c r="AL8"/>
  <c r="AL22" s="1"/>
  <c r="AG8"/>
  <c r="AG22" s="1"/>
  <c r="AL8" i="168"/>
  <c r="AL21" s="1"/>
  <c r="AG8"/>
  <c r="AG21" s="1"/>
  <c r="AB21"/>
  <c r="AL8" i="175"/>
  <c r="AL47" s="1"/>
  <c r="AA47"/>
  <c r="AA21" i="161"/>
  <c r="AG8" i="173"/>
  <c r="AG19" s="1"/>
  <c r="AB19"/>
  <c r="AL8" i="167"/>
  <c r="AL15" s="1"/>
  <c r="AA15"/>
  <c r="AB47" i="175"/>
  <c r="AG47"/>
  <c r="AG8" i="172"/>
  <c r="AG37" s="1"/>
  <c r="AB37"/>
  <c r="AL8"/>
  <c r="AL37" s="1"/>
  <c r="AL8" i="165"/>
  <c r="AL14" s="1"/>
  <c r="AB14"/>
  <c r="AG8"/>
  <c r="AG14" s="1"/>
  <c r="AA27" i="174"/>
  <c r="AL8" i="163"/>
  <c r="AL22" s="1"/>
  <c r="AG8" i="162"/>
  <c r="AG23" s="1"/>
  <c r="AB23"/>
  <c r="AL8"/>
  <c r="AL23" s="1"/>
  <c r="AL21" i="171"/>
  <c r="AH21"/>
  <c r="G27" i="179" s="1"/>
  <c r="AA14" i="165"/>
  <c r="AL8" i="159"/>
  <c r="AL17" s="1"/>
  <c r="AG8"/>
  <c r="AG17" s="1"/>
  <c r="AB17"/>
  <c r="AL8" i="174"/>
  <c r="AL27" s="1"/>
  <c r="AG8"/>
  <c r="AG27" s="1"/>
  <c r="AB27"/>
  <c r="AG21" i="171"/>
  <c r="AG8" i="161"/>
  <c r="AG21" s="1"/>
  <c r="AB21"/>
  <c r="AL8"/>
  <c r="AL21" s="1"/>
  <c r="AL8" i="166"/>
  <c r="AL21" s="1"/>
  <c r="AG8"/>
  <c r="AG21" s="1"/>
  <c r="AA23" i="162"/>
  <c r="AG8" i="158"/>
  <c r="AH8" s="1"/>
  <c r="AH27" s="1"/>
  <c r="G15" i="179" s="1"/>
  <c r="AH8" i="181" l="1"/>
  <c r="AH21" s="1"/>
  <c r="AH8" i="177"/>
  <c r="AH8" i="178"/>
  <c r="AH18" s="1"/>
  <c r="G24" i="179" s="1"/>
  <c r="AH8" i="165"/>
  <c r="AH14" s="1"/>
  <c r="G23" i="179" s="1"/>
  <c r="AH8" i="168"/>
  <c r="AH21" s="1"/>
  <c r="G25" i="179" s="1"/>
  <c r="AH8" i="162"/>
  <c r="AH8" i="172"/>
  <c r="AH37" s="1"/>
  <c r="G8" i="179" s="1"/>
  <c r="AH8" i="160"/>
  <c r="AH52" s="1"/>
  <c r="G17" i="179" s="1"/>
  <c r="AH15" i="167"/>
  <c r="AH8" i="166"/>
  <c r="AH21" s="1"/>
  <c r="AH8" i="164"/>
  <c r="AH17" s="1"/>
  <c r="G22" i="179" s="1"/>
  <c r="AH8" i="161"/>
  <c r="AH21" s="1"/>
  <c r="G18" i="179" s="1"/>
  <c r="AH8" i="169"/>
  <c r="AH22" s="1"/>
  <c r="G26" i="179" s="1"/>
  <c r="AH8" i="173"/>
  <c r="AH19" s="1"/>
  <c r="G13" i="179" s="1"/>
  <c r="AH8" i="159"/>
  <c r="AH17" s="1"/>
  <c r="G16" i="179" s="1"/>
  <c r="AH8" i="174"/>
  <c r="AH47" i="175"/>
  <c r="E4" i="183" s="1"/>
  <c r="E8" s="1"/>
  <c r="AG27" i="158"/>
  <c r="AH23" i="162" l="1"/>
  <c r="G19" i="179"/>
  <c r="AH23" i="177"/>
  <c r="G9" i="179"/>
  <c r="AH27" i="174"/>
  <c r="G6" i="179" l="1"/>
  <c r="G14"/>
  <c r="G30" s="1"/>
</calcChain>
</file>

<file path=xl/sharedStrings.xml><?xml version="1.0" encoding="utf-8"?>
<sst xmlns="http://schemas.openxmlformats.org/spreadsheetml/2006/main" count="2308" uniqueCount="691">
  <si>
    <t>TOTAL</t>
  </si>
  <si>
    <t>%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</si>
  <si>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</si>
  <si>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</si>
  <si>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</si>
  <si>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</si>
  <si>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</si>
  <si>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</si>
  <si>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SUBSIDIO</t>
  </si>
  <si>
    <t>Sueldo</t>
  </si>
  <si>
    <t>Total</t>
  </si>
  <si>
    <t>CALCULO MENSUAL DE I.S.P.T.</t>
  </si>
  <si>
    <t>I   S   R</t>
  </si>
  <si>
    <t xml:space="preserve">    INGRESOS  ACUMULABLES  </t>
  </si>
  <si>
    <t>T   A   R   I   F   A</t>
  </si>
  <si>
    <t/>
  </si>
  <si>
    <t xml:space="preserve">    BASE  GRAVABLE</t>
  </si>
  <si>
    <t>L. I.</t>
  </si>
  <si>
    <t>C. F.</t>
  </si>
  <si>
    <t>DE....A</t>
  </si>
  <si>
    <t xml:space="preserve">    EXCEDENTE  DEL  LIMITE  INFERIOR</t>
  </si>
  <si>
    <t xml:space="preserve">    IMPUESTO  MARGINAL</t>
  </si>
  <si>
    <t xml:space="preserve">    I S R   A   CARGO </t>
  </si>
  <si>
    <t xml:space="preserve">                                                               I M P U E S T O      </t>
  </si>
  <si>
    <t>NOTA :  ESTE  CALCULO  ESTARA  VIGENTE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</si>
  <si>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</si>
  <si>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</si>
  <si>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</si>
  <si>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</si>
  <si>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</si>
  <si>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</si>
  <si>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</si>
  <si>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</si>
  <si>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</si>
  <si>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</si>
  <si>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</si>
  <si>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</si>
  <si>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</si>
  <si>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</si>
  <si>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</si>
  <si>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</si>
  <si>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</si>
  <si>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</si>
  <si>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</si>
  <si>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</si>
  <si>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</si>
  <si>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</si>
  <si>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</si>
  <si>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</si>
  <si>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</si>
  <si>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</si>
  <si>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</si>
  <si>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</si>
  <si>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</si>
  <si>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</si>
  <si>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</si>
  <si>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</si>
  <si>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</si>
  <si>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</si>
  <si>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</si>
  <si>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</si>
  <si>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</si>
  <si>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</si>
  <si>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</si>
  <si>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</si>
  <si>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</si>
  <si>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</si>
  <si>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</si>
  <si>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</si>
  <si>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</si>
  <si>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</si>
  <si>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</si>
  <si>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</si>
  <si>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</si>
  <si>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</si>
  <si>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</si>
  <si>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</si>
  <si>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</si>
  <si>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</si>
  <si>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</si>
  <si>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 xml:space="preserve">                             D A T O S      Q U I N C E N A L E S :    </t>
  </si>
  <si>
    <t>Nombre del Trabajador</t>
  </si>
  <si>
    <t>AL EMPLEO</t>
  </si>
  <si>
    <t>I.S.R. BRUTO</t>
  </si>
  <si>
    <t xml:space="preserve">   SUBIDIO AL EMPLEO POR ENTREGAR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</si>
  <si>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</si>
  <si>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</si>
  <si>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>SUBSIDO AL EMPLEO</t>
  </si>
  <si>
    <t>MENSUAL</t>
  </si>
  <si>
    <t>Subsidio al</t>
  </si>
  <si>
    <t>Empleo</t>
  </si>
  <si>
    <t>Subsidio</t>
  </si>
  <si>
    <t>SUBSIDIO AL</t>
  </si>
  <si>
    <t>EMPLEO</t>
  </si>
  <si>
    <t>Publicadas en el D. O. F. el dia 03 de enero 2014</t>
  </si>
  <si>
    <t xml:space="preserve">                                                                 S U B S I D I O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</si>
  <si>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</si>
  <si>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TABLAS DE TARIFA Y SUBSIDIO AL EMPLEO PARA CALCULO DE I.S.P.T.</t>
  </si>
  <si>
    <t>TABLAS PUBLICADAS EL 03 DE ENERO DE 2014</t>
  </si>
  <si>
    <t xml:space="preserve">               EJERCICIO 2015</t>
  </si>
  <si>
    <t>NOMBRE DE LA EMPRESA</t>
  </si>
  <si>
    <t>Prestamos</t>
  </si>
  <si>
    <t>PRESIDENCIA</t>
  </si>
  <si>
    <t>PUESTO</t>
  </si>
  <si>
    <t>SECRETARIA</t>
  </si>
  <si>
    <t>Calculo</t>
  </si>
  <si>
    <t>Presidencia</t>
  </si>
  <si>
    <t>Diferencia</t>
  </si>
  <si>
    <t>TESORERIA</t>
  </si>
  <si>
    <t>AUXILIAR</t>
  </si>
  <si>
    <t>F I R M A</t>
  </si>
  <si>
    <t>SERV. PUBLICOS</t>
  </si>
  <si>
    <t>REGIDORES PROP.</t>
  </si>
  <si>
    <t>TEOCUITATLAN DE CORONA JALISCO</t>
  </si>
  <si>
    <t>DIRECTOR FOMENTO AGROPECUARIO</t>
  </si>
  <si>
    <t>AUXILIAR DE FOMENTO AGROPECUARIO</t>
  </si>
  <si>
    <t>D.I.F.</t>
  </si>
  <si>
    <t>PROTECCION CIVIL</t>
  </si>
  <si>
    <t>JOSEFINA FIGUEROA GONZALEZ</t>
  </si>
  <si>
    <t>DEPORTES</t>
  </si>
  <si>
    <t>DIRECTOR DE DEPORTES</t>
  </si>
  <si>
    <t>GUADALUPE LOPEZ VACA</t>
  </si>
  <si>
    <t>TRINIDAD MONTES MONTES</t>
  </si>
  <si>
    <t>ENFERMERA</t>
  </si>
  <si>
    <t>CASA DE LA CULTURA</t>
  </si>
  <si>
    <t>SEGURIDAD PUBLICA</t>
  </si>
  <si>
    <t>JUAN JOSE DELGADO RAMIREZ</t>
  </si>
  <si>
    <t>JOSE JUAN HERNANDEZ GARCIA</t>
  </si>
  <si>
    <t>ROBERTO ESCOTO MACHUCA</t>
  </si>
  <si>
    <t>POLICIA</t>
  </si>
  <si>
    <t>DIRECTOR</t>
  </si>
  <si>
    <t>AGUA POTABLE</t>
  </si>
  <si>
    <t>OBRA PUBLICA</t>
  </si>
  <si>
    <t>APOYOS</t>
  </si>
  <si>
    <t>MUNICIPIO DE TEOCUITATLAN DE CORONA, JALISCO</t>
  </si>
  <si>
    <t>EJERCICIO 2015</t>
  </si>
  <si>
    <t>RASTRO</t>
  </si>
  <si>
    <t>NOMBRE</t>
  </si>
  <si>
    <t>SUELDO</t>
  </si>
  <si>
    <t>FIRMA</t>
  </si>
  <si>
    <t>CIPRIANO LOPEZ SERRANO</t>
  </si>
  <si>
    <t>EDUARDO LEAL MADRIGAL</t>
  </si>
  <si>
    <t>VICTOR HUGO COVARRUBIAS RODRIGUEZ</t>
  </si>
  <si>
    <t>RAQUEL HERNANDEZ RENTERIA</t>
  </si>
  <si>
    <t>FRANCISCO JAVIER GOMEZ PONCE</t>
  </si>
  <si>
    <t>MARCO ANTONIO RODRIGUEZ VILLA</t>
  </si>
  <si>
    <t>FLORENTINO ESTRADA QUESADA</t>
  </si>
  <si>
    <t>RAFAEL VILLARRUEL ANAYA</t>
  </si>
  <si>
    <t>DIEGO ALEJANDRO GOMEZ PONCE</t>
  </si>
  <si>
    <t>DANIEL PONCE LIRA</t>
  </si>
  <si>
    <t>RICARDO MANUEL CASILLAS CHAVOYA</t>
  </si>
  <si>
    <t>BENJAMIN GOMEZ ZEPEDA</t>
  </si>
  <si>
    <t>RAQUEL MORALES VILLANUEVA</t>
  </si>
  <si>
    <t>HERIBERTO GONZALEZ RAMIREZ</t>
  </si>
  <si>
    <t>ULISES RENTERIA RODRIGUEZ</t>
  </si>
  <si>
    <t>ARACELI GUTIERREZ GARCIA</t>
  </si>
  <si>
    <t>SECRETARIA PRESIDENCIA</t>
  </si>
  <si>
    <t>MARIBEL FLORES VALDOVINOS</t>
  </si>
  <si>
    <t>RECEPCION</t>
  </si>
  <si>
    <t>PALOMA DE JESUS QUIÑONES CARDENAS</t>
  </si>
  <si>
    <t>YAREMI HERRERA TORREZ</t>
  </si>
  <si>
    <t>JORGE MONTES BARRAGAN</t>
  </si>
  <si>
    <t>CARLOS EDUARDO HERNADEZ FLORES</t>
  </si>
  <si>
    <t>PRESIDENTE MUNICIPAL</t>
  </si>
  <si>
    <t>ABRAHAM SANCHEZ OCHOA</t>
  </si>
  <si>
    <t>TESORERO</t>
  </si>
  <si>
    <t>CONTRALOR</t>
  </si>
  <si>
    <t>LINA LORENA FLORES RUBIO</t>
  </si>
  <si>
    <t>JAVIER ANAYA MEZA</t>
  </si>
  <si>
    <t>JUAN CARLOS AGUILAR OCHOA</t>
  </si>
  <si>
    <t>MANUEL TOSCANO NUÑEZ</t>
  </si>
  <si>
    <t>ENCARGADO DE MANTENIMIENTO DEL MODULO DE MAQUINARIA</t>
  </si>
  <si>
    <t>DIRECTOR DE MODULO DE MAQUINARIA</t>
  </si>
  <si>
    <t>LAURA ELIZABETH LOMELI GUDIÑO</t>
  </si>
  <si>
    <t>OFICIAL DE REGISTRO CIVIL</t>
  </si>
  <si>
    <t>KARLA YERALDIN GARCIA MEZA</t>
  </si>
  <si>
    <t>CRISTINA PADILLA RAMIREZ</t>
  </si>
  <si>
    <t>OFICIAL DE REGISTRO CIVIL DE 03 DE SAN JUAN CITALA</t>
  </si>
  <si>
    <t>MARY CARMEN MONTES CARDENAS</t>
  </si>
  <si>
    <t>OFICIAL DE REGISTRO CIVIL 02 DE CITALA</t>
  </si>
  <si>
    <t>OFICIAL DE REGISTRO CIVIL 04  DE SAN JOSE DE GRACIA</t>
  </si>
  <si>
    <t>ISABEL DE LA CRUZ GONZALEZ ELIZONDO</t>
  </si>
  <si>
    <t>AUXILIAR DE REGISTRO CIVIL 01 DE TEOCUITATLAN DE CORONA</t>
  </si>
  <si>
    <t>MARISELA CHAVEZ HARO</t>
  </si>
  <si>
    <t>DIRECTORA DE CATASTRO</t>
  </si>
  <si>
    <t>MARIA DE JESUS SANCHEZ CHAVEZ</t>
  </si>
  <si>
    <t>AUXILIAR DE CATASTRO</t>
  </si>
  <si>
    <t>MARIA MANUELA CRUZ ARREGUIN</t>
  </si>
  <si>
    <t>CARLOS OMAR MONTES CARDENAS</t>
  </si>
  <si>
    <t>FOMENTO AGROPECUARIO</t>
  </si>
  <si>
    <t>EBARISTO GONZALEZ GAMBOA</t>
  </si>
  <si>
    <t>ALAIN AQUINO RODRIGUEZ</t>
  </si>
  <si>
    <t>RODOLFO CASTELLANOS ACEVES</t>
  </si>
  <si>
    <t>DIRECTOR DE OBRAS PUBLICAS</t>
  </si>
  <si>
    <t>MARIO GIBRAN OLIVO HARO</t>
  </si>
  <si>
    <t>ALAN DE DIOS GONZALEZ PADILLA</t>
  </si>
  <si>
    <t>JANETH LOPEZ NAVARRO</t>
  </si>
  <si>
    <t>AUXILIAR DE PROTECCION CIVIL</t>
  </si>
  <si>
    <t xml:space="preserve">CLAUDIO LOMELI ORNELAS </t>
  </si>
  <si>
    <t>ERIC OMAR MONTES BARRAGAN</t>
  </si>
  <si>
    <t>PATRICIA RAMIREZ BAESA</t>
  </si>
  <si>
    <t>ASEO DE UNIDAD DEPORTIVA (CANCHA DE FUTBOL 7)</t>
  </si>
  <si>
    <t>YESSICA JANETH GONZALEZ OROZCO</t>
  </si>
  <si>
    <t>EDGAR EDMUNDO GOMEZ ECHAURI</t>
  </si>
  <si>
    <t>DIRECTOR DE FOMENTO ECONOMICO Y DESARROLLO SOCIAL</t>
  </si>
  <si>
    <t xml:space="preserve">JOSE MIGUEL GARCIA MUÑOZ </t>
  </si>
  <si>
    <t>AUXILIAR DE FOMENTO ECONOMICO Y DESARROLLO SOCIAL</t>
  </si>
  <si>
    <t>MARCO AURELIO ACEVES RODRIGUEZ</t>
  </si>
  <si>
    <t>DIRECTOR DE COMUNICACIÓN SOCIAL</t>
  </si>
  <si>
    <t>ALMA LIZETH GONZALEZ MONTES</t>
  </si>
  <si>
    <t>ERIC PEREZ LOPEZ</t>
  </si>
  <si>
    <t>DIRECTOR DE INFORMATICA Y SOPORTE</t>
  </si>
  <si>
    <t>MODULO DE MAQUINARIA</t>
  </si>
  <si>
    <t>TURISMO Y ECOLOGIA</t>
  </si>
  <si>
    <t>GILBERTO SANCHEZ GARCIA</t>
  </si>
  <si>
    <t>DIRECTOR DE TURISMO Y ECOLOGIA</t>
  </si>
  <si>
    <t>VICTOR BARRAGAN ESTRADA</t>
  </si>
  <si>
    <t>SUBDIRECTOR DE TURISMO Y ECOLOGIA</t>
  </si>
  <si>
    <t>JOSE MIGUEL MORFIN HERRERA</t>
  </si>
  <si>
    <t>SINDICO</t>
  </si>
  <si>
    <t>CHOFER</t>
  </si>
  <si>
    <t>PARAMEDICO</t>
  </si>
  <si>
    <t>JOSE LUIS LOMELI GUTIERREZ</t>
  </si>
  <si>
    <t>COMANDANTE</t>
  </si>
  <si>
    <t>J. JESUS RENTERIA RODRIGUEZ</t>
  </si>
  <si>
    <t>JOSE SOCORRO LIRA MONTAÑO</t>
  </si>
  <si>
    <t>DIRECTOR DE SERVICIOS PUBLICOS MUNICIPALES</t>
  </si>
  <si>
    <t>MARTIN LOMELI CRUZ</t>
  </si>
  <si>
    <t>RAMON BARBOZA LOMELI</t>
  </si>
  <si>
    <t>CAMPOSANTERO</t>
  </si>
  <si>
    <t>JOSE RODRIGUEZ VALDOVINOS</t>
  </si>
  <si>
    <t>JARDINERO</t>
  </si>
  <si>
    <t>SIGIFREDO RODRIGUEZ HERNANDEZ</t>
  </si>
  <si>
    <t>JUAN JIMENEZ OROZCO</t>
  </si>
  <si>
    <t>ALFREDO CHAVEZ JIMENEZ</t>
  </si>
  <si>
    <t>ENCARGADO DE FONTANEROS</t>
  </si>
  <si>
    <t>SANTIAGO ALVARADO ANGUIANO</t>
  </si>
  <si>
    <t>RAMON CARDENAS GUIZAR</t>
  </si>
  <si>
    <t>ENCARGADO DE PROYECTOS</t>
  </si>
  <si>
    <t>AYUDANTE DE ENCARGADO DE SERVICIOS PUBLICOS MUNICIPALES</t>
  </si>
  <si>
    <t>ENCARGADO DE ASEO PUBLICO</t>
  </si>
  <si>
    <t>EBERARDO GARCIA BARAJAS</t>
  </si>
  <si>
    <t>JEFE DE JARDINEROS</t>
  </si>
  <si>
    <t>JORGE ANTONIO LUPERCIO VELA</t>
  </si>
  <si>
    <t>EFRAIN ORTIZ MONTES</t>
  </si>
  <si>
    <t>CRISTIAN RENE MONTES VARGAS</t>
  </si>
  <si>
    <t>OCTAVIO ESCOTO GONZALEZ</t>
  </si>
  <si>
    <t>BERNARDINO PEREZ GARCIA</t>
  </si>
  <si>
    <t>RECOLECTOR DE BASURA</t>
  </si>
  <si>
    <t>SALVADOR SAHAGUN ROJAS</t>
  </si>
  <si>
    <t>ALBAÑIL</t>
  </si>
  <si>
    <t>JORGE GALVAN MONTES</t>
  </si>
  <si>
    <t>MIGUEL OROZCO PAREDES</t>
  </si>
  <si>
    <t>AUXILIAR DE ALBAÑIL</t>
  </si>
  <si>
    <t>JOSE ARIAS GARCIA</t>
  </si>
  <si>
    <t>DAMIAN RAMIREZ VILLARRUEL</t>
  </si>
  <si>
    <t>JOSE DE JESUS ARIAS CORONA</t>
  </si>
  <si>
    <t>VENTURA RODRIGUEZ SOSA</t>
  </si>
  <si>
    <t>JOSE DE JESUS JIMENEZ ESTRADA</t>
  </si>
  <si>
    <t>JUAN MANUEL CONTRERAS PRADO</t>
  </si>
  <si>
    <t>FONTANERO</t>
  </si>
  <si>
    <t>JUAN JOSE VILLARRUEL LOPEZ</t>
  </si>
  <si>
    <t>ENRIQUE DIAZ MONTES</t>
  </si>
  <si>
    <t>SECRETARIO  GENERAL-OFICIAL MAYOR-TITULAR  DE TRASNP.</t>
  </si>
  <si>
    <t>JONATHAN PAUL GONZALEZ BARAJAS</t>
  </si>
  <si>
    <t>VERONICA RENTERIA BASULTO</t>
  </si>
  <si>
    <t>DAVID SANCHEZ CHAVEZ</t>
  </si>
  <si>
    <t>GUARDARASTRO</t>
  </si>
  <si>
    <t>JOSE DE JESUS LOPEZ GONZALEZ</t>
  </si>
  <si>
    <t>INSPECTOR</t>
  </si>
  <si>
    <t>SALVADOR CONTRERAS LOPEZ</t>
  </si>
  <si>
    <t>LUIS ALBERTO CHAVEZ CONTRERAS</t>
  </si>
  <si>
    <t>JOSE DE JESUS CORTEZ MENDOZA</t>
  </si>
  <si>
    <t>JOSE LUIS LEAL MADRIGAL</t>
  </si>
  <si>
    <t>SANTIAGO SAHAGUN RODRIGUEZ</t>
  </si>
  <si>
    <t>CALCULO PROPORCIONAL DE AGUNALDO</t>
  </si>
  <si>
    <t xml:space="preserve">ENERO 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</si>
  <si>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</si>
  <si>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</si>
  <si>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</si>
  <si>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</si>
  <si>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</si>
  <si>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</si>
  <si>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</si>
  <si>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</si>
  <si>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</si>
  <si>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MARIA DEL CONSUELO MENDOZA MORA</t>
  </si>
  <si>
    <t>DIRECTORA DE CASA DE LA CULTURA</t>
  </si>
  <si>
    <t>SECRETARIO</t>
  </si>
  <si>
    <t>NORMA RAMOS IBAÑEZ</t>
  </si>
  <si>
    <t>ASEO</t>
  </si>
  <si>
    <t>MANUELA TORRES GARCIA</t>
  </si>
  <si>
    <t>MAESTRA DE MANUALIDADES</t>
  </si>
  <si>
    <t>ANTONIO AYALA RODRIGUEZ</t>
  </si>
  <si>
    <t>FRANCISCO PRADO CRUZ</t>
  </si>
  <si>
    <t>VELADOR</t>
  </si>
  <si>
    <t>VIGILANTE</t>
  </si>
  <si>
    <t>ARCHIVO</t>
  </si>
  <si>
    <t>OSCAR MANUEL  GONZALEZ  LOMELI</t>
  </si>
  <si>
    <t xml:space="preserve">REGIDOR </t>
  </si>
  <si>
    <t>CRISTINA GUADALUPE GONZALEZ BUENROSTRO</t>
  </si>
  <si>
    <t>INOCENCIO SOTELO GOMEZ</t>
  </si>
  <si>
    <t>MARTHA CAMARENA ROJAS</t>
  </si>
  <si>
    <t>MA. DEL CARMEN CASTELLANOS GARCIA</t>
  </si>
  <si>
    <t>RAMIRO MOJICA CONTRERAS</t>
  </si>
  <si>
    <t>ESMERALDA ROSALINA HARO ENRIQUEZ</t>
  </si>
  <si>
    <t>JOSE DE JESUS GUTIERREZ VALLE</t>
  </si>
  <si>
    <t>COMUNICACIÓN  SOCIAL</t>
  </si>
  <si>
    <t xml:space="preserve"> PLANEACION Y DESARROLLO MUNICIPAL(CE MUJER)</t>
  </si>
  <si>
    <t xml:space="preserve"> INFORMATICA Y SOPORTE</t>
  </si>
  <si>
    <t>REGISTRO CIVIL</t>
  </si>
  <si>
    <t>CATASTRO</t>
  </si>
  <si>
    <t>ANABEL GONZALEZ PEREZ</t>
  </si>
  <si>
    <t>DIRECTORA DEL DIF</t>
  </si>
  <si>
    <t>HECTOR ZEPEDA COVARRUBIAS</t>
  </si>
  <si>
    <t>CHOFER DE AMBULANCIA</t>
  </si>
  <si>
    <t>RICARDO CASILLAS CARRILLO</t>
  </si>
  <si>
    <t>ALEJANDRO LOMELI MEDINA</t>
  </si>
  <si>
    <t>ASESOR JURIDICO</t>
  </si>
  <si>
    <t>ASEO PRESIDENCIA</t>
  </si>
  <si>
    <t>MARIA DEL CARMEN MORALES MEJIA</t>
  </si>
  <si>
    <t>FOMENTO ECONOMICO  Y DESARROLLO SOCIAL</t>
  </si>
  <si>
    <t>ARMANDO FRANCO RIVERA</t>
  </si>
  <si>
    <t>JONATHAN JOSUE JIMENEZ RIVERA</t>
  </si>
  <si>
    <t>HORTENCIA VELZQUEZ RENTERIA</t>
  </si>
  <si>
    <t>CYNTHIA NAVARRO ORNELAS</t>
  </si>
  <si>
    <t>PEDRO BARAJAS IBAÑEZ</t>
  </si>
  <si>
    <t>ERIK MIGUEL GODINEZ LUEVANOS</t>
  </si>
  <si>
    <t>ANA LUCIA GARCIA SANCHEZ</t>
  </si>
  <si>
    <t>TOTAL NOMINA</t>
  </si>
  <si>
    <t>SEG PUBLICA</t>
  </si>
  <si>
    <t>FOM ECONOMICO</t>
  </si>
  <si>
    <t>COMUNICACIÓN SOCIAL</t>
  </si>
  <si>
    <t>PLANEAC Y DES SOC</t>
  </si>
  <si>
    <t>INFORMATICA</t>
  </si>
  <si>
    <t>SERV PUBLICOS</t>
  </si>
  <si>
    <t>MOD. MAQ</t>
  </si>
  <si>
    <t>REGIDORES</t>
  </si>
  <si>
    <t>FOM AGROPECUARIO</t>
  </si>
  <si>
    <t>FERNANDO RAMOS RODRIGUEZ</t>
  </si>
  <si>
    <t>ERNESTO OROZCO LARA</t>
  </si>
  <si>
    <t>SERGIO RAMOS IBAÑEZ</t>
  </si>
  <si>
    <t>ALEJANDRO RODRIGUEZ CRUZ</t>
  </si>
  <si>
    <t>ELECTRICISTA</t>
  </si>
  <si>
    <t>AYUDANTE DE ELECTRICISTA</t>
  </si>
  <si>
    <t>LADISLAO BECERRA ORTIZ</t>
  </si>
  <si>
    <t xml:space="preserve">VELADOR </t>
  </si>
  <si>
    <t>RUTH ZACARIAS RODRIGUEZ</t>
  </si>
  <si>
    <t>VICTOR EDUARDO GARCIA GUITRON</t>
  </si>
  <si>
    <t>ASEO DE LA UNIDAD DEPORTIVA EL ROCIO</t>
  </si>
  <si>
    <t>ENCARGADO DE BODEGA</t>
  </si>
  <si>
    <t>COCINERA</t>
  </si>
  <si>
    <t>PSICOLOGA</t>
  </si>
  <si>
    <t>UBR</t>
  </si>
  <si>
    <t>TRABAJADOR SOCIAL</t>
  </si>
  <si>
    <t>AUXILIAR DE SECRETARIA</t>
  </si>
  <si>
    <t>ENCARGADA DE INGRESOS TESORERIA</t>
  </si>
  <si>
    <t>JASMIN GUADALUPE GONZLAEZ OROZCO</t>
  </si>
  <si>
    <t>VICTOR HUGO MACIAS GARCIA</t>
  </si>
  <si>
    <t>HERNAN ISAIAS HERNANDEZ CORTEZ</t>
  </si>
  <si>
    <t>MARICELA GONZALEZ GOMEZ</t>
  </si>
  <si>
    <t>SERGIO BARBOZA RODRIGUEZ</t>
  </si>
  <si>
    <t>JUAN JOSE ECHAURI SOSA</t>
  </si>
  <si>
    <t>INTENDENTE</t>
  </si>
  <si>
    <t>JESUS SOTO CONTRERAS</t>
  </si>
  <si>
    <t>JUAN CARLOS LOPEZ VALDOVINOS</t>
  </si>
  <si>
    <t>AURERIO SANCHEZ VIDRIO</t>
  </si>
  <si>
    <t>MAESTRO DE FISICA</t>
  </si>
  <si>
    <t>SEAR JASUB RAMIREZ GARCIA</t>
  </si>
  <si>
    <t>AUXILIAR DE JUVENTUD</t>
  </si>
  <si>
    <t>CLAUDIA DOLORES OROZCO AVILA</t>
  </si>
  <si>
    <t>JOSE PONCE MONTES</t>
  </si>
  <si>
    <t>RENE GONZALEZ GOMEZ</t>
  </si>
  <si>
    <t>LUIS ALBERTO LUNA GUERRERO</t>
  </si>
  <si>
    <t>ANTONIO GARCIA GARCIA</t>
  </si>
  <si>
    <t>SERGIO RENTERIA MONTES</t>
  </si>
  <si>
    <t>JOSE MIGUEL RODRIGUEZ ARREGUIN</t>
  </si>
  <si>
    <t>ADAN GAVIÑO ZEPEDA</t>
  </si>
  <si>
    <t>SERGIO PAREDES PEREZ</t>
  </si>
  <si>
    <t>DANIEL TORRES AVALOS</t>
  </si>
  <si>
    <t>ASEO PLAZA</t>
  </si>
  <si>
    <t>JOSE OCHOA TORRES</t>
  </si>
  <si>
    <t>BEATRIZ ADRIANA OROZCO AVILA</t>
  </si>
  <si>
    <t>INTENDENTE AUDITORIO</t>
  </si>
  <si>
    <t>AZUCENA CORONA TEJADA</t>
  </si>
  <si>
    <t>INTENDENTE SAN MIGUEL</t>
  </si>
  <si>
    <t>JORGE GUDIÑO SAHAGUN</t>
  </si>
  <si>
    <t>MANUEL GAMBOA MONTES</t>
  </si>
  <si>
    <t>CHOFER ASEO PUBLICO</t>
  </si>
  <si>
    <t>ANTONIO JIMENEZ VILLA</t>
  </si>
  <si>
    <t>OMAR OSWALDO CALATA</t>
  </si>
  <si>
    <t>MANUEL BARRAGAN RENTERIA</t>
  </si>
  <si>
    <t>HECTOR ALONSO MACIAS MONTES</t>
  </si>
  <si>
    <t>OPERADOR DE MAQUINARIA</t>
  </si>
  <si>
    <t>JOSE DE JESUS ORTIZ CHAVEZ</t>
  </si>
  <si>
    <t>HUGO ALBERTO VARGAS HARO</t>
  </si>
  <si>
    <t>IGNACIO PONCE VAZQUEZ</t>
  </si>
  <si>
    <t>YONI GARCIA MADRIGAL</t>
  </si>
  <si>
    <t>JOSE DE JESUS TOSCANO MONTAÑO</t>
  </si>
  <si>
    <t>MARTHA RENTERIA VEGA</t>
  </si>
  <si>
    <t>ILIANA DEL REFUGIO SAHAGUN MURILLO</t>
  </si>
  <si>
    <t>MAYRA ALEJANDRA DIAZ GALVEZ</t>
  </si>
  <si>
    <t>RODOLFO RODRIGUEZ LOPEZ</t>
  </si>
  <si>
    <t>RAUL PINEDA VILLA</t>
  </si>
  <si>
    <t>AYUDANTE DE BODEGA</t>
  </si>
  <si>
    <t>CECILIA HERNANDEZ PEREZ</t>
  </si>
  <si>
    <t>KARLA REBECA DIAZ RUIZ</t>
  </si>
  <si>
    <t>OLIVIA MONTES VARGAS</t>
  </si>
  <si>
    <t>CASETA DE CITALA</t>
  </si>
  <si>
    <t>PRIMITIVO RUIZ CONTRERAS</t>
  </si>
  <si>
    <t>MA VERONICA GUADALUPE SALCEDO V</t>
  </si>
  <si>
    <t>ROGELIO SANCHEZ IÑIGUEZ</t>
  </si>
  <si>
    <t>ARTESANO</t>
  </si>
  <si>
    <t>FANNY DARIANA NAVA CONDENADO</t>
  </si>
  <si>
    <t>ASISTENTE EN SISTEMAS</t>
  </si>
  <si>
    <t>JOSE GUADALUPE BARBOZA ANAYA</t>
  </si>
  <si>
    <t>DINO SOLIS TORRES</t>
  </si>
  <si>
    <t>VERONICA CRISTINA SOSA MARIN</t>
  </si>
  <si>
    <t>CENTRO DE SALUD</t>
  </si>
  <si>
    <t>GUILLERMO CRUZ VALLE</t>
  </si>
  <si>
    <t>KENIA ROXANA LOMELI LOPEZ</t>
  </si>
  <si>
    <t>COMEDOR ASISTENCIAL</t>
  </si>
  <si>
    <t>ABEL ZACARIAS ZEPEDA</t>
  </si>
  <si>
    <t>CONSUELO CHAVEZ HARO</t>
  </si>
  <si>
    <t>BEATRIZ JIMENEZ PECINA</t>
  </si>
  <si>
    <t>ANA ALICIA VARGAS MONTES</t>
  </si>
  <si>
    <t>AUXILIAR DE REGISTRO CIVIL 02 DE CITALA</t>
  </si>
  <si>
    <t>RAUL CELIS RENTERIA</t>
  </si>
  <si>
    <t>IVAN ZEPEDA HERNANDEZ</t>
  </si>
  <si>
    <t>AUXULIAR</t>
  </si>
  <si>
    <t>JORGE HERNANDEZ ISIDRO</t>
  </si>
  <si>
    <t xml:space="preserve">AUXILIAR  </t>
  </si>
  <si>
    <t>RECAUDADOR</t>
  </si>
  <si>
    <t>CLAUDIA LETICIA CARDENAS LOPEZ</t>
  </si>
  <si>
    <t>ENCARGADA DE EGRESOS TESORERIA</t>
  </si>
  <si>
    <t>ALONSO OBLEA FLORES</t>
  </si>
  <si>
    <t>AUXILIAR OFICIAL MAYOR</t>
  </si>
  <si>
    <t>LUIS MIGUEL ZEPEDA LEAL</t>
  </si>
  <si>
    <t>MARTHA PRADO LUPERCIO</t>
  </si>
  <si>
    <t>JOSE VALENCIA MENDOZA</t>
  </si>
  <si>
    <t>HILARIO LUEVANO RODRIGUEZ</t>
  </si>
  <si>
    <t>SERGIO ORTIZ SALAZAR</t>
  </si>
  <si>
    <t>GILBERTO QUIÑONEZ MEJIA</t>
  </si>
  <si>
    <t>DEMTRIO JIMENEZ VILLA</t>
  </si>
  <si>
    <t>IGNACIO MONTES MAÑALES</t>
  </si>
  <si>
    <t>SECRETARIA COMANDANCIA</t>
  </si>
  <si>
    <t>TANIA ELIZABETH TORRES AVILA</t>
  </si>
  <si>
    <t>BARRENDERO INGRESO PRINCIPAL</t>
  </si>
  <si>
    <t>BAÑOS PUBLICOS</t>
  </si>
  <si>
    <t>SALOME SAHAGUN GONZALEZ</t>
  </si>
  <si>
    <t>JORGE LUIS HERNANDEZ PEREZ</t>
  </si>
  <si>
    <t>MAESTRO DE MUSICA</t>
  </si>
  <si>
    <t xml:space="preserve">ERNESTO BASULTO </t>
  </si>
  <si>
    <t>NOVIEMBRE</t>
  </si>
  <si>
    <t>DICIEMBRE</t>
  </si>
  <si>
    <t>OCTUBRE</t>
  </si>
  <si>
    <t>MARIA DE LOS ANGELES ORTIZ MONTES</t>
  </si>
  <si>
    <t>MARIA GARCIA ARIAS</t>
  </si>
  <si>
    <t>APOLINAR BARRAGAN RENTERIA</t>
  </si>
  <si>
    <t>JUAN CARLOS CISNEROS</t>
  </si>
  <si>
    <t>GUILLERMO PADILLA PONCE</t>
  </si>
  <si>
    <t>INTENDENTE CANCHA DE FUTBOL TIERRA BLANCA</t>
  </si>
  <si>
    <t>NORMA LOMELI LEAL</t>
  </si>
  <si>
    <t>MIREYA RODRIGUEZ GARIBAY</t>
  </si>
  <si>
    <t>MARIA ISABEL ESPERANZA MEDINA CARRILLO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</si>
  <si>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</si>
  <si>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r>
      <t>o</t>
    </r>
    <r>
      <rPr>
        <b/>
        <sz val="9"/>
        <color indexed="10"/>
        <rFont val="Arial"/>
        <family val="2"/>
      </rPr>
      <t xml:space="preserve"> (A Favor)</t>
    </r>
  </si>
  <si>
    <t>LISTA EVENTUALES DEL 16 AL 31 DE OCTUBRE DE 2015</t>
  </si>
  <si>
    <t>DIRECTOR DE PLANEACION Y DESARROLLO MUNICIPAL</t>
  </si>
  <si>
    <t>AUXILIAR DE OFICINA</t>
  </si>
  <si>
    <t>CHOFER PRESIDENCIA</t>
  </si>
  <si>
    <t>LISTA DE PERSONAS PARA PAGAR CON ORDEN DE PAGO 16 AL 31 DE OCTUBRE DE 2015</t>
  </si>
  <si>
    <t>ORDEN DE PAGO</t>
  </si>
  <si>
    <t>LUIS EDUARDO JIMENEZ RIVERA</t>
  </si>
  <si>
    <t>FRANCISCO MACHUCA PEREZ</t>
  </si>
  <si>
    <t>ENCARGADO DE MODULO DE MAQUINARIA</t>
  </si>
  <si>
    <t>CHOFER CAMION</t>
  </si>
  <si>
    <t>RAFAEL FILEMON HARO MEJIA</t>
  </si>
  <si>
    <t>AUXILIAR CASA DE DIA</t>
  </si>
  <si>
    <t>COCINERA CASA DE DIA</t>
  </si>
  <si>
    <t>JEFE DE PARAMEDICOS</t>
  </si>
  <si>
    <t>MEDICO MUNICIPAL</t>
  </si>
  <si>
    <t>ENCARGADO DE DEPORTES</t>
  </si>
  <si>
    <t>MAESTROS</t>
  </si>
  <si>
    <t>CORDINADORA CE MUJER</t>
  </si>
  <si>
    <t>LISTA DE MAESTROS DE CULTURA</t>
  </si>
  <si>
    <t>CLAUDIA SOSA PEREZ</t>
  </si>
  <si>
    <t>SECRETARIOS DE SINDICO</t>
  </si>
  <si>
    <t>ENRIQUE LUEVANOS RODRIGUEZ</t>
  </si>
  <si>
    <t>ADIBI RAMOS HURTADO</t>
  </si>
  <si>
    <t>MA DOLORES RAMOS HURTADO</t>
  </si>
  <si>
    <t>INTENDENTE PLAZA CITALA</t>
  </si>
  <si>
    <t>ELOISA ZAMARRIPA MARTINEZ</t>
  </si>
  <si>
    <t>JOSE ANTONIO GALVEZ CASTELLANOS</t>
  </si>
  <si>
    <t>INTENDENTE PANTEON SAN JUAN CITALA</t>
  </si>
  <si>
    <t>GUZBERTO TERRIQUEZ TERRIQUEZ</t>
  </si>
  <si>
    <t>AGENTE MUNICIPAL DE ATOTONILCO</t>
  </si>
  <si>
    <t>AGENTE MUNICIPAL DE LA LOBERA</t>
  </si>
  <si>
    <t>JOSE NOE HERNANDEZ SOTELO</t>
  </si>
  <si>
    <t>AGENTE MUNICIPAL DE RANCHO NUEVO</t>
  </si>
  <si>
    <t>DANIEL CARRASCO CHAVEZ</t>
  </si>
  <si>
    <t>AGENTE MUNICIPAL DE SANTA ROSA</t>
  </si>
  <si>
    <t>J. JESUS ALCALA RAMIREZ</t>
  </si>
  <si>
    <t>AGENTE MUNICIPAL DE LA RUEDA</t>
  </si>
  <si>
    <t>DANIEL SAHAGUN GARCIA</t>
  </si>
  <si>
    <t>AGENTE MUNICIPAL DE LA VILLITA</t>
  </si>
  <si>
    <t>MACRINA PADILLA BARAJAS</t>
  </si>
  <si>
    <t>AGENTE MUNICIPAL DE GAVILAN EL PROGRESO</t>
  </si>
  <si>
    <t>MANUEL VAZQUEZ BRAMBILA</t>
  </si>
  <si>
    <t>SAUL GARCIA ANAYA</t>
  </si>
  <si>
    <t>DELEGADO MUNICIPAL DE SAN JOSE DE GRACIA</t>
  </si>
  <si>
    <t>MAXIMINO GUERRERO RODRIHUEZ</t>
  </si>
  <si>
    <t>AGENTE MUNICIPAL DE LA MILPILLA</t>
  </si>
  <si>
    <t>FRANCISCO JAVIER MARTINEZ MONTES</t>
  </si>
  <si>
    <t>DELEGADO MUNICIPAL DE CITALA</t>
  </si>
  <si>
    <t>RAMIRO HERRERA CRUZ</t>
  </si>
  <si>
    <t>AGENTE MUNICIPAL DE AGUA HONDA</t>
  </si>
  <si>
    <t>MARTHA MONTES HERNANDEZ</t>
  </si>
  <si>
    <t>AGENTE MUNICIPAL DE LA HIGUERA</t>
  </si>
  <si>
    <t>RAUL HARO CASTELLANOS</t>
  </si>
  <si>
    <t>AGENTE MUNICIPAL DE PUERTA DE RAMIREZ</t>
  </si>
  <si>
    <t>RAMIRO PADILLA MACIAS</t>
  </si>
  <si>
    <t>AGENTE MUNICIPAL DE CHAMACUERO</t>
  </si>
  <si>
    <t>JUANA MACHUCA MACIAS</t>
  </si>
  <si>
    <t>AGENTE MUNICIPAL DE SANTA FE</t>
  </si>
  <si>
    <t>JOSE FELIPE PONCE LOPEZ</t>
  </si>
  <si>
    <t>AGENTE MUNICIPAL DE TIERRA BLANCA</t>
  </si>
  <si>
    <t>GILDARDO MEZA QUIÑONES</t>
  </si>
  <si>
    <t>AGENTE MUNICIPAL DE TEHUANTEPEC</t>
  </si>
  <si>
    <t>NOMINA DEL 01 AL 15 DE NOVIEMBRE DE 2015</t>
  </si>
  <si>
    <t>ARMANDO CHAVEZ ZEPEDA</t>
  </si>
  <si>
    <t>JUAN RAMIREZ BAEZA</t>
  </si>
  <si>
    <t>EDGAR VARGAS MONTES</t>
  </si>
  <si>
    <t>JUEZ MUNICIPAL</t>
  </si>
  <si>
    <t>JOSE LUIS SEVILLA BARBOZA</t>
  </si>
  <si>
    <t>ANTONIO SANCHEZ NAVARRO</t>
  </si>
  <si>
    <t>MOSO</t>
  </si>
  <si>
    <t>FRANCIA KARINA HERNANDEZ GARCIA</t>
  </si>
  <si>
    <t>DOCTOR VESPERTINO</t>
  </si>
  <si>
    <t>LABORATORIO</t>
  </si>
  <si>
    <t>OLGA MARIA PONCE GOMEZ</t>
  </si>
  <si>
    <t>MAESTRA SANTA ROSA</t>
  </si>
  <si>
    <t>AMPARO LISVEHT HARO ENRIQUEZ</t>
  </si>
  <si>
    <t>MAESTRA EN PREESCOLAR PARAISO INFANTIL</t>
  </si>
  <si>
    <t>MARTIN ROJAS CHAVEZ</t>
  </si>
  <si>
    <t>DIFERENTES AREAS</t>
  </si>
  <si>
    <t>ENCARGADO DE CARCAMO SAN JOSE DE GRACIA</t>
  </si>
  <si>
    <t>CITLALI</t>
  </si>
  <si>
    <t>MARTHA CASTAÑEDA GONZALEZ</t>
  </si>
  <si>
    <t>MARIA DEL CARMEN CHAVEZ MORALES</t>
  </si>
  <si>
    <t>ASEO PLAZA SANTA ROSA</t>
  </si>
  <si>
    <t>DELIA ZEPEDA COVARRUBIAS</t>
  </si>
  <si>
    <t>Mensual</t>
  </si>
  <si>
    <t>NIÑERA EN JARDIN DE NIÑOS JOSE CLEMENTE OROZCO EN LA MILPILLA</t>
  </si>
  <si>
    <t>NORMA LARA GUTIERREZ</t>
  </si>
  <si>
    <t>INTENDENTE EN JARDIN DE NIÑOS JOSE CLEMENTE OROZCO EN LA MILPILLA</t>
  </si>
  <si>
    <t>MARIA ANET RODIGUEZ GRANADOS</t>
  </si>
  <si>
    <t>INTENDENTE EN PRIMARIA DONATO GUERRA EN LA MILPILLA</t>
  </si>
  <si>
    <t>CELINA CORONALE BARAJAS</t>
  </si>
  <si>
    <t>INTENDENTE EN TELESECUNDARIA MANUEL M DIEGUEZ EN LA MILPILLA</t>
  </si>
  <si>
    <t>SUSANA MATA LEAL</t>
  </si>
  <si>
    <t>PRIMARIA RAMON CORONA EN TIERRA BLANCA</t>
  </si>
  <si>
    <t>MARIA DE LOS ANGELES SERRANO ZACARIAS</t>
  </si>
  <si>
    <t>INTENDENTE EN JARDIN DE NIÑOS FELIX RAMOS TIERRA BLANCA</t>
  </si>
  <si>
    <t>INTENDENTE JARDIN DE NIÑOS AGUSTIN YAÑEZ EN TEHUANTEPEC</t>
  </si>
  <si>
    <t>INTENDENTE EN PRIMARIA JUSTO SIERRA EN TEHUANTEPEC</t>
  </si>
  <si>
    <t>ANA CECILIA MARIN DAVID</t>
  </si>
  <si>
    <t>BIBLIOTECARIA ESCUELA SEC TECNICA NO 135 EN CITALA</t>
  </si>
  <si>
    <t>CECILIA MONTES VARGAS</t>
  </si>
  <si>
    <t>INTENDENTE PRIMARIA EMILIANO ZAPATA EN CITALA</t>
  </si>
  <si>
    <t>ANGELICA GAMBOA GAMBOA</t>
  </si>
  <si>
    <t>INTENDENTE EN JARDIN DE NIÑOS LAZARO CARDENAS DEL RIO EN CITALA</t>
  </si>
  <si>
    <t>DULCE MARIA CHAVEZ HARO</t>
  </si>
  <si>
    <t>INTENDENTE EN JARDIN DE NIÑOS ZONTLI EN COL DEL GAVILAN</t>
  </si>
  <si>
    <t>GLORIA RODRIGUEZ GUDIÑO</t>
  </si>
  <si>
    <t>INTENDENTE EN PRIMARIA JOSEFA ORTIZ DE DOMINGUEZ EN COL DEL GAVILAN</t>
  </si>
  <si>
    <t>MONICA SANCHEZ BECERRA</t>
  </si>
  <si>
    <t>INTENDENTE JARDIN DE NIÑOS EMILIANO ZAPATA EN SAN JOSE DE GRACIA</t>
  </si>
  <si>
    <t>LAURA VARGAS NUÑEZ</t>
  </si>
  <si>
    <t>INTENDENTE EN JARDIN DE NIÑOS EMILIANO ZAPATA EN SAN JOSE DE GRACIA</t>
  </si>
  <si>
    <t>ELIDA GONZALEZ LOPEZ</t>
  </si>
  <si>
    <t>INTENDENTE EN PRIMARIA 20 DE NOVIEMBRE EN CHAMACUERO</t>
  </si>
  <si>
    <t>VIRGINIA VARGAS LOPEZ</t>
  </si>
  <si>
    <t>INTENDENTE EN JARDIN DE NIÑOS, NIÑOS HEROES EN CHAMACUERO</t>
  </si>
  <si>
    <t>INTENDENTE EN PRIMARIA AGUSTIN YAÑEZ EN TEOCUITATLAN</t>
  </si>
  <si>
    <t>INTENDENTE EN JARDIN DE NIÑOS SOR JUANA INES DE LA CRUZ EN TEOCUITATLAN</t>
  </si>
  <si>
    <t>INTENDENTE EN PRIMARIA VICENTE NEGRETE EN SAN JUAN CITALA</t>
  </si>
  <si>
    <t>MARIA ALEJANDRA NAVARRO MACIAS</t>
  </si>
  <si>
    <t>INTENDENTE EN JARDIN DE NIÑOS AMADO NERVO EN SAN JUAN CITALA</t>
  </si>
  <si>
    <t>RUTH LEANDRA BARRIENTOS SANCHEZ</t>
  </si>
  <si>
    <t>NIÑERA EN JARDIN DE NIÑOS MANUEL LOPEZ COTILLA EN TEOCUITATLAN</t>
  </si>
  <si>
    <t>MARIA SONIA RODRIGUEZ DELGADO</t>
  </si>
  <si>
    <t>INTENDENTE EN PRIMARIA 5 DE MAYO EN PUERTA DE CITALA</t>
  </si>
  <si>
    <t>INTENDENTE JARDIN DE NIÑOS 5 DE MAYO EN PUERTA DE CITALA</t>
  </si>
  <si>
    <t>LIZETH ZEPEDA VEGA</t>
  </si>
  <si>
    <t>INTENDENTE  EN JARDIN DE NIÑOS 5 DE MAYO EN PUERTA DE CITALA</t>
  </si>
  <si>
    <t>FILOMENA DELGADO MONTEJO</t>
  </si>
  <si>
    <t>INTENDENTE EN PRIMARIA JOSE MARIA MORELOS Y PAVON EN ATOTONILCO</t>
  </si>
  <si>
    <t xml:space="preserve">ANA LUISA TERRIQUEZ DELGADO </t>
  </si>
  <si>
    <t>INTENDENTE JARDIN DE NIÑOS DAVID ALFARO SIQUEIROS EN ATOTONILCO</t>
  </si>
  <si>
    <t>MARIA BERNARDA AGUIÑIGA ROMERO</t>
  </si>
  <si>
    <t>CELIA MARIA AZUCENA JIMENEZ</t>
  </si>
  <si>
    <t>NIÑERA EN JARDIN DE NIÑOS MANUEL LOPEZ COTILLA EN SANTA ROSA</t>
  </si>
  <si>
    <t>MARIA GUADALUPE OROZCO AVILA</t>
  </si>
  <si>
    <t>INTENDENTE EN PRIMARIA VICENTE GUERRERO EN RANCHO NUEVO</t>
  </si>
  <si>
    <t>DELCI MAGALI ZACARIAS HERNANDEZ</t>
  </si>
  <si>
    <t>INTENDENTE EN JARDIN DE NIÑOS LAZARO CARDENAS EN LOC. LAZARO CARDENAS</t>
  </si>
  <si>
    <t>CATHERINE MONTSERRAT MONTES GALVEZ</t>
  </si>
  <si>
    <t>INTENDENTE EN PRIMARIA LAZARO CARDENAS DEL RIO EN LAZARO CARDENAS</t>
  </si>
  <si>
    <t>APOYO A CUMINIDADES Y DELEGACIONES</t>
  </si>
  <si>
    <t>ENCARGADO DEL ASEO EN PLAZA DE ATOTONILCO</t>
  </si>
  <si>
    <t>ENCARGADO DE ASEO EN PLAZA DE TEHUANTEPE</t>
  </si>
  <si>
    <t>ENCARGADO DE ASEO EN PLAZA DE CITALA</t>
  </si>
  <si>
    <t>ENCARGADO DE ASEO EN PLAZA DE MILPILLAS</t>
  </si>
  <si>
    <t>INTENDENTE PLAZA DE LA DELEGACION DE CITALA</t>
  </si>
  <si>
    <t>ERNESTO OCHOA LOPEZ</t>
  </si>
  <si>
    <t>INTENDENTE EN CEMENTERIO DE SAN JOSE DE GRACIA</t>
  </si>
  <si>
    <t>FRANCISCO ARIAS MEZA</t>
  </si>
  <si>
    <t>ROSALIA GARCIA GARCIA</t>
  </si>
  <si>
    <t>INTENDENTE EN CHANCHA DE FUTBOL RAPIDO EN SAN JOSE DE GRACIA</t>
  </si>
  <si>
    <t>ALEJANDRA TORRES CHAVEZ</t>
  </si>
  <si>
    <t>INTENDENTE EN CENTRO DE SALUD DE LA DELEGACION DE SAN JOSE DE GRACIA</t>
  </si>
  <si>
    <t>INTENDENTE EN CANCHA DE FUTBOL DE DELACION DE SAN JOSE DE GRACIA</t>
  </si>
  <si>
    <t>DELEGADOS</t>
  </si>
  <si>
    <t>J GUADALUPE MONREAL SOTELO</t>
  </si>
  <si>
    <t>DELEGADO MUNICIPAL DE SAN JUAN CITALA</t>
  </si>
  <si>
    <t>AGENTES MUNICIPALES</t>
  </si>
  <si>
    <t>RAMON RODRIGUEZ  GARCIA</t>
  </si>
  <si>
    <t>ADAN TORRES RENTERIA</t>
  </si>
  <si>
    <t>JARDINERO EN LA LOCALIDAD DE CHAMACUERO</t>
  </si>
  <si>
    <t>MIGUEL RAMIREZ</t>
  </si>
  <si>
    <t>INTENDENTE EN PANTEON DE CITALA</t>
  </si>
  <si>
    <t>ELVA PEREZ MANZO</t>
  </si>
  <si>
    <t>ASEO EN PLAZA DE COLONIAS DEL GAVILA</t>
  </si>
  <si>
    <t>J GUADALUPE DE LA CRUZ LARA</t>
  </si>
  <si>
    <t>AMANDA MANZO CAMARENA</t>
  </si>
  <si>
    <t>ENCARGADO DE CARCAMO EN COL DEL GAVILAN</t>
  </si>
  <si>
    <t>AGENTE MUNICIPAL DE CUATEZQUITE</t>
  </si>
  <si>
    <t>FRANCISCO AQUINO GUDIÑO</t>
  </si>
  <si>
    <t>AGENTE MUNICIPAL DE COLONIAS DEL GAVILAN</t>
  </si>
  <si>
    <t>CONSUELO ZACARIAS RENTERIA</t>
  </si>
  <si>
    <t>AGENTE MUNICIPAL DE LAZARO CARDENAS</t>
  </si>
  <si>
    <t>ALEJANDRO BECERRA ORTIZ</t>
  </si>
  <si>
    <t>AGENTE MUNICIPAL DE HUEJOTITLAN</t>
  </si>
  <si>
    <t>LEOPOLDO VELASCO MANZO</t>
  </si>
  <si>
    <t>AGENTE MUNICIPAL DEL MALACATE</t>
  </si>
  <si>
    <t>MA DEL CARMEN GARCIA GALVEZ</t>
  </si>
  <si>
    <t>AGENTE MUNICIPAL DE TEPEHUAJE</t>
  </si>
  <si>
    <t>J LUIS RODRIGUEZ LEAL</t>
  </si>
  <si>
    <t>AGENTE MUNICIPAL DE PUERTA DE CITALA</t>
  </si>
  <si>
    <t>JUAN JOSE QUIÑONES DIAZ</t>
  </si>
  <si>
    <t>INTENDETE DE PLAZA DE LA COLONIA EMILIANO ZAPATA</t>
  </si>
  <si>
    <t>APOYO ESCUELAS</t>
  </si>
  <si>
    <t>APOYO CUMUNIDADES</t>
  </si>
  <si>
    <t>MAESTRO CASA DE LA CULTURA</t>
  </si>
  <si>
    <r>
      <t>o</t>
    </r>
    <r>
      <rPr>
        <b/>
        <sz val="18"/>
        <color indexed="10"/>
        <rFont val="Arial"/>
        <family val="2"/>
      </rPr>
      <t xml:space="preserve"> (A Favor)</t>
    </r>
  </si>
  <si>
    <t>JOSE MORENO TORRES</t>
  </si>
  <si>
    <t>GUADALUPE JACKELINE BARRAGAN ESCOTO</t>
  </si>
  <si>
    <t>INTENDENTE EN LA PRIMARIA IGNACIO ALLENDE DE LA RUEDA</t>
  </si>
  <si>
    <t>GUILLERMINA PADILLA SERRANO</t>
  </si>
  <si>
    <t>INTENDENTE EN ESCUELA PRIMARIA DE SANTA ROSA</t>
  </si>
  <si>
    <t>JAIRO GOVANNI SAHAGUN HARO</t>
  </si>
  <si>
    <t>MAESTRO DE COMPUTACION ESC PRIMARIA JOSEFA ORTIZ DE DOMINGUEZ COL DEL GAVILAN</t>
  </si>
  <si>
    <t>INTENDENTE DE PLAZA PRINCIPAL EN LA DELEGACION DE SAN JOSE DE GRACIA</t>
  </si>
  <si>
    <t>RESUMEN DE PAGO</t>
  </si>
  <si>
    <t>MARTHA ELENA ENCIZO AQUINO</t>
  </si>
  <si>
    <t>JHOANA YOSELIN GUERRERO GARCIA</t>
  </si>
  <si>
    <t>ENCARGADO DE ASEO EN LA UNIDAD DEPORTIVA DE LA MILPILLA</t>
  </si>
  <si>
    <t>ENCARGADO DEL CARCAMO EN LA LOCALIDAD DE LA MILPILLA</t>
  </si>
  <si>
    <t>SALVADOR FIGEROA GENTIL</t>
  </si>
  <si>
    <t>MARTHA SILVIA MACIAS MONTES</t>
  </si>
  <si>
    <t>ENCARGADA DE LA CASETA DE SEGURIDAD PUBLICA DE CITALA DEL TURNO MATUTINO</t>
  </si>
  <si>
    <t xml:space="preserve"> </t>
  </si>
  <si>
    <t>JESSENIA CORTEZ ANZALDO</t>
  </si>
  <si>
    <t>AUXILIAR EN JARDIN DE NIÑOS AGUSTIN YAÑEZ DE TEHUANTEPEC</t>
  </si>
  <si>
    <t>RITA GAMBOA BARRAGAN</t>
  </si>
  <si>
    <t>ENCARGADA DE LIMPIEZA EN CENTRO DE SALUD DE LA DELEGACION DE CITALA</t>
  </si>
  <si>
    <t>MIRIAM MEZA RAMIREZ</t>
  </si>
  <si>
    <t>MAESTRA EN EL JARDIN DE NIÑOS AGUSTIN YAÑEZ DE TEAHUANTEPEC</t>
  </si>
  <si>
    <t>MARIA TERESA VALENCIA LOPEZ</t>
  </si>
  <si>
    <t>TERESA DE JESUS FLORES BECERRA</t>
  </si>
  <si>
    <t>AUXILIAR DE SECRETARIA EN EL COLEGIO RAMON CORONA Y GUADALUPE</t>
  </si>
  <si>
    <t>ENCARGADA DE LIMPIEZA EN LA PLAZA DE LA LOCALIDAD DE HUEJOTITLAN</t>
  </si>
  <si>
    <t>MARIA SABINA RAMIREZ</t>
  </si>
  <si>
    <t>MARICRUZ TOSCANO GARCIA</t>
  </si>
  <si>
    <t>SARIBETH MONTES ANZALDO</t>
  </si>
  <si>
    <t>MARIA MAYTE GONZALEZ GOMEZ</t>
  </si>
  <si>
    <t>FONTANERA EN LA LOCALIDAD DE TEPEHUAJE</t>
  </si>
  <si>
    <t>APOYO MENSUAL A COMUNIDADES Y DELEGACIONES  30 DE JUNIO DE 2016</t>
  </si>
  <si>
    <t>APOYOS MENSUAL A ISTITUCIONES DE ENSEÑANZA 30 DE JUNIO DE 2016</t>
  </si>
  <si>
    <t>APOYO A DELEGADOS Y AGENTES MUNICIPALES 30 DE JUNIO DE 2016</t>
  </si>
</sst>
</file>

<file path=xl/styles.xml><?xml version="1.0" encoding="utf-8"?>
<styleSheet xmlns="http://schemas.openxmlformats.org/spreadsheetml/2006/main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  <numFmt numFmtId="171" formatCode="#,##0.000000"/>
    <numFmt numFmtId="172" formatCode="#,##0.000"/>
    <numFmt numFmtId="173" formatCode="#,##0.00;[Red]#,##0.00"/>
    <numFmt numFmtId="174" formatCode="#,##0.000_ ;[Red]\-#,##0.000\ "/>
    <numFmt numFmtId="175" formatCode="&quot;$&quot;#,##0.00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u/>
      <sz val="8"/>
      <color indexed="12"/>
      <name val="Arial"/>
      <family val="2"/>
    </font>
    <font>
      <b/>
      <i/>
      <sz val="12"/>
      <name val="Arial"/>
      <family val="2"/>
    </font>
    <font>
      <b/>
      <i/>
      <sz val="12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u/>
      <sz val="12"/>
      <color rgb="FF0070C0"/>
      <name val="Arial"/>
      <family val="2"/>
    </font>
    <font>
      <b/>
      <sz val="12"/>
      <color theme="4" tint="-0.249977111117893"/>
      <name val="Arial"/>
      <family val="2"/>
    </font>
    <font>
      <b/>
      <sz val="12"/>
      <color indexed="18"/>
      <name val="Verdana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color indexed="18"/>
      <name val="Verdana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9"/>
      <color indexed="12"/>
      <name val="Arial"/>
      <family val="2"/>
    </font>
    <font>
      <b/>
      <sz val="14"/>
      <color indexed="18"/>
      <name val="Arial"/>
      <family val="2"/>
    </font>
    <font>
      <sz val="11"/>
      <color theme="1"/>
      <name val="Arial"/>
      <family val="2"/>
    </font>
    <font>
      <b/>
      <sz val="10"/>
      <color indexed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name val="Arial"/>
      <family val="2"/>
    </font>
    <font>
      <b/>
      <sz val="18"/>
      <color indexed="18"/>
      <name val="Verdana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u/>
      <sz val="18"/>
      <color indexed="12"/>
      <name val="Arial"/>
      <family val="2"/>
    </font>
    <font>
      <b/>
      <sz val="18"/>
      <color rgb="FFFF0000"/>
      <name val="Arial"/>
      <family val="2"/>
    </font>
    <font>
      <b/>
      <u/>
      <sz val="12"/>
      <color indexed="12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696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5" fillId="0" borderId="0" xfId="4" applyNumberFormat="1" applyFont="1" applyProtection="1"/>
    <xf numFmtId="167" fontId="7" fillId="0" borderId="0" xfId="4" applyProtection="1"/>
    <xf numFmtId="4" fontId="5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167" fontId="7" fillId="2" borderId="0" xfId="4" applyFill="1" applyAlignment="1" applyProtection="1">
      <alignment horizontal="centerContinuous"/>
    </xf>
    <xf numFmtId="167" fontId="7" fillId="0" borderId="0" xfId="4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4" fontId="10" fillId="0" borderId="0" xfId="4" applyNumberFormat="1" applyFont="1" applyBorder="1" applyAlignment="1" applyProtection="1">
      <alignment horizontal="centerContinuous"/>
    </xf>
    <xf numFmtId="4" fontId="11" fillId="0" borderId="0" xfId="4" applyNumberFormat="1" applyFont="1" applyBorder="1" applyProtection="1"/>
    <xf numFmtId="0" fontId="1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4" fillId="0" borderId="0" xfId="4" applyNumberFormat="1" applyFont="1" applyBorder="1" applyAlignment="1" applyProtection="1">
      <alignment horizontal="left"/>
    </xf>
    <xf numFmtId="4" fontId="14" fillId="0" borderId="0" xfId="4" applyNumberFormat="1" applyFont="1" applyBorder="1" applyProtection="1"/>
    <xf numFmtId="0" fontId="15" fillId="0" borderId="0" xfId="0" applyFont="1" applyAlignment="1" applyProtection="1">
      <alignment horizontal="centerContinuous"/>
    </xf>
    <xf numFmtId="167" fontId="16" fillId="0" borderId="0" xfId="4" applyFont="1" applyAlignment="1" applyProtection="1">
      <alignment horizontal="centerContinuous"/>
    </xf>
    <xf numFmtId="167" fontId="12" fillId="0" borderId="0" xfId="4" applyFont="1" applyAlignment="1" applyProtection="1">
      <alignment horizontal="centerContinuous"/>
    </xf>
    <xf numFmtId="167" fontId="7" fillId="0" borderId="0" xfId="4" applyAlignment="1" applyProtection="1">
      <alignment horizontal="centerContinuous"/>
    </xf>
    <xf numFmtId="3" fontId="14" fillId="0" borderId="0" xfId="4" quotePrefix="1" applyNumberFormat="1" applyFont="1" applyBorder="1" applyAlignment="1" applyProtection="1">
      <alignment horizontal="fill"/>
    </xf>
    <xf numFmtId="0" fontId="18" fillId="0" borderId="0" xfId="0" applyFont="1" applyAlignment="1" applyProtection="1">
      <alignment horizontal="centerContinuous"/>
    </xf>
    <xf numFmtId="167" fontId="12" fillId="0" borderId="0" xfId="4" applyFont="1" applyProtection="1"/>
    <xf numFmtId="167" fontId="3" fillId="0" borderId="0" xfId="4" applyFont="1" applyAlignment="1" applyProtection="1">
      <alignment horizontal="centerContinuous"/>
    </xf>
    <xf numFmtId="167" fontId="5" fillId="0" borderId="0" xfId="4" applyFont="1" applyProtection="1"/>
    <xf numFmtId="167" fontId="5" fillId="0" borderId="0" xfId="4" applyFont="1" applyAlignment="1" applyProtection="1">
      <alignment horizontal="centerContinuous"/>
    </xf>
    <xf numFmtId="3" fontId="14" fillId="0" borderId="0" xfId="4" applyNumberFormat="1" applyFont="1" applyBorder="1" applyProtection="1"/>
    <xf numFmtId="167" fontId="17" fillId="0" borderId="0" xfId="4" applyFont="1" applyAlignment="1" applyProtection="1">
      <alignment horizontal="center"/>
    </xf>
    <xf numFmtId="167" fontId="17" fillId="0" borderId="0" xfId="4" applyFont="1" applyProtection="1"/>
    <xf numFmtId="167" fontId="14" fillId="0" borderId="0" xfId="4" applyFont="1" applyProtection="1"/>
    <xf numFmtId="4" fontId="14" fillId="0" borderId="0" xfId="4" applyNumberFormat="1" applyFont="1" applyProtection="1"/>
    <xf numFmtId="10" fontId="14" fillId="0" borderId="0" xfId="4" applyNumberFormat="1" applyFont="1" applyProtection="1"/>
    <xf numFmtId="9" fontId="14" fillId="0" borderId="0" xfId="4" applyNumberFormat="1" applyFont="1" applyProtection="1"/>
    <xf numFmtId="165" fontId="14" fillId="0" borderId="0" xfId="5" applyNumberFormat="1" applyFont="1" applyBorder="1" applyProtection="1"/>
    <xf numFmtId="4" fontId="14" fillId="0" borderId="0" xfId="4" applyNumberFormat="1" applyFont="1" applyBorder="1" applyAlignment="1" applyProtection="1">
      <alignment horizontal="left" vertical="top"/>
    </xf>
    <xf numFmtId="3" fontId="14" fillId="0" borderId="0" xfId="4" applyNumberFormat="1" applyFont="1" applyBorder="1" applyAlignment="1" applyProtection="1">
      <alignment vertical="top"/>
    </xf>
    <xf numFmtId="9" fontId="14" fillId="0" borderId="0" xfId="5" applyFont="1" applyBorder="1" applyProtection="1"/>
    <xf numFmtId="4" fontId="14" fillId="0" borderId="0" xfId="4" applyNumberFormat="1" applyFont="1" applyBorder="1" applyAlignment="1" applyProtection="1">
      <alignment vertical="top"/>
    </xf>
    <xf numFmtId="4" fontId="14" fillId="0" borderId="0" xfId="4" quotePrefix="1" applyNumberFormat="1" applyFont="1" applyBorder="1" applyAlignment="1" applyProtection="1">
      <alignment horizontal="center"/>
    </xf>
    <xf numFmtId="0" fontId="6" fillId="0" borderId="0" xfId="0" applyFont="1" applyProtection="1"/>
    <xf numFmtId="9" fontId="14" fillId="0" borderId="0" xfId="5" applyFont="1" applyProtection="1">
      <protection locked="0"/>
    </xf>
    <xf numFmtId="0" fontId="14" fillId="0" borderId="0" xfId="0" applyFont="1" applyProtection="1"/>
    <xf numFmtId="0" fontId="14" fillId="0" borderId="0" xfId="0" applyFont="1" applyBorder="1" applyProtection="1"/>
    <xf numFmtId="4" fontId="19" fillId="0" borderId="0" xfId="4" applyNumberFormat="1" applyFont="1" applyBorder="1" applyAlignment="1" applyProtection="1">
      <alignment horizontal="left"/>
    </xf>
    <xf numFmtId="4" fontId="17" fillId="0" borderId="0" xfId="4" applyNumberFormat="1" applyFont="1" applyBorder="1" applyAlignment="1" applyProtection="1">
      <alignment horizontal="left"/>
    </xf>
    <xf numFmtId="4" fontId="14" fillId="0" borderId="0" xfId="4" applyNumberFormat="1" applyFont="1" applyBorder="1" applyProtection="1">
      <protection locked="0"/>
    </xf>
    <xf numFmtId="0" fontId="23" fillId="0" borderId="0" xfId="0" applyFont="1" applyProtection="1"/>
    <xf numFmtId="0" fontId="22" fillId="0" borderId="0" xfId="0" applyFont="1" applyProtection="1"/>
    <xf numFmtId="0" fontId="24" fillId="0" borderId="0" xfId="0" applyFont="1" applyProtection="1"/>
    <xf numFmtId="0" fontId="2" fillId="0" borderId="0" xfId="0" applyFont="1" applyProtection="1"/>
    <xf numFmtId="4" fontId="5" fillId="0" borderId="0" xfId="4" applyNumberFormat="1" applyFont="1" applyBorder="1" applyProtection="1"/>
    <xf numFmtId="38" fontId="11" fillId="0" borderId="0" xfId="4" applyNumberFormat="1" applyFont="1" applyBorder="1" applyProtection="1"/>
    <xf numFmtId="168" fontId="5" fillId="0" borderId="0" xfId="3" applyNumberFormat="1" applyFont="1" applyBorder="1" applyProtection="1"/>
    <xf numFmtId="164" fontId="5" fillId="0" borderId="0" xfId="3" applyFont="1" applyProtection="1"/>
    <xf numFmtId="3" fontId="5" fillId="0" borderId="0" xfId="4" applyNumberFormat="1" applyFont="1" applyProtection="1"/>
    <xf numFmtId="4" fontId="18" fillId="3" borderId="0" xfId="4" applyNumberFormat="1" applyFont="1" applyFill="1" applyProtection="1"/>
    <xf numFmtId="4" fontId="5" fillId="3" borderId="0" xfId="4" applyNumberFormat="1" applyFont="1" applyFill="1" applyProtection="1"/>
    <xf numFmtId="167" fontId="4" fillId="0" borderId="0" xfId="4" applyFont="1" applyAlignment="1" applyProtection="1">
      <alignment horizontal="right"/>
    </xf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Protection="1"/>
    <xf numFmtId="0" fontId="27" fillId="0" borderId="1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fill"/>
    </xf>
    <xf numFmtId="0" fontId="27" fillId="0" borderId="0" xfId="0" applyFont="1" applyAlignment="1" applyProtection="1">
      <alignment horizontal="fill"/>
    </xf>
    <xf numFmtId="39" fontId="27" fillId="0" borderId="1" xfId="0" applyNumberFormat="1" applyFont="1" applyBorder="1" applyProtection="1"/>
    <xf numFmtId="10" fontId="27" fillId="0" borderId="1" xfId="0" applyNumberFormat="1" applyFont="1" applyBorder="1" applyProtection="1"/>
    <xf numFmtId="39" fontId="27" fillId="0" borderId="0" xfId="0" applyNumberFormat="1" applyFont="1" applyProtection="1"/>
    <xf numFmtId="39" fontId="27" fillId="0" borderId="2" xfId="0" applyNumberFormat="1" applyFont="1" applyBorder="1" applyProtection="1"/>
    <xf numFmtId="10" fontId="27" fillId="0" borderId="2" xfId="0" applyNumberFormat="1" applyFont="1" applyBorder="1" applyProtection="1"/>
    <xf numFmtId="0" fontId="27" fillId="0" borderId="2" xfId="0" applyFont="1" applyBorder="1" applyProtection="1"/>
    <xf numFmtId="0" fontId="29" fillId="0" borderId="0" xfId="0" applyFont="1" applyProtection="1"/>
    <xf numFmtId="0" fontId="28" fillId="0" borderId="0" xfId="0" applyFont="1" applyProtection="1">
      <protection locked="0"/>
    </xf>
    <xf numFmtId="39" fontId="27" fillId="0" borderId="1" xfId="0" applyNumberFormat="1" applyFont="1" applyBorder="1" applyProtection="1">
      <protection locked="0"/>
    </xf>
    <xf numFmtId="10" fontId="27" fillId="0" borderId="1" xfId="0" applyNumberFormat="1" applyFont="1" applyBorder="1" applyProtection="1">
      <protection locked="0"/>
    </xf>
    <xf numFmtId="39" fontId="27" fillId="0" borderId="1" xfId="0" applyNumberFormat="1" applyFont="1" applyFill="1" applyBorder="1" applyProtection="1">
      <protection locked="0"/>
    </xf>
    <xf numFmtId="0" fontId="30" fillId="0" borderId="3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3" fontId="4" fillId="0" borderId="1" xfId="2" applyFont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" fontId="5" fillId="0" borderId="0" xfId="2" applyNumberFormat="1" applyFont="1" applyBorder="1" applyAlignment="1" applyProtection="1">
      <alignment horizontal="right"/>
    </xf>
    <xf numFmtId="1" fontId="3" fillId="0" borderId="7" xfId="2" applyNumberFormat="1" applyFont="1" applyBorder="1" applyAlignment="1" applyProtection="1">
      <alignment horizontal="right"/>
    </xf>
    <xf numFmtId="1" fontId="3" fillId="0" borderId="0" xfId="2" applyNumberFormat="1" applyFont="1" applyBorder="1" applyAlignment="1" applyProtection="1">
      <alignment horizontal="right"/>
    </xf>
    <xf numFmtId="1" fontId="3" fillId="0" borderId="7" xfId="2" applyNumberFormat="1" applyFont="1" applyFill="1" applyBorder="1" applyAlignment="1" applyProtection="1">
      <alignment horizontal="right"/>
    </xf>
    <xf numFmtId="1" fontId="3" fillId="0" borderId="0" xfId="2" applyNumberFormat="1" applyFont="1" applyFill="1" applyBorder="1" applyAlignment="1" applyProtection="1">
      <alignment horizontal="right"/>
    </xf>
    <xf numFmtId="0" fontId="34" fillId="0" borderId="0" xfId="0" applyFont="1" applyProtection="1"/>
    <xf numFmtId="0" fontId="5" fillId="0" borderId="8" xfId="0" applyFont="1" applyBorder="1" applyAlignment="1" applyProtection="1">
      <alignment horizontal="center"/>
    </xf>
    <xf numFmtId="2" fontId="5" fillId="0" borderId="8" xfId="0" applyNumberFormat="1" applyFont="1" applyBorder="1" applyAlignment="1" applyProtection="1">
      <alignment horizontal="right"/>
    </xf>
    <xf numFmtId="1" fontId="5" fillId="0" borderId="8" xfId="2" applyNumberFormat="1" applyFont="1" applyBorder="1" applyAlignment="1" applyProtection="1">
      <alignment horizontal="right"/>
    </xf>
    <xf numFmtId="1" fontId="5" fillId="4" borderId="9" xfId="2" applyNumberFormat="1" applyFont="1" applyFill="1" applyBorder="1" applyAlignment="1" applyProtection="1">
      <alignment horizontal="right"/>
    </xf>
    <xf numFmtId="1" fontId="5" fillId="4" borderId="8" xfId="2" applyNumberFormat="1" applyFont="1" applyFill="1" applyBorder="1" applyAlignment="1" applyProtection="1">
      <alignment horizontal="right"/>
    </xf>
    <xf numFmtId="1" fontId="3" fillId="0" borderId="8" xfId="2" applyNumberFormat="1" applyFont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5" fillId="0" borderId="1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  <protection locked="0"/>
    </xf>
    <xf numFmtId="169" fontId="14" fillId="0" borderId="10" xfId="2" applyNumberFormat="1" applyFont="1" applyBorder="1" applyAlignment="1" applyProtection="1">
      <alignment horizontal="right"/>
      <protection locked="0"/>
    </xf>
    <xf numFmtId="169" fontId="14" fillId="0" borderId="10" xfId="2" applyNumberFormat="1" applyFont="1" applyBorder="1" applyAlignment="1" applyProtection="1">
      <alignment horizontal="right"/>
    </xf>
    <xf numFmtId="169" fontId="14" fillId="4" borderId="10" xfId="2" applyNumberFormat="1" applyFont="1" applyFill="1" applyBorder="1" applyAlignment="1" applyProtection="1">
      <alignment horizontal="right"/>
    </xf>
    <xf numFmtId="10" fontId="14" fillId="4" borderId="10" xfId="5" applyNumberFormat="1" applyFont="1" applyFill="1" applyBorder="1" applyAlignment="1" applyProtection="1">
      <alignment horizontal="right"/>
    </xf>
    <xf numFmtId="169" fontId="17" fillId="0" borderId="11" xfId="2" applyNumberFormat="1" applyFont="1" applyBorder="1" applyAlignment="1" applyProtection="1">
      <alignment horizontal="right"/>
    </xf>
    <xf numFmtId="0" fontId="2" fillId="0" borderId="8" xfId="0" applyFont="1" applyBorder="1" applyProtection="1"/>
    <xf numFmtId="0" fontId="30" fillId="0" borderId="1" xfId="0" applyFont="1" applyBorder="1" applyAlignment="1" applyProtection="1">
      <alignment horizontal="center"/>
    </xf>
    <xf numFmtId="169" fontId="14" fillId="0" borderId="10" xfId="2" applyNumberFormat="1" applyFont="1" applyFill="1" applyBorder="1" applyAlignment="1" applyProtection="1">
      <alignment horizontal="right"/>
    </xf>
    <xf numFmtId="1" fontId="5" fillId="0" borderId="8" xfId="2" applyNumberFormat="1" applyFont="1" applyFill="1" applyBorder="1" applyAlignment="1" applyProtection="1">
      <alignment horizontal="left"/>
    </xf>
    <xf numFmtId="4" fontId="9" fillId="2" borderId="0" xfId="4" applyNumberFormat="1" applyFont="1" applyFill="1" applyAlignment="1" applyProtection="1">
      <alignment horizontal="centerContinuous"/>
      <protection locked="0"/>
    </xf>
    <xf numFmtId="4" fontId="12" fillId="2" borderId="0" xfId="4" applyNumberFormat="1" applyFont="1" applyFill="1" applyAlignment="1" applyProtection="1">
      <alignment horizontal="centerContinuous"/>
    </xf>
    <xf numFmtId="49" fontId="37" fillId="2" borderId="0" xfId="4" applyNumberFormat="1" applyFont="1" applyFill="1" applyAlignment="1" applyProtection="1">
      <alignment horizontal="centerContinuous"/>
      <protection locked="0"/>
    </xf>
    <xf numFmtId="169" fontId="14" fillId="0" borderId="0" xfId="4" applyNumberFormat="1" applyFont="1" applyBorder="1" applyProtection="1">
      <protection locked="0"/>
    </xf>
    <xf numFmtId="169" fontId="14" fillId="0" borderId="0" xfId="4" quotePrefix="1" applyNumberFormat="1" applyFont="1" applyBorder="1" applyAlignment="1" applyProtection="1">
      <alignment horizontal="fill"/>
    </xf>
    <xf numFmtId="169" fontId="14" fillId="0" borderId="0" xfId="4" applyNumberFormat="1" applyFont="1" applyBorder="1" applyProtection="1"/>
    <xf numFmtId="10" fontId="14" fillId="0" borderId="0" xfId="5" applyNumberFormat="1" applyFont="1" applyBorder="1" applyProtection="1"/>
    <xf numFmtId="169" fontId="14" fillId="0" borderId="0" xfId="4" applyNumberFormat="1" applyFont="1" applyBorder="1" applyAlignment="1" applyProtection="1">
      <alignment vertical="top"/>
    </xf>
    <xf numFmtId="169" fontId="6" fillId="0" borderId="0" xfId="0" applyNumberFormat="1" applyFont="1" applyProtection="1"/>
    <xf numFmtId="169" fontId="7" fillId="0" borderId="0" xfId="4" applyNumberFormat="1" applyProtection="1"/>
    <xf numFmtId="169" fontId="19" fillId="0" borderId="18" xfId="3" applyNumberFormat="1" applyFont="1" applyBorder="1" applyProtection="1"/>
    <xf numFmtId="169" fontId="17" fillId="0" borderId="19" xfId="3" applyNumberFormat="1" applyFont="1" applyBorder="1" applyProtection="1"/>
    <xf numFmtId="2" fontId="14" fillId="0" borderId="0" xfId="2" applyNumberFormat="1" applyFont="1" applyFill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right"/>
    </xf>
    <xf numFmtId="169" fontId="17" fillId="0" borderId="1" xfId="2" applyNumberFormat="1" applyFont="1" applyBorder="1" applyAlignment="1" applyProtection="1">
      <alignment horizontal="right"/>
    </xf>
    <xf numFmtId="1" fontId="14" fillId="0" borderId="0" xfId="2" applyNumberFormat="1" applyFont="1" applyBorder="1" applyAlignment="1" applyProtection="1">
      <alignment horizontal="right"/>
    </xf>
    <xf numFmtId="169" fontId="17" fillId="4" borderId="11" xfId="2" applyNumberFormat="1" applyFont="1" applyFill="1" applyBorder="1" applyAlignment="1" applyProtection="1">
      <alignment horizontal="right"/>
    </xf>
    <xf numFmtId="10" fontId="5" fillId="4" borderId="8" xfId="2" applyNumberFormat="1" applyFont="1" applyFill="1" applyBorder="1" applyAlignment="1" applyProtection="1">
      <alignment horizontal="right"/>
    </xf>
    <xf numFmtId="4" fontId="6" fillId="0" borderId="0" xfId="4" applyNumberFormat="1" applyFont="1" applyProtection="1"/>
    <xf numFmtId="10" fontId="6" fillId="0" borderId="0" xfId="4" applyNumberFormat="1" applyFont="1" applyProtection="1"/>
    <xf numFmtId="170" fontId="14" fillId="0" borderId="10" xfId="2" applyNumberFormat="1" applyFont="1" applyBorder="1" applyAlignment="1" applyProtection="1">
      <alignment horizontal="right"/>
      <protection locked="0"/>
    </xf>
    <xf numFmtId="43" fontId="0" fillId="0" borderId="0" xfId="2" applyFont="1" applyProtection="1"/>
    <xf numFmtId="4" fontId="12" fillId="3" borderId="0" xfId="4" applyNumberFormat="1" applyFont="1" applyFill="1" applyProtection="1"/>
    <xf numFmtId="169" fontId="14" fillId="0" borderId="10" xfId="0" applyNumberFormat="1" applyFont="1" applyFill="1" applyBorder="1" applyAlignment="1" applyProtection="1">
      <alignment horizontal="right"/>
      <protection locked="0"/>
    </xf>
    <xf numFmtId="4" fontId="2" fillId="0" borderId="0" xfId="4" applyNumberFormat="1" applyFont="1" applyProtection="1"/>
    <xf numFmtId="0" fontId="38" fillId="0" borderId="0" xfId="0" applyFont="1" applyProtection="1"/>
    <xf numFmtId="0" fontId="33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33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1" fontId="4" fillId="0" borderId="3" xfId="0" applyNumberFormat="1" applyFont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" fontId="4" fillId="0" borderId="2" xfId="0" applyNumberFormat="1" applyFont="1" applyBorder="1" applyAlignment="1" applyProtection="1">
      <alignment horizontal="center"/>
    </xf>
    <xf numFmtId="1" fontId="30" fillId="0" borderId="1" xfId="0" applyNumberFormat="1" applyFont="1" applyBorder="1" applyAlignment="1" applyProtection="1">
      <alignment horizontal="center"/>
    </xf>
    <xf numFmtId="1" fontId="14" fillId="0" borderId="10" xfId="2" applyNumberFormat="1" applyFont="1" applyBorder="1" applyAlignment="1" applyProtection="1">
      <alignment horizontal="right"/>
    </xf>
    <xf numFmtId="1" fontId="17" fillId="0" borderId="11" xfId="2" applyNumberFormat="1" applyFont="1" applyBorder="1" applyAlignment="1" applyProtection="1">
      <alignment horizontal="right"/>
    </xf>
    <xf numFmtId="1" fontId="0" fillId="0" borderId="0" xfId="0" applyNumberFormat="1" applyProtection="1"/>
    <xf numFmtId="2" fontId="0" fillId="0" borderId="0" xfId="0" applyNumberFormat="1" applyProtection="1"/>
    <xf numFmtId="10" fontId="0" fillId="0" borderId="0" xfId="0" applyNumberFormat="1" applyProtection="1"/>
    <xf numFmtId="1" fontId="33" fillId="0" borderId="0" xfId="0" applyNumberFormat="1" applyFont="1" applyAlignment="1" applyProtection="1">
      <alignment horizontal="center"/>
    </xf>
    <xf numFmtId="1" fontId="32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2" fontId="0" fillId="5" borderId="0" xfId="0" applyNumberFormat="1" applyFill="1"/>
    <xf numFmtId="1" fontId="14" fillId="0" borderId="10" xfId="0" applyNumberFormat="1" applyFont="1" applyBorder="1" applyAlignment="1" applyProtection="1">
      <alignment horizontal="center"/>
    </xf>
    <xf numFmtId="1" fontId="2" fillId="0" borderId="10" xfId="0" applyNumberFormat="1" applyFont="1" applyBorder="1" applyAlignment="1" applyProtection="1">
      <alignment horizontal="left"/>
      <protection locked="0"/>
    </xf>
    <xf numFmtId="1" fontId="2" fillId="0" borderId="10" xfId="0" applyNumberFormat="1" applyFont="1" applyBorder="1" applyAlignment="1" applyProtection="1">
      <alignment horizontal="center" wrapText="1"/>
      <protection locked="0"/>
    </xf>
    <xf numFmtId="1" fontId="14" fillId="0" borderId="10" xfId="0" applyNumberFormat="1" applyFont="1" applyBorder="1" applyAlignment="1" applyProtection="1">
      <alignment horizontal="center"/>
      <protection locked="0"/>
    </xf>
    <xf numFmtId="1" fontId="5" fillId="0" borderId="8" xfId="0" applyNumberFormat="1" applyFont="1" applyBorder="1" applyAlignment="1" applyProtection="1">
      <alignment horizontal="center"/>
    </xf>
    <xf numFmtId="1" fontId="2" fillId="0" borderId="8" xfId="0" applyNumberFormat="1" applyFont="1" applyBorder="1" applyProtection="1"/>
    <xf numFmtId="1" fontId="5" fillId="0" borderId="8" xfId="0" applyNumberFormat="1" applyFont="1" applyBorder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69" fontId="0" fillId="0" borderId="0" xfId="0" applyNumberFormat="1" applyProtection="1"/>
    <xf numFmtId="0" fontId="39" fillId="0" borderId="10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3" fontId="2" fillId="0" borderId="4" xfId="2" applyFont="1" applyBorder="1" applyProtection="1"/>
    <xf numFmtId="43" fontId="2" fillId="0" borderId="4" xfId="2" applyFont="1" applyBorder="1" applyAlignment="1" applyProtection="1">
      <alignment horizontal="center"/>
    </xf>
    <xf numFmtId="0" fontId="0" fillId="0" borderId="4" xfId="2" applyNumberFormat="1" applyFont="1" applyBorder="1" applyAlignment="1" applyProtection="1">
      <alignment horizontal="center"/>
    </xf>
    <xf numFmtId="4" fontId="17" fillId="0" borderId="11" xfId="2" applyNumberFormat="1" applyFont="1" applyBorder="1" applyAlignment="1" applyProtection="1">
      <alignment horizontal="right"/>
    </xf>
    <xf numFmtId="4" fontId="17" fillId="0" borderId="1" xfId="2" applyNumberFormat="1" applyFont="1" applyBorder="1" applyAlignment="1" applyProtection="1">
      <alignment horizontal="right"/>
    </xf>
    <xf numFmtId="4" fontId="17" fillId="4" borderId="11" xfId="2" applyNumberFormat="1" applyFont="1" applyFill="1" applyBorder="1" applyAlignment="1" applyProtection="1">
      <alignment horizontal="right"/>
    </xf>
    <xf numFmtId="2" fontId="17" fillId="0" borderId="11" xfId="2" applyNumberFormat="1" applyFont="1" applyBorder="1" applyAlignment="1" applyProtection="1">
      <alignment horizontal="right"/>
    </xf>
    <xf numFmtId="2" fontId="14" fillId="0" borderId="10" xfId="2" applyNumberFormat="1" applyFont="1" applyBorder="1" applyAlignment="1" applyProtection="1">
      <alignment horizontal="right"/>
    </xf>
    <xf numFmtId="2" fontId="14" fillId="0" borderId="0" xfId="2" applyNumberFormat="1" applyFont="1" applyBorder="1" applyAlignment="1" applyProtection="1">
      <alignment horizontal="right"/>
    </xf>
    <xf numFmtId="2" fontId="14" fillId="4" borderId="10" xfId="2" applyNumberFormat="1" applyFont="1" applyFill="1" applyBorder="1" applyAlignment="1" applyProtection="1">
      <alignment horizontal="right"/>
    </xf>
    <xf numFmtId="2" fontId="14" fillId="4" borderId="10" xfId="5" applyNumberFormat="1" applyFont="1" applyFill="1" applyBorder="1" applyAlignment="1" applyProtection="1">
      <alignment horizontal="right"/>
    </xf>
    <xf numFmtId="2" fontId="14" fillId="0" borderId="10" xfId="2" applyNumberFormat="1" applyFont="1" applyBorder="1" applyAlignment="1" applyProtection="1">
      <alignment horizontal="right"/>
      <protection locked="0"/>
    </xf>
    <xf numFmtId="2" fontId="5" fillId="0" borderId="8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2" fontId="5" fillId="4" borderId="9" xfId="2" applyNumberFormat="1" applyFont="1" applyFill="1" applyBorder="1" applyAlignment="1" applyProtection="1">
      <alignment horizontal="right"/>
    </xf>
    <xf numFmtId="2" fontId="5" fillId="4" borderId="8" xfId="2" applyNumberFormat="1" applyFont="1" applyFill="1" applyBorder="1" applyAlignment="1" applyProtection="1">
      <alignment horizontal="right"/>
    </xf>
    <xf numFmtId="2" fontId="5" fillId="0" borderId="0" xfId="2" applyNumberFormat="1" applyFont="1" applyFill="1" applyBorder="1" applyAlignment="1" applyProtection="1">
      <alignment horizontal="right"/>
    </xf>
    <xf numFmtId="2" fontId="3" fillId="0" borderId="8" xfId="2" applyNumberFormat="1" applyFont="1" applyBorder="1" applyAlignment="1" applyProtection="1">
      <alignment horizontal="right"/>
    </xf>
    <xf numFmtId="2" fontId="3" fillId="0" borderId="7" xfId="2" applyNumberFormat="1" applyFont="1" applyBorder="1" applyAlignment="1" applyProtection="1">
      <alignment horizontal="right"/>
    </xf>
    <xf numFmtId="2" fontId="3" fillId="0" borderId="0" xfId="2" applyNumberFormat="1" applyFont="1" applyBorder="1" applyAlignment="1" applyProtection="1">
      <alignment horizontal="right"/>
    </xf>
    <xf numFmtId="2" fontId="3" fillId="0" borderId="7" xfId="2" applyNumberFormat="1" applyFont="1" applyFill="1" applyBorder="1" applyAlignment="1" applyProtection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7" fillId="0" borderId="1" xfId="2" applyNumberFormat="1" applyFont="1" applyBorder="1" applyAlignment="1" applyProtection="1">
      <alignment horizontal="right"/>
    </xf>
    <xf numFmtId="2" fontId="17" fillId="4" borderId="11" xfId="2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/>
    </xf>
    <xf numFmtId="4" fontId="4" fillId="4" borderId="1" xfId="0" applyNumberFormat="1" applyFont="1" applyFill="1" applyBorder="1" applyAlignment="1" applyProtection="1">
      <alignment horizontal="center"/>
    </xf>
    <xf numFmtId="4" fontId="4" fillId="4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4" fontId="30" fillId="0" borderId="1" xfId="0" applyNumberFormat="1" applyFont="1" applyBorder="1" applyAlignment="1" applyProtection="1">
      <alignment horizontal="center"/>
    </xf>
    <xf numFmtId="4" fontId="14" fillId="0" borderId="10" xfId="2" applyNumberFormat="1" applyFont="1" applyBorder="1" applyAlignment="1" applyProtection="1">
      <alignment horizontal="right"/>
    </xf>
    <xf numFmtId="4" fontId="14" fillId="0" borderId="0" xfId="2" applyNumberFormat="1" applyFont="1" applyBorder="1" applyAlignment="1" applyProtection="1">
      <alignment horizontal="right"/>
    </xf>
    <xf numFmtId="4" fontId="14" fillId="4" borderId="10" xfId="2" applyNumberFormat="1" applyFont="1" applyFill="1" applyBorder="1" applyAlignment="1" applyProtection="1">
      <alignment horizontal="right"/>
    </xf>
    <xf numFmtId="4" fontId="14" fillId="4" borderId="10" xfId="5" applyNumberFormat="1" applyFont="1" applyFill="1" applyBorder="1" applyAlignment="1" applyProtection="1">
      <alignment horizontal="right"/>
    </xf>
    <xf numFmtId="4" fontId="14" fillId="0" borderId="0" xfId="2" applyNumberFormat="1" applyFont="1" applyFill="1" applyBorder="1" applyAlignment="1" applyProtection="1">
      <alignment horizontal="right"/>
    </xf>
    <xf numFmtId="4" fontId="14" fillId="0" borderId="10" xfId="2" applyNumberFormat="1" applyFont="1" applyBorder="1" applyAlignment="1" applyProtection="1">
      <alignment horizontal="right"/>
      <protection locked="0"/>
    </xf>
    <xf numFmtId="4" fontId="5" fillId="0" borderId="8" xfId="2" applyNumberFormat="1" applyFont="1" applyBorder="1" applyAlignment="1" applyProtection="1">
      <alignment horizontal="right"/>
    </xf>
    <xf numFmtId="4" fontId="5" fillId="0" borderId="0" xfId="2" applyNumberFormat="1" applyFont="1" applyBorder="1" applyAlignment="1" applyProtection="1">
      <alignment horizontal="right"/>
    </xf>
    <xf numFmtId="4" fontId="5" fillId="4" borderId="9" xfId="2" applyNumberFormat="1" applyFont="1" applyFill="1" applyBorder="1" applyAlignment="1" applyProtection="1">
      <alignment horizontal="right"/>
    </xf>
    <xf numFmtId="4" fontId="5" fillId="4" borderId="8" xfId="2" applyNumberFormat="1" applyFont="1" applyFill="1" applyBorder="1" applyAlignment="1" applyProtection="1">
      <alignment horizontal="right"/>
    </xf>
    <xf numFmtId="4" fontId="5" fillId="0" borderId="0" xfId="2" applyNumberFormat="1" applyFont="1" applyFill="1" applyBorder="1" applyAlignment="1" applyProtection="1">
      <alignment horizontal="right"/>
    </xf>
    <xf numFmtId="4" fontId="3" fillId="0" borderId="8" xfId="2" applyNumberFormat="1" applyFont="1" applyBorder="1" applyAlignment="1" applyProtection="1">
      <alignment horizontal="right"/>
    </xf>
    <xf numFmtId="4" fontId="3" fillId="0" borderId="7" xfId="2" applyNumberFormat="1" applyFont="1" applyBorder="1" applyAlignment="1" applyProtection="1">
      <alignment horizontal="right"/>
    </xf>
    <xf numFmtId="4" fontId="3" fillId="0" borderId="0" xfId="2" applyNumberFormat="1" applyFont="1" applyBorder="1" applyAlignment="1" applyProtection="1">
      <alignment horizontal="right"/>
    </xf>
    <xf numFmtId="4" fontId="3" fillId="0" borderId="7" xfId="2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 applyProtection="1">
      <alignment horizontal="right"/>
    </xf>
    <xf numFmtId="4" fontId="0" fillId="0" borderId="0" xfId="0" applyNumberFormat="1" applyProtection="1"/>
    <xf numFmtId="171" fontId="0" fillId="0" borderId="0" xfId="0" applyNumberFormat="1" applyProtection="1"/>
    <xf numFmtId="172" fontId="14" fillId="0" borderId="10" xfId="2" applyNumberFormat="1" applyFont="1" applyBorder="1" applyAlignment="1" applyProtection="1">
      <alignment horizontal="right"/>
    </xf>
    <xf numFmtId="173" fontId="17" fillId="0" borderId="11" xfId="2" applyNumberFormat="1" applyFont="1" applyBorder="1" applyAlignment="1" applyProtection="1">
      <alignment horizontal="center" vertical="center" wrapText="1"/>
    </xf>
    <xf numFmtId="174" fontId="14" fillId="0" borderId="10" xfId="2" applyNumberFormat="1" applyFont="1" applyBorder="1" applyAlignment="1" applyProtection="1">
      <alignment horizontal="right"/>
    </xf>
    <xf numFmtId="4" fontId="0" fillId="0" borderId="0" xfId="9" applyNumberFormat="1" applyFont="1"/>
    <xf numFmtId="44" fontId="3" fillId="0" borderId="0" xfId="0" applyNumberFormat="1" applyFont="1"/>
    <xf numFmtId="44" fontId="3" fillId="0" borderId="0" xfId="9" applyFont="1"/>
    <xf numFmtId="169" fontId="6" fillId="0" borderId="10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1" fontId="14" fillId="0" borderId="10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169" fontId="14" fillId="0" borderId="10" xfId="0" applyNumberFormat="1" applyFont="1" applyFill="1" applyBorder="1" applyAlignment="1" applyProtection="1">
      <alignment horizontal="right" vertical="center"/>
      <protection locked="0"/>
    </xf>
    <xf numFmtId="169" fontId="14" fillId="0" borderId="10" xfId="2" applyNumberFormat="1" applyFont="1" applyFill="1" applyBorder="1" applyAlignment="1" applyProtection="1">
      <alignment horizontal="right" vertical="center"/>
    </xf>
    <xf numFmtId="169" fontId="14" fillId="0" borderId="10" xfId="2" applyNumberFormat="1" applyFont="1" applyBorder="1" applyAlignment="1" applyProtection="1">
      <alignment horizontal="right" vertical="center"/>
      <protection locked="0"/>
    </xf>
    <xf numFmtId="2" fontId="14" fillId="0" borderId="10" xfId="2" applyNumberFormat="1" applyFont="1" applyBorder="1" applyAlignment="1" applyProtection="1">
      <alignment horizontal="right" vertical="center"/>
    </xf>
    <xf numFmtId="2" fontId="14" fillId="0" borderId="0" xfId="2" applyNumberFormat="1" applyFont="1" applyBorder="1" applyAlignment="1" applyProtection="1">
      <alignment horizontal="right" vertical="center"/>
    </xf>
    <xf numFmtId="2" fontId="14" fillId="4" borderId="10" xfId="2" applyNumberFormat="1" applyFont="1" applyFill="1" applyBorder="1" applyAlignment="1" applyProtection="1">
      <alignment horizontal="right" vertical="center"/>
    </xf>
    <xf numFmtId="2" fontId="14" fillId="4" borderId="10" xfId="5" applyNumberFormat="1" applyFont="1" applyFill="1" applyBorder="1" applyAlignment="1" applyProtection="1">
      <alignment horizontal="right" vertical="center"/>
    </xf>
    <xf numFmtId="2" fontId="14" fillId="0" borderId="0" xfId="2" applyNumberFormat="1" applyFont="1" applyFill="1" applyBorder="1" applyAlignment="1" applyProtection="1">
      <alignment horizontal="right" vertical="center"/>
    </xf>
    <xf numFmtId="2" fontId="14" fillId="0" borderId="10" xfId="2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center"/>
    </xf>
    <xf numFmtId="169" fontId="14" fillId="0" borderId="1" xfId="0" applyNumberFormat="1" applyFont="1" applyFill="1" applyBorder="1" applyAlignment="1" applyProtection="1">
      <alignment horizontal="right"/>
      <protection locked="0"/>
    </xf>
    <xf numFmtId="169" fontId="14" fillId="0" borderId="1" xfId="2" applyNumberFormat="1" applyFont="1" applyFill="1" applyBorder="1" applyAlignment="1" applyProtection="1">
      <alignment horizontal="right"/>
    </xf>
    <xf numFmtId="169" fontId="14" fillId="0" borderId="1" xfId="2" applyNumberFormat="1" applyFont="1" applyBorder="1" applyAlignment="1" applyProtection="1">
      <alignment horizontal="right"/>
      <protection locked="0"/>
    </xf>
    <xf numFmtId="169" fontId="14" fillId="0" borderId="1" xfId="2" applyNumberFormat="1" applyFont="1" applyBorder="1" applyAlignment="1" applyProtection="1">
      <alignment horizontal="right"/>
    </xf>
    <xf numFmtId="4" fontId="14" fillId="0" borderId="1" xfId="2" applyNumberFormat="1" applyFont="1" applyBorder="1" applyAlignment="1" applyProtection="1">
      <alignment horizontal="right"/>
    </xf>
    <xf numFmtId="4" fontId="14" fillId="4" borderId="1" xfId="2" applyNumberFormat="1" applyFont="1" applyFill="1" applyBorder="1" applyAlignment="1" applyProtection="1">
      <alignment horizontal="right"/>
    </xf>
    <xf numFmtId="4" fontId="14" fillId="4" borderId="1" xfId="5" applyNumberFormat="1" applyFont="1" applyFill="1" applyBorder="1" applyAlignment="1" applyProtection="1">
      <alignment horizontal="right"/>
    </xf>
    <xf numFmtId="4" fontId="14" fillId="0" borderId="1" xfId="2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5" borderId="10" xfId="0" applyFont="1" applyFill="1" applyBorder="1" applyAlignment="1" applyProtection="1">
      <alignment horizontal="left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169" fontId="14" fillId="5" borderId="10" xfId="0" applyNumberFormat="1" applyFont="1" applyFill="1" applyBorder="1" applyAlignment="1" applyProtection="1">
      <alignment horizontal="right"/>
      <protection locked="0"/>
    </xf>
    <xf numFmtId="169" fontId="14" fillId="5" borderId="10" xfId="2" applyNumberFormat="1" applyFont="1" applyFill="1" applyBorder="1" applyAlignment="1" applyProtection="1">
      <alignment horizontal="right"/>
    </xf>
    <xf numFmtId="169" fontId="14" fillId="5" borderId="10" xfId="2" applyNumberFormat="1" applyFont="1" applyFill="1" applyBorder="1" applyAlignment="1" applyProtection="1">
      <alignment horizontal="right"/>
      <protection locked="0"/>
    </xf>
    <xf numFmtId="0" fontId="2" fillId="5" borderId="10" xfId="0" applyFont="1" applyFill="1" applyBorder="1" applyAlignment="1" applyProtection="1">
      <alignment horizontal="center" wrapText="1"/>
      <protection locked="0"/>
    </xf>
    <xf numFmtId="2" fontId="14" fillId="5" borderId="0" xfId="2" applyNumberFormat="1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" fontId="14" fillId="5" borderId="0" xfId="2" applyNumberFormat="1" applyFont="1" applyFill="1" applyBorder="1" applyAlignment="1" applyProtection="1">
      <alignment horizontal="right"/>
    </xf>
    <xf numFmtId="10" fontId="14" fillId="5" borderId="10" xfId="5" applyNumberFormat="1" applyFont="1" applyFill="1" applyBorder="1" applyAlignment="1" applyProtection="1">
      <alignment horizontal="right"/>
    </xf>
    <xf numFmtId="170" fontId="14" fillId="5" borderId="10" xfId="2" applyNumberFormat="1" applyFont="1" applyFill="1" applyBorder="1" applyAlignment="1" applyProtection="1">
      <alignment horizontal="right"/>
      <protection locked="0"/>
    </xf>
    <xf numFmtId="0" fontId="14" fillId="5" borderId="10" xfId="0" applyFont="1" applyFill="1" applyBorder="1" applyAlignment="1" applyProtection="1">
      <alignment horizontal="center"/>
    </xf>
    <xf numFmtId="174" fontId="14" fillId="5" borderId="10" xfId="2" applyNumberFormat="1" applyFont="1" applyFill="1" applyBorder="1" applyAlignment="1" applyProtection="1">
      <alignment horizontal="right"/>
    </xf>
    <xf numFmtId="169" fontId="14" fillId="5" borderId="1" xfId="2" applyNumberFormat="1" applyFont="1" applyFill="1" applyBorder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9" fontId="11" fillId="0" borderId="10" xfId="0" applyNumberFormat="1" applyFont="1" applyFill="1" applyBorder="1" applyAlignment="1" applyProtection="1">
      <alignment horizontal="right"/>
      <protection locked="0"/>
    </xf>
    <xf numFmtId="169" fontId="11" fillId="0" borderId="10" xfId="2" applyNumberFormat="1" applyFont="1" applyFill="1" applyBorder="1" applyAlignment="1" applyProtection="1">
      <alignment horizontal="right"/>
    </xf>
    <xf numFmtId="169" fontId="11" fillId="0" borderId="10" xfId="2" applyNumberFormat="1" applyFont="1" applyBorder="1" applyAlignment="1" applyProtection="1">
      <alignment horizontal="right"/>
      <protection locked="0"/>
    </xf>
    <xf numFmtId="4" fontId="11" fillId="0" borderId="10" xfId="2" applyNumberFormat="1" applyFont="1" applyBorder="1" applyAlignment="1" applyProtection="1">
      <alignment horizontal="right"/>
    </xf>
    <xf numFmtId="4" fontId="11" fillId="0" borderId="0" xfId="2" applyNumberFormat="1" applyFont="1" applyBorder="1" applyAlignment="1" applyProtection="1">
      <alignment horizontal="right"/>
    </xf>
    <xf numFmtId="4" fontId="11" fillId="4" borderId="10" xfId="2" applyNumberFormat="1" applyFont="1" applyFill="1" applyBorder="1" applyAlignment="1" applyProtection="1">
      <alignment horizontal="right"/>
    </xf>
    <xf numFmtId="4" fontId="11" fillId="4" borderId="10" xfId="5" applyNumberFormat="1" applyFont="1" applyFill="1" applyBorder="1" applyAlignment="1" applyProtection="1">
      <alignment horizontal="right"/>
    </xf>
    <xf numFmtId="4" fontId="11" fillId="0" borderId="0" xfId="2" applyNumberFormat="1" applyFont="1" applyFill="1" applyBorder="1" applyAlignment="1" applyProtection="1">
      <alignment horizontal="right"/>
    </xf>
    <xf numFmtId="4" fontId="11" fillId="0" borderId="10" xfId="2" applyNumberFormat="1" applyFont="1" applyBorder="1" applyAlignment="1" applyProtection="1">
      <alignment horizontal="right"/>
      <protection locked="0"/>
    </xf>
    <xf numFmtId="0" fontId="11" fillId="6" borderId="10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</xf>
    <xf numFmtId="0" fontId="41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4" fontId="12" fillId="0" borderId="1" xfId="0" applyNumberFormat="1" applyFont="1" applyBorder="1" applyAlignment="1" applyProtection="1">
      <alignment horizontal="center"/>
    </xf>
    <xf numFmtId="4" fontId="12" fillId="0" borderId="0" xfId="0" applyNumberFormat="1" applyFont="1" applyBorder="1" applyAlignment="1" applyProtection="1">
      <alignment horizontal="center"/>
    </xf>
    <xf numFmtId="4" fontId="12" fillId="4" borderId="1" xfId="0" applyNumberFormat="1" applyFont="1" applyFill="1" applyBorder="1" applyAlignment="1" applyProtection="1">
      <alignment horizontal="center"/>
    </xf>
    <xf numFmtId="4" fontId="12" fillId="4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4" fontId="11" fillId="0" borderId="1" xfId="0" applyNumberFormat="1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8" xfId="0" applyFont="1" applyBorder="1" applyProtection="1"/>
    <xf numFmtId="2" fontId="11" fillId="0" borderId="8" xfId="0" applyNumberFormat="1" applyFont="1" applyBorder="1" applyAlignment="1" applyProtection="1">
      <alignment horizontal="right"/>
    </xf>
    <xf numFmtId="1" fontId="11" fillId="0" borderId="8" xfId="2" applyNumberFormat="1" applyFont="1" applyFill="1" applyBorder="1" applyAlignment="1" applyProtection="1">
      <alignment horizontal="left"/>
    </xf>
    <xf numFmtId="1" fontId="11" fillId="0" borderId="8" xfId="2" applyNumberFormat="1" applyFont="1" applyBorder="1" applyAlignment="1" applyProtection="1">
      <alignment horizontal="right"/>
    </xf>
    <xf numFmtId="4" fontId="11" fillId="0" borderId="8" xfId="2" applyNumberFormat="1" applyFont="1" applyBorder="1" applyAlignment="1" applyProtection="1">
      <alignment horizontal="right"/>
    </xf>
    <xf numFmtId="4" fontId="11" fillId="4" borderId="9" xfId="2" applyNumberFormat="1" applyFont="1" applyFill="1" applyBorder="1" applyAlignment="1" applyProtection="1">
      <alignment horizontal="right"/>
    </xf>
    <xf numFmtId="4" fontId="11" fillId="4" borderId="8" xfId="2" applyNumberFormat="1" applyFont="1" applyFill="1" applyBorder="1" applyAlignment="1" applyProtection="1">
      <alignment horizontal="right"/>
    </xf>
    <xf numFmtId="4" fontId="12" fillId="0" borderId="8" xfId="2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1" fontId="12" fillId="0" borderId="7" xfId="2" applyNumberFormat="1" applyFont="1" applyBorder="1" applyAlignment="1" applyProtection="1">
      <alignment horizontal="right"/>
    </xf>
    <xf numFmtId="4" fontId="12" fillId="0" borderId="7" xfId="2" applyNumberFormat="1" applyFont="1" applyBorder="1" applyAlignment="1" applyProtection="1">
      <alignment horizontal="right"/>
    </xf>
    <xf numFmtId="4" fontId="12" fillId="0" borderId="0" xfId="2" applyNumberFormat="1" applyFont="1" applyBorder="1" applyAlignment="1" applyProtection="1">
      <alignment horizontal="right"/>
    </xf>
    <xf numFmtId="4" fontId="12" fillId="0" borderId="7" xfId="2" applyNumberFormat="1" applyFont="1" applyFill="1" applyBorder="1" applyAlignment="1" applyProtection="1">
      <alignment horizontal="right"/>
    </xf>
    <xf numFmtId="4" fontId="12" fillId="0" borderId="0" xfId="2" applyNumberFormat="1" applyFont="1" applyFill="1" applyBorder="1" applyAlignment="1" applyProtection="1">
      <alignment horizontal="right"/>
    </xf>
    <xf numFmtId="169" fontId="12" fillId="0" borderId="11" xfId="2" applyNumberFormat="1" applyFont="1" applyBorder="1" applyAlignment="1" applyProtection="1">
      <alignment horizontal="right"/>
    </xf>
    <xf numFmtId="4" fontId="12" fillId="0" borderId="11" xfId="2" applyNumberFormat="1" applyFont="1" applyBorder="1" applyAlignment="1" applyProtection="1">
      <alignment horizontal="right"/>
    </xf>
    <xf numFmtId="4" fontId="12" fillId="0" borderId="1" xfId="2" applyNumberFormat="1" applyFont="1" applyBorder="1" applyAlignment="1" applyProtection="1">
      <alignment horizontal="right"/>
    </xf>
    <xf numFmtId="4" fontId="12" fillId="4" borderId="11" xfId="2" applyNumberFormat="1" applyFont="1" applyFill="1" applyBorder="1" applyAlignment="1" applyProtection="1">
      <alignment horizontal="right"/>
    </xf>
    <xf numFmtId="0" fontId="11" fillId="0" borderId="0" xfId="0" applyFont="1" applyProtection="1"/>
    <xf numFmtId="1" fontId="11" fillId="0" borderId="0" xfId="0" applyNumberFormat="1" applyFont="1" applyProtection="1"/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11" fillId="0" borderId="3" xfId="0" applyFont="1" applyBorder="1" applyProtection="1"/>
    <xf numFmtId="0" fontId="12" fillId="0" borderId="3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"/>
    </xf>
    <xf numFmtId="0" fontId="42" fillId="0" borderId="1" xfId="0" applyFont="1" applyBorder="1" applyAlignment="1" applyProtection="1">
      <alignment horizontal="center" vertical="center"/>
    </xf>
    <xf numFmtId="43" fontId="12" fillId="0" borderId="1" xfId="2" applyFont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1" fontId="12" fillId="0" borderId="1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42" fillId="0" borderId="2" xfId="0" applyFont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/>
    </xf>
    <xf numFmtId="0" fontId="12" fillId="4" borderId="5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1" fontId="12" fillId="0" borderId="2" xfId="0" applyNumberFormat="1" applyFont="1" applyBorder="1" applyAlignment="1" applyProtection="1">
      <alignment horizontal="center"/>
    </xf>
    <xf numFmtId="0" fontId="45" fillId="0" borderId="0" xfId="0" applyFont="1" applyProtection="1"/>
    <xf numFmtId="0" fontId="45" fillId="0" borderId="0" xfId="0" applyFont="1"/>
    <xf numFmtId="0" fontId="46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center"/>
      <protection locked="0"/>
    </xf>
    <xf numFmtId="0" fontId="45" fillId="0" borderId="3" xfId="0" applyFont="1" applyBorder="1" applyProtection="1"/>
    <xf numFmtId="0" fontId="47" fillId="0" borderId="3" xfId="0" applyFont="1" applyBorder="1" applyAlignment="1" applyProtection="1">
      <alignment horizontal="center"/>
    </xf>
    <xf numFmtId="0" fontId="47" fillId="0" borderId="0" xfId="0" applyFont="1" applyBorder="1" applyAlignment="1" applyProtection="1">
      <alignment horizontal="center"/>
    </xf>
    <xf numFmtId="0" fontId="47" fillId="4" borderId="3" xfId="0" applyFont="1" applyFill="1" applyBorder="1" applyAlignment="1" applyProtection="1">
      <alignment horizontal="center"/>
    </xf>
    <xf numFmtId="0" fontId="47" fillId="4" borderId="4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/>
    </xf>
    <xf numFmtId="0" fontId="47" fillId="0" borderId="1" xfId="0" applyFont="1" applyBorder="1" applyAlignment="1" applyProtection="1">
      <alignment horizontal="center"/>
    </xf>
    <xf numFmtId="43" fontId="47" fillId="0" borderId="1" xfId="2" applyFont="1" applyBorder="1" applyAlignment="1" applyProtection="1">
      <alignment horizontal="center"/>
    </xf>
    <xf numFmtId="0" fontId="47" fillId="4" borderId="1" xfId="0" applyFont="1" applyFill="1" applyBorder="1" applyAlignment="1" applyProtection="1">
      <alignment horizontal="center"/>
    </xf>
    <xf numFmtId="0" fontId="47" fillId="0" borderId="2" xfId="0" applyFont="1" applyBorder="1" applyAlignment="1" applyProtection="1">
      <alignment horizontal="center"/>
    </xf>
    <xf numFmtId="0" fontId="47" fillId="4" borderId="2" xfId="0" applyFont="1" applyFill="1" applyBorder="1" applyAlignment="1" applyProtection="1">
      <alignment horizontal="center"/>
    </xf>
    <xf numFmtId="0" fontId="47" fillId="4" borderId="5" xfId="0" applyFont="1" applyFill="1" applyBorder="1" applyAlignment="1" applyProtection="1">
      <alignment horizontal="center"/>
    </xf>
    <xf numFmtId="0" fontId="47" fillId="0" borderId="6" xfId="0" applyFont="1" applyFill="1" applyBorder="1" applyAlignment="1" applyProtection="1">
      <alignment horizontal="center"/>
    </xf>
    <xf numFmtId="0" fontId="49" fillId="0" borderId="1" xfId="0" applyFont="1" applyBorder="1" applyAlignment="1" applyProtection="1">
      <alignment horizontal="center"/>
    </xf>
    <xf numFmtId="0" fontId="45" fillId="0" borderId="1" xfId="0" applyFont="1" applyBorder="1" applyAlignment="1" applyProtection="1">
      <alignment horizontal="center"/>
    </xf>
    <xf numFmtId="0" fontId="47" fillId="4" borderId="0" xfId="0" applyFont="1" applyFill="1" applyBorder="1" applyAlignment="1" applyProtection="1">
      <alignment horizontal="center"/>
    </xf>
    <xf numFmtId="0" fontId="45" fillId="0" borderId="10" xfId="0" applyFont="1" applyBorder="1" applyAlignment="1" applyProtection="1">
      <alignment horizontal="center"/>
    </xf>
    <xf numFmtId="0" fontId="45" fillId="0" borderId="10" xfId="0" applyFont="1" applyBorder="1" applyAlignment="1" applyProtection="1">
      <alignment horizontal="left"/>
      <protection locked="0"/>
    </xf>
    <xf numFmtId="0" fontId="45" fillId="0" borderId="10" xfId="0" applyFont="1" applyBorder="1" applyAlignment="1" applyProtection="1">
      <alignment horizontal="center" wrapText="1"/>
      <protection locked="0"/>
    </xf>
    <xf numFmtId="0" fontId="45" fillId="0" borderId="10" xfId="0" applyFont="1" applyBorder="1" applyAlignment="1" applyProtection="1">
      <alignment horizontal="center"/>
      <protection locked="0"/>
    </xf>
    <xf numFmtId="169" fontId="45" fillId="0" borderId="10" xfId="0" applyNumberFormat="1" applyFont="1" applyFill="1" applyBorder="1" applyAlignment="1" applyProtection="1">
      <alignment horizontal="right"/>
      <protection locked="0"/>
    </xf>
    <xf numFmtId="169" fontId="45" fillId="0" borderId="10" xfId="2" applyNumberFormat="1" applyFont="1" applyFill="1" applyBorder="1" applyAlignment="1" applyProtection="1">
      <alignment horizontal="right"/>
    </xf>
    <xf numFmtId="169" fontId="45" fillId="0" borderId="10" xfId="2" applyNumberFormat="1" applyFont="1" applyBorder="1" applyAlignment="1" applyProtection="1">
      <alignment horizontal="right"/>
      <protection locked="0"/>
    </xf>
    <xf numFmtId="169" fontId="45" fillId="0" borderId="10" xfId="2" applyNumberFormat="1" applyFont="1" applyBorder="1" applyAlignment="1" applyProtection="1">
      <alignment horizontal="right"/>
    </xf>
    <xf numFmtId="1" fontId="45" fillId="0" borderId="0" xfId="2" applyNumberFormat="1" applyFont="1" applyBorder="1" applyAlignment="1" applyProtection="1">
      <alignment horizontal="right"/>
    </xf>
    <xf numFmtId="169" fontId="45" fillId="4" borderId="10" xfId="2" applyNumberFormat="1" applyFont="1" applyFill="1" applyBorder="1" applyAlignment="1" applyProtection="1">
      <alignment horizontal="right"/>
    </xf>
    <xf numFmtId="10" fontId="45" fillId="4" borderId="10" xfId="5" applyNumberFormat="1" applyFont="1" applyFill="1" applyBorder="1" applyAlignment="1" applyProtection="1">
      <alignment horizontal="right"/>
    </xf>
    <xf numFmtId="2" fontId="45" fillId="0" borderId="0" xfId="2" applyNumberFormat="1" applyFont="1" applyFill="1" applyBorder="1" applyAlignment="1" applyProtection="1">
      <alignment horizontal="right"/>
    </xf>
    <xf numFmtId="170" fontId="45" fillId="0" borderId="10" xfId="2" applyNumberFormat="1" applyFont="1" applyBorder="1" applyAlignment="1" applyProtection="1">
      <alignment horizontal="right"/>
      <protection locked="0"/>
    </xf>
    <xf numFmtId="0" fontId="45" fillId="0" borderId="8" xfId="0" applyFont="1" applyBorder="1" applyAlignment="1" applyProtection="1">
      <alignment horizontal="center"/>
    </xf>
    <xf numFmtId="0" fontId="45" fillId="0" borderId="8" xfId="0" applyFont="1" applyBorder="1" applyProtection="1"/>
    <xf numFmtId="2" fontId="45" fillId="0" borderId="8" xfId="0" applyNumberFormat="1" applyFont="1" applyBorder="1" applyAlignment="1" applyProtection="1">
      <alignment horizontal="right"/>
    </xf>
    <xf numFmtId="1" fontId="45" fillId="0" borderId="8" xfId="2" applyNumberFormat="1" applyFont="1" applyFill="1" applyBorder="1" applyAlignment="1" applyProtection="1">
      <alignment horizontal="left"/>
    </xf>
    <xf numFmtId="1" fontId="45" fillId="0" borderId="8" xfId="2" applyNumberFormat="1" applyFont="1" applyBorder="1" applyAlignment="1" applyProtection="1">
      <alignment horizontal="right"/>
    </xf>
    <xf numFmtId="1" fontId="45" fillId="4" borderId="9" xfId="2" applyNumberFormat="1" applyFont="1" applyFill="1" applyBorder="1" applyAlignment="1" applyProtection="1">
      <alignment horizontal="right"/>
    </xf>
    <xf numFmtId="1" fontId="45" fillId="4" borderId="8" xfId="2" applyNumberFormat="1" applyFont="1" applyFill="1" applyBorder="1" applyAlignment="1" applyProtection="1">
      <alignment horizontal="right"/>
    </xf>
    <xf numFmtId="10" fontId="45" fillId="4" borderId="8" xfId="2" applyNumberFormat="1" applyFont="1" applyFill="1" applyBorder="1" applyAlignment="1" applyProtection="1">
      <alignment horizontal="right"/>
    </xf>
    <xf numFmtId="1" fontId="45" fillId="0" borderId="0" xfId="2" applyNumberFormat="1" applyFont="1" applyFill="1" applyBorder="1" applyAlignment="1" applyProtection="1">
      <alignment horizontal="right"/>
    </xf>
    <xf numFmtId="1" fontId="47" fillId="0" borderId="8" xfId="2" applyNumberFormat="1" applyFont="1" applyBorder="1" applyAlignment="1" applyProtection="1">
      <alignment horizontal="right"/>
    </xf>
    <xf numFmtId="0" fontId="45" fillId="0" borderId="0" xfId="0" applyFont="1" applyBorder="1" applyAlignment="1" applyProtection="1">
      <alignment horizontal="center"/>
    </xf>
    <xf numFmtId="0" fontId="45" fillId="0" borderId="7" xfId="0" applyFont="1" applyBorder="1" applyAlignment="1" applyProtection="1">
      <alignment horizontal="center"/>
    </xf>
    <xf numFmtId="1" fontId="47" fillId="0" borderId="7" xfId="2" applyNumberFormat="1" applyFont="1" applyBorder="1" applyAlignment="1" applyProtection="1">
      <alignment horizontal="right"/>
    </xf>
    <xf numFmtId="1" fontId="47" fillId="0" borderId="0" xfId="2" applyNumberFormat="1" applyFont="1" applyBorder="1" applyAlignment="1" applyProtection="1">
      <alignment horizontal="right"/>
    </xf>
    <xf numFmtId="1" fontId="47" fillId="0" borderId="7" xfId="2" applyNumberFormat="1" applyFont="1" applyFill="1" applyBorder="1" applyAlignment="1" applyProtection="1">
      <alignment horizontal="right"/>
    </xf>
    <xf numFmtId="1" fontId="47" fillId="0" borderId="0" xfId="2" applyNumberFormat="1" applyFont="1" applyFill="1" applyBorder="1" applyAlignment="1" applyProtection="1">
      <alignment horizontal="right"/>
    </xf>
    <xf numFmtId="169" fontId="47" fillId="0" borderId="11" xfId="2" applyNumberFormat="1" applyFont="1" applyBorder="1" applyAlignment="1" applyProtection="1">
      <alignment horizontal="right"/>
    </xf>
    <xf numFmtId="169" fontId="47" fillId="0" borderId="1" xfId="2" applyNumberFormat="1" applyFont="1" applyBorder="1" applyAlignment="1" applyProtection="1">
      <alignment horizontal="right"/>
    </xf>
    <xf numFmtId="169" fontId="47" fillId="4" borderId="11" xfId="2" applyNumberFormat="1" applyFont="1" applyFill="1" applyBorder="1" applyAlignment="1" applyProtection="1">
      <alignment horizontal="right"/>
    </xf>
    <xf numFmtId="172" fontId="11" fillId="0" borderId="10" xfId="2" applyNumberFormat="1" applyFont="1" applyBorder="1" applyAlignment="1" applyProtection="1">
      <alignment horizontal="right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center" wrapText="1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169" fontId="14" fillId="6" borderId="10" xfId="0" applyNumberFormat="1" applyFont="1" applyFill="1" applyBorder="1" applyAlignment="1" applyProtection="1">
      <alignment horizontal="right"/>
      <protection locked="0"/>
    </xf>
    <xf numFmtId="4" fontId="14" fillId="6" borderId="10" xfId="2" applyNumberFormat="1" applyFont="1" applyFill="1" applyBorder="1" applyAlignment="1" applyProtection="1">
      <alignment horizontal="right"/>
    </xf>
    <xf numFmtId="4" fontId="14" fillId="6" borderId="10" xfId="2" applyNumberFormat="1" applyFont="1" applyFill="1" applyBorder="1" applyAlignment="1" applyProtection="1">
      <alignment horizontal="right"/>
      <protection locked="0"/>
    </xf>
    <xf numFmtId="4" fontId="14" fillId="6" borderId="0" xfId="2" applyNumberFormat="1" applyFont="1" applyFill="1" applyBorder="1" applyAlignment="1" applyProtection="1">
      <alignment horizontal="right"/>
    </xf>
    <xf numFmtId="4" fontId="14" fillId="6" borderId="10" xfId="5" applyNumberFormat="1" applyFont="1" applyFill="1" applyBorder="1" applyAlignment="1" applyProtection="1">
      <alignment horizontal="right"/>
    </xf>
    <xf numFmtId="169" fontId="14" fillId="6" borderId="10" xfId="2" applyNumberFormat="1" applyFont="1" applyFill="1" applyBorder="1" applyAlignment="1" applyProtection="1">
      <alignment horizontal="right"/>
    </xf>
    <xf numFmtId="169" fontId="14" fillId="6" borderId="10" xfId="2" applyNumberFormat="1" applyFont="1" applyFill="1" applyBorder="1" applyAlignment="1" applyProtection="1">
      <alignment horizontal="right"/>
      <protection locked="0"/>
    </xf>
    <xf numFmtId="172" fontId="14" fillId="6" borderId="10" xfId="2" applyNumberFormat="1" applyFont="1" applyFill="1" applyBorder="1" applyAlignment="1" applyProtection="1">
      <alignment horizontal="right"/>
    </xf>
    <xf numFmtId="2" fontId="14" fillId="0" borderId="10" xfId="0" applyNumberFormat="1" applyFont="1" applyFill="1" applyBorder="1" applyAlignment="1" applyProtection="1">
      <alignment horizontal="right"/>
      <protection locked="0"/>
    </xf>
    <xf numFmtId="2" fontId="14" fillId="6" borderId="10" xfId="2" applyNumberFormat="1" applyFont="1" applyFill="1" applyBorder="1" applyAlignment="1" applyProtection="1">
      <alignment horizontal="right"/>
    </xf>
    <xf numFmtId="2" fontId="14" fillId="6" borderId="0" xfId="2" applyNumberFormat="1" applyFont="1" applyFill="1" applyBorder="1" applyAlignment="1" applyProtection="1">
      <alignment horizontal="right"/>
    </xf>
    <xf numFmtId="2" fontId="14" fillId="6" borderId="10" xfId="5" applyNumberFormat="1" applyFont="1" applyFill="1" applyBorder="1" applyAlignment="1" applyProtection="1">
      <alignment horizontal="right"/>
    </xf>
    <xf numFmtId="2" fontId="14" fillId="6" borderId="10" xfId="2" applyNumberFormat="1" applyFont="1" applyFill="1" applyBorder="1" applyAlignment="1" applyProtection="1">
      <alignment horizontal="right"/>
      <protection locked="0"/>
    </xf>
    <xf numFmtId="1" fontId="14" fillId="6" borderId="0" xfId="2" applyNumberFormat="1" applyFont="1" applyFill="1" applyBorder="1" applyAlignment="1" applyProtection="1">
      <alignment horizontal="right"/>
    </xf>
    <xf numFmtId="10" fontId="14" fillId="6" borderId="10" xfId="5" applyNumberFormat="1" applyFont="1" applyFill="1" applyBorder="1" applyAlignment="1" applyProtection="1">
      <alignment horizontal="right"/>
    </xf>
    <xf numFmtId="170" fontId="14" fillId="6" borderId="10" xfId="2" applyNumberFormat="1" applyFont="1" applyFill="1" applyBorder="1" applyAlignment="1" applyProtection="1">
      <alignment horizontal="right"/>
      <protection locked="0"/>
    </xf>
    <xf numFmtId="0" fontId="51" fillId="0" borderId="0" xfId="7" applyFont="1"/>
    <xf numFmtId="0" fontId="53" fillId="0" borderId="0" xfId="7" applyFont="1" applyAlignment="1">
      <alignment horizontal="center" vertical="center" wrapText="1"/>
    </xf>
    <xf numFmtId="0" fontId="53" fillId="0" borderId="0" xfId="7" applyFont="1"/>
    <xf numFmtId="0" fontId="51" fillId="0" borderId="3" xfId="7" applyFont="1" applyBorder="1" applyAlignment="1">
      <alignment horizontal="center"/>
    </xf>
    <xf numFmtId="0" fontId="51" fillId="5" borderId="0" xfId="7" applyFont="1" applyFill="1"/>
    <xf numFmtId="0" fontId="51" fillId="6" borderId="0" xfId="7" applyFont="1" applyFill="1"/>
    <xf numFmtId="0" fontId="51" fillId="0" borderId="4" xfId="7" applyFont="1" applyBorder="1"/>
    <xf numFmtId="169" fontId="6" fillId="6" borderId="4" xfId="0" applyNumberFormat="1" applyFont="1" applyFill="1" applyBorder="1" applyAlignment="1" applyProtection="1">
      <alignment horizontal="right"/>
      <protection locked="0"/>
    </xf>
    <xf numFmtId="0" fontId="45" fillId="6" borderId="10" xfId="0" applyFont="1" applyFill="1" applyBorder="1" applyAlignment="1" applyProtection="1">
      <alignment horizontal="left" vertical="center"/>
      <protection locked="0"/>
    </xf>
    <xf numFmtId="0" fontId="45" fillId="6" borderId="10" xfId="0" applyFont="1" applyFill="1" applyBorder="1" applyAlignment="1" applyProtection="1">
      <alignment horizontal="center" vertical="center" wrapText="1"/>
      <protection locked="0"/>
    </xf>
    <xf numFmtId="0" fontId="45" fillId="6" borderId="10" xfId="0" applyFont="1" applyFill="1" applyBorder="1" applyAlignment="1" applyProtection="1">
      <alignment horizontal="center"/>
      <protection locked="0"/>
    </xf>
    <xf numFmtId="169" fontId="45" fillId="6" borderId="10" xfId="0" applyNumberFormat="1" applyFont="1" applyFill="1" applyBorder="1" applyAlignment="1" applyProtection="1">
      <alignment horizontal="right"/>
      <protection locked="0"/>
    </xf>
    <xf numFmtId="169" fontId="45" fillId="6" borderId="10" xfId="2" applyNumberFormat="1" applyFont="1" applyFill="1" applyBorder="1" applyAlignment="1" applyProtection="1">
      <alignment horizontal="right"/>
    </xf>
    <xf numFmtId="169" fontId="45" fillId="6" borderId="10" xfId="2" applyNumberFormat="1" applyFont="1" applyFill="1" applyBorder="1" applyAlignment="1" applyProtection="1">
      <alignment horizontal="right"/>
      <protection locked="0"/>
    </xf>
    <xf numFmtId="4" fontId="45" fillId="6" borderId="10" xfId="2" applyNumberFormat="1" applyFont="1" applyFill="1" applyBorder="1" applyAlignment="1" applyProtection="1">
      <alignment horizontal="right"/>
    </xf>
    <xf numFmtId="4" fontId="45" fillId="6" borderId="0" xfId="2" applyNumberFormat="1" applyFont="1" applyFill="1" applyBorder="1" applyAlignment="1" applyProtection="1">
      <alignment horizontal="right"/>
    </xf>
    <xf numFmtId="4" fontId="45" fillId="6" borderId="10" xfId="5" applyNumberFormat="1" applyFont="1" applyFill="1" applyBorder="1" applyAlignment="1" applyProtection="1">
      <alignment horizontal="right"/>
    </xf>
    <xf numFmtId="4" fontId="45" fillId="6" borderId="10" xfId="2" applyNumberFormat="1" applyFont="1" applyFill="1" applyBorder="1" applyAlignment="1" applyProtection="1">
      <alignment horizontal="right"/>
      <protection locked="0"/>
    </xf>
    <xf numFmtId="0" fontId="45" fillId="6" borderId="10" xfId="0" applyFont="1" applyFill="1" applyBorder="1" applyAlignment="1" applyProtection="1">
      <alignment horizontal="left"/>
      <protection locked="0"/>
    </xf>
    <xf numFmtId="0" fontId="45" fillId="6" borderId="10" xfId="0" applyFont="1" applyFill="1" applyBorder="1" applyAlignment="1" applyProtection="1">
      <alignment horizontal="center" wrapText="1"/>
      <protection locked="0"/>
    </xf>
    <xf numFmtId="1" fontId="45" fillId="6" borderId="0" xfId="2" applyNumberFormat="1" applyFont="1" applyFill="1" applyBorder="1" applyAlignment="1" applyProtection="1">
      <alignment horizontal="right"/>
    </xf>
    <xf numFmtId="10" fontId="45" fillId="6" borderId="10" xfId="5" applyNumberFormat="1" applyFont="1" applyFill="1" applyBorder="1" applyAlignment="1" applyProtection="1">
      <alignment horizontal="right"/>
    </xf>
    <xf numFmtId="2" fontId="45" fillId="6" borderId="0" xfId="2" applyNumberFormat="1" applyFont="1" applyFill="1" applyBorder="1" applyAlignment="1" applyProtection="1">
      <alignment horizontal="right"/>
    </xf>
    <xf numFmtId="170" fontId="45" fillId="6" borderId="10" xfId="2" applyNumberFormat="1" applyFont="1" applyFill="1" applyBorder="1" applyAlignment="1" applyProtection="1">
      <alignment horizontal="right"/>
      <protection locked="0"/>
    </xf>
    <xf numFmtId="0" fontId="14" fillId="6" borderId="10" xfId="0" applyFont="1" applyFill="1" applyBorder="1" applyAlignment="1" applyProtection="1">
      <alignment horizontal="center"/>
    </xf>
    <xf numFmtId="174" fontId="14" fillId="6" borderId="10" xfId="2" applyNumberFormat="1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0" fontId="14" fillId="6" borderId="1" xfId="0" applyFont="1" applyFill="1" applyBorder="1" applyAlignment="1" applyProtection="1">
      <alignment horizontal="center"/>
      <protection locked="0"/>
    </xf>
    <xf numFmtId="169" fontId="14" fillId="6" borderId="1" xfId="2" applyNumberFormat="1" applyFont="1" applyFill="1" applyBorder="1" applyAlignment="1" applyProtection="1">
      <alignment horizontal="right"/>
    </xf>
    <xf numFmtId="172" fontId="45" fillId="6" borderId="10" xfId="2" applyNumberFormat="1" applyFont="1" applyFill="1" applyBorder="1" applyAlignment="1" applyProtection="1">
      <alignment horizontal="right"/>
    </xf>
    <xf numFmtId="1" fontId="45" fillId="6" borderId="10" xfId="0" applyNumberFormat="1" applyFont="1" applyFill="1" applyBorder="1" applyAlignment="1" applyProtection="1">
      <alignment horizontal="left"/>
      <protection locked="0"/>
    </xf>
    <xf numFmtId="1" fontId="45" fillId="6" borderId="10" xfId="0" applyNumberFormat="1" applyFont="1" applyFill="1" applyBorder="1" applyAlignment="1" applyProtection="1">
      <alignment horizontal="center" wrapText="1"/>
      <protection locked="0"/>
    </xf>
    <xf numFmtId="1" fontId="45" fillId="6" borderId="10" xfId="0" applyNumberFormat="1" applyFont="1" applyFill="1" applyBorder="1" applyAlignment="1" applyProtection="1">
      <alignment horizontal="center"/>
      <protection locked="0"/>
    </xf>
    <xf numFmtId="2" fontId="45" fillId="6" borderId="10" xfId="0" applyNumberFormat="1" applyFont="1" applyFill="1" applyBorder="1" applyAlignment="1" applyProtection="1">
      <alignment horizontal="right"/>
      <protection locked="0"/>
    </xf>
    <xf numFmtId="2" fontId="53" fillId="6" borderId="4" xfId="8" applyNumberFormat="1" applyFont="1" applyFill="1" applyBorder="1" applyAlignment="1"/>
    <xf numFmtId="0" fontId="54" fillId="0" borderId="24" xfId="7" applyFont="1" applyBorder="1" applyAlignment="1">
      <alignment horizontal="center" vertical="center" wrapText="1"/>
    </xf>
    <xf numFmtId="2" fontId="2" fillId="6" borderId="4" xfId="0" applyNumberFormat="1" applyFont="1" applyFill="1" applyBorder="1" applyAlignment="1" applyProtection="1">
      <protection locked="0"/>
    </xf>
    <xf numFmtId="169" fontId="17" fillId="0" borderId="10" xfId="2" applyNumberFormat="1" applyFont="1" applyBorder="1" applyAlignment="1" applyProtection="1">
      <alignment horizontal="right"/>
    </xf>
    <xf numFmtId="169" fontId="17" fillId="6" borderId="10" xfId="2" applyNumberFormat="1" applyFont="1" applyFill="1" applyBorder="1" applyAlignment="1" applyProtection="1">
      <alignment horizontal="right"/>
    </xf>
    <xf numFmtId="169" fontId="17" fillId="0" borderId="10" xfId="2" applyNumberFormat="1" applyFont="1" applyBorder="1" applyAlignment="1" applyProtection="1">
      <alignment horizontal="center"/>
    </xf>
    <xf numFmtId="169" fontId="17" fillId="0" borderId="10" xfId="2" applyNumberFormat="1" applyFont="1" applyBorder="1" applyAlignment="1" applyProtection="1">
      <alignment horizontal="left"/>
    </xf>
    <xf numFmtId="0" fontId="0" fillId="6" borderId="0" xfId="0" applyFill="1" applyProtection="1"/>
    <xf numFmtId="0" fontId="14" fillId="6" borderId="1" xfId="0" applyFont="1" applyFill="1" applyBorder="1" applyAlignment="1" applyProtection="1">
      <alignment horizontal="center"/>
    </xf>
    <xf numFmtId="169" fontId="14" fillId="6" borderId="1" xfId="0" applyNumberFormat="1" applyFont="1" applyFill="1" applyBorder="1" applyAlignment="1" applyProtection="1">
      <alignment horizontal="right"/>
      <protection locked="0"/>
    </xf>
    <xf numFmtId="0" fontId="14" fillId="0" borderId="27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 wrapText="1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169" fontId="14" fillId="0" borderId="27" xfId="0" applyNumberFormat="1" applyFont="1" applyFill="1" applyBorder="1" applyAlignment="1" applyProtection="1">
      <alignment horizontal="right"/>
      <protection locked="0"/>
    </xf>
    <xf numFmtId="4" fontId="14" fillId="0" borderId="27" xfId="2" applyNumberFormat="1" applyFont="1" applyFill="1" applyBorder="1" applyAlignment="1" applyProtection="1">
      <alignment horizontal="right"/>
    </xf>
    <xf numFmtId="4" fontId="14" fillId="0" borderId="27" xfId="2" applyNumberFormat="1" applyFont="1" applyBorder="1" applyAlignment="1" applyProtection="1">
      <alignment horizontal="right"/>
      <protection locked="0"/>
    </xf>
    <xf numFmtId="4" fontId="14" fillId="0" borderId="27" xfId="2" applyNumberFormat="1" applyFont="1" applyBorder="1" applyAlignment="1" applyProtection="1">
      <alignment horizontal="right"/>
    </xf>
    <xf numFmtId="4" fontId="14" fillId="4" borderId="27" xfId="2" applyNumberFormat="1" applyFont="1" applyFill="1" applyBorder="1" applyAlignment="1" applyProtection="1">
      <alignment horizontal="right"/>
    </xf>
    <xf numFmtId="4" fontId="14" fillId="4" borderId="27" xfId="5" applyNumberFormat="1" applyFont="1" applyFill="1" applyBorder="1" applyAlignment="1" applyProtection="1">
      <alignment horizontal="right"/>
    </xf>
    <xf numFmtId="0" fontId="2" fillId="0" borderId="27" xfId="0" applyFont="1" applyFill="1" applyBorder="1" applyAlignment="1" applyProtection="1">
      <alignment horizontal="left"/>
      <protection locked="0"/>
    </xf>
    <xf numFmtId="0" fontId="2" fillId="0" borderId="27" xfId="0" applyFont="1" applyFill="1" applyBorder="1" applyAlignment="1" applyProtection="1">
      <alignment horizontal="center" wrapText="1"/>
      <protection locked="0"/>
    </xf>
    <xf numFmtId="169" fontId="14" fillId="0" borderId="27" xfId="2" applyNumberFormat="1" applyFont="1" applyFill="1" applyBorder="1" applyAlignment="1" applyProtection="1">
      <alignment horizontal="right"/>
    </xf>
    <xf numFmtId="169" fontId="14" fillId="0" borderId="27" xfId="2" applyNumberFormat="1" applyFont="1" applyBorder="1" applyAlignment="1" applyProtection="1">
      <alignment horizontal="right"/>
      <protection locked="0"/>
    </xf>
    <xf numFmtId="172" fontId="14" fillId="0" borderId="27" xfId="2" applyNumberFormat="1" applyFont="1" applyBorder="1" applyAlignment="1" applyProtection="1">
      <alignment horizontal="right"/>
    </xf>
    <xf numFmtId="0" fontId="2" fillId="6" borderId="27" xfId="0" applyFont="1" applyFill="1" applyBorder="1" applyAlignment="1" applyProtection="1">
      <alignment horizontal="left"/>
      <protection locked="0"/>
    </xf>
    <xf numFmtId="0" fontId="2" fillId="6" borderId="27" xfId="0" applyFont="1" applyFill="1" applyBorder="1" applyAlignment="1" applyProtection="1">
      <alignment horizontal="center" wrapText="1"/>
      <protection locked="0"/>
    </xf>
    <xf numFmtId="0" fontId="14" fillId="6" borderId="27" xfId="0" applyFont="1" applyFill="1" applyBorder="1" applyAlignment="1" applyProtection="1">
      <alignment horizontal="center"/>
      <protection locked="0"/>
    </xf>
    <xf numFmtId="169" fontId="14" fillId="6" borderId="27" xfId="0" applyNumberFormat="1" applyFont="1" applyFill="1" applyBorder="1" applyAlignment="1" applyProtection="1">
      <alignment horizontal="right"/>
      <protection locked="0"/>
    </xf>
    <xf numFmtId="4" fontId="14" fillId="6" borderId="27" xfId="2" applyNumberFormat="1" applyFont="1" applyFill="1" applyBorder="1" applyAlignment="1" applyProtection="1">
      <alignment horizontal="right"/>
    </xf>
    <xf numFmtId="4" fontId="14" fillId="6" borderId="27" xfId="2" applyNumberFormat="1" applyFont="1" applyFill="1" applyBorder="1" applyAlignment="1" applyProtection="1">
      <alignment horizontal="right"/>
      <protection locked="0"/>
    </xf>
    <xf numFmtId="4" fontId="14" fillId="6" borderId="27" xfId="5" applyNumberFormat="1" applyFont="1" applyFill="1" applyBorder="1" applyAlignment="1" applyProtection="1">
      <alignment horizontal="right"/>
    </xf>
    <xf numFmtId="169" fontId="14" fillId="0" borderId="27" xfId="2" applyNumberFormat="1" applyFont="1" applyBorder="1" applyAlignment="1" applyProtection="1">
      <alignment horizontal="right"/>
    </xf>
    <xf numFmtId="1" fontId="14" fillId="0" borderId="27" xfId="2" applyNumberFormat="1" applyFont="1" applyBorder="1" applyAlignment="1" applyProtection="1">
      <alignment horizontal="right"/>
    </xf>
    <xf numFmtId="169" fontId="14" fillId="4" borderId="27" xfId="2" applyNumberFormat="1" applyFont="1" applyFill="1" applyBorder="1" applyAlignment="1" applyProtection="1">
      <alignment horizontal="right"/>
    </xf>
    <xf numFmtId="10" fontId="14" fillId="4" borderId="27" xfId="5" applyNumberFormat="1" applyFont="1" applyFill="1" applyBorder="1" applyAlignment="1" applyProtection="1">
      <alignment horizontal="right"/>
    </xf>
    <xf numFmtId="2" fontId="14" fillId="0" borderId="27" xfId="2" applyNumberFormat="1" applyFont="1" applyFill="1" applyBorder="1" applyAlignment="1" applyProtection="1">
      <alignment horizontal="right"/>
    </xf>
    <xf numFmtId="0" fontId="5" fillId="0" borderId="27" xfId="0" applyFont="1" applyBorder="1" applyAlignment="1" applyProtection="1">
      <alignment horizontal="center"/>
    </xf>
    <xf numFmtId="0" fontId="2" fillId="0" borderId="27" xfId="0" applyFont="1" applyBorder="1" applyProtection="1"/>
    <xf numFmtId="2" fontId="5" fillId="0" borderId="27" xfId="0" applyNumberFormat="1" applyFont="1" applyBorder="1" applyAlignment="1" applyProtection="1">
      <alignment horizontal="right"/>
    </xf>
    <xf numFmtId="1" fontId="5" fillId="0" borderId="27" xfId="2" applyNumberFormat="1" applyFont="1" applyFill="1" applyBorder="1" applyAlignment="1" applyProtection="1">
      <alignment horizontal="left"/>
    </xf>
    <xf numFmtId="1" fontId="5" fillId="0" borderId="27" xfId="2" applyNumberFormat="1" applyFont="1" applyBorder="1" applyAlignment="1" applyProtection="1">
      <alignment horizontal="right"/>
    </xf>
    <xf numFmtId="1" fontId="5" fillId="4" borderId="27" xfId="2" applyNumberFormat="1" applyFont="1" applyFill="1" applyBorder="1" applyAlignment="1" applyProtection="1">
      <alignment horizontal="right"/>
    </xf>
    <xf numFmtId="10" fontId="5" fillId="4" borderId="27" xfId="2" applyNumberFormat="1" applyFont="1" applyFill="1" applyBorder="1" applyAlignment="1" applyProtection="1">
      <alignment horizontal="right"/>
    </xf>
    <xf numFmtId="1" fontId="5" fillId="0" borderId="27" xfId="2" applyNumberFormat="1" applyFont="1" applyFill="1" applyBorder="1" applyAlignment="1" applyProtection="1">
      <alignment horizontal="right"/>
    </xf>
    <xf numFmtId="4" fontId="5" fillId="0" borderId="27" xfId="2" applyNumberFormat="1" applyFont="1" applyBorder="1" applyAlignment="1" applyProtection="1">
      <alignment horizontal="right"/>
    </xf>
    <xf numFmtId="4" fontId="3" fillId="0" borderId="27" xfId="2" applyNumberFormat="1" applyFont="1" applyBorder="1" applyAlignment="1" applyProtection="1">
      <alignment horizontal="right"/>
    </xf>
    <xf numFmtId="0" fontId="45" fillId="0" borderId="1" xfId="0" applyFont="1" applyBorder="1" applyAlignment="1" applyProtection="1">
      <alignment horizontal="left"/>
      <protection locked="0"/>
    </xf>
    <xf numFmtId="0" fontId="45" fillId="0" borderId="1" xfId="0" applyFont="1" applyBorder="1" applyAlignment="1" applyProtection="1">
      <alignment horizontal="center" wrapText="1"/>
      <protection locked="0"/>
    </xf>
    <xf numFmtId="0" fontId="45" fillId="0" borderId="1" xfId="0" applyFont="1" applyBorder="1" applyAlignment="1" applyProtection="1">
      <alignment horizontal="center"/>
      <protection locked="0"/>
    </xf>
    <xf numFmtId="169" fontId="45" fillId="0" borderId="1" xfId="2" applyNumberFormat="1" applyFont="1" applyBorder="1" applyAlignment="1" applyProtection="1">
      <alignment horizontal="right"/>
    </xf>
    <xf numFmtId="0" fontId="45" fillId="0" borderId="8" xfId="0" applyFont="1" applyBorder="1" applyAlignment="1" applyProtection="1">
      <alignment horizontal="center" wrapText="1"/>
    </xf>
    <xf numFmtId="44" fontId="53" fillId="0" borderId="3" xfId="8" applyFont="1" applyBorder="1" applyAlignment="1"/>
    <xf numFmtId="169" fontId="47" fillId="0" borderId="0" xfId="2" applyNumberFormat="1" applyFont="1" applyBorder="1" applyAlignment="1" applyProtection="1">
      <alignment horizontal="right"/>
    </xf>
    <xf numFmtId="0" fontId="55" fillId="0" borderId="0" xfId="0" applyFont="1" applyProtection="1"/>
    <xf numFmtId="43" fontId="55" fillId="0" borderId="0" xfId="2" applyFont="1" applyProtection="1"/>
    <xf numFmtId="0" fontId="55" fillId="0" borderId="3" xfId="0" applyFont="1" applyBorder="1" applyProtection="1"/>
    <xf numFmtId="0" fontId="57" fillId="0" borderId="3" xfId="0" applyFont="1" applyBorder="1" applyAlignment="1" applyProtection="1">
      <alignment horizontal="center"/>
    </xf>
    <xf numFmtId="0" fontId="57" fillId="0" borderId="0" xfId="0" applyFont="1" applyBorder="1" applyAlignment="1" applyProtection="1">
      <alignment horizontal="center"/>
    </xf>
    <xf numFmtId="0" fontId="57" fillId="4" borderId="3" xfId="0" applyFont="1" applyFill="1" applyBorder="1" applyAlignment="1" applyProtection="1">
      <alignment horizontal="center"/>
    </xf>
    <xf numFmtId="0" fontId="57" fillId="4" borderId="4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>
      <alignment horizontal="center"/>
    </xf>
    <xf numFmtId="0" fontId="57" fillId="0" borderId="1" xfId="0" applyFont="1" applyBorder="1" applyAlignment="1" applyProtection="1">
      <alignment horizontal="center"/>
    </xf>
    <xf numFmtId="43" fontId="57" fillId="0" borderId="1" xfId="2" applyFont="1" applyBorder="1" applyAlignment="1" applyProtection="1">
      <alignment horizontal="center"/>
    </xf>
    <xf numFmtId="0" fontId="57" fillId="4" borderId="1" xfId="0" applyFont="1" applyFill="1" applyBorder="1" applyAlignment="1" applyProtection="1">
      <alignment horizontal="center"/>
    </xf>
    <xf numFmtId="0" fontId="57" fillId="0" borderId="2" xfId="0" applyFont="1" applyBorder="1" applyAlignment="1" applyProtection="1">
      <alignment horizontal="center"/>
    </xf>
    <xf numFmtId="0" fontId="57" fillId="4" borderId="2" xfId="0" applyFont="1" applyFill="1" applyBorder="1" applyAlignment="1" applyProtection="1">
      <alignment horizontal="center"/>
    </xf>
    <xf numFmtId="0" fontId="57" fillId="4" borderId="5" xfId="0" applyFont="1" applyFill="1" applyBorder="1" applyAlignment="1" applyProtection="1">
      <alignment horizontal="center"/>
    </xf>
    <xf numFmtId="0" fontId="57" fillId="0" borderId="6" xfId="0" applyFont="1" applyFill="1" applyBorder="1" applyAlignment="1" applyProtection="1">
      <alignment horizontal="center"/>
    </xf>
    <xf numFmtId="0" fontId="59" fillId="0" borderId="1" xfId="0" applyFont="1" applyBorder="1" applyAlignment="1" applyProtection="1">
      <alignment horizontal="center"/>
    </xf>
    <xf numFmtId="0" fontId="55" fillId="0" borderId="1" xfId="0" applyFont="1" applyBorder="1" applyAlignment="1" applyProtection="1">
      <alignment horizontal="center"/>
    </xf>
    <xf numFmtId="0" fontId="57" fillId="4" borderId="0" xfId="0" applyFont="1" applyFill="1" applyBorder="1" applyAlignment="1" applyProtection="1">
      <alignment horizontal="center"/>
    </xf>
    <xf numFmtId="0" fontId="55" fillId="0" borderId="10" xfId="0" applyFont="1" applyBorder="1" applyAlignment="1" applyProtection="1">
      <alignment horizontal="center"/>
    </xf>
    <xf numFmtId="0" fontId="55" fillId="0" borderId="10" xfId="0" applyFont="1" applyBorder="1" applyAlignment="1" applyProtection="1">
      <alignment horizontal="left"/>
      <protection locked="0"/>
    </xf>
    <xf numFmtId="0" fontId="55" fillId="0" borderId="10" xfId="0" applyFont="1" applyBorder="1" applyAlignment="1" applyProtection="1">
      <alignment horizontal="center" wrapText="1"/>
      <protection locked="0"/>
    </xf>
    <xf numFmtId="0" fontId="55" fillId="0" borderId="10" xfId="0" applyFont="1" applyBorder="1" applyAlignment="1" applyProtection="1">
      <alignment horizontal="center"/>
      <protection locked="0"/>
    </xf>
    <xf numFmtId="169" fontId="55" fillId="0" borderId="10" xfId="0" applyNumberFormat="1" applyFont="1" applyFill="1" applyBorder="1" applyAlignment="1" applyProtection="1">
      <alignment horizontal="right"/>
      <protection locked="0"/>
    </xf>
    <xf numFmtId="169" fontId="55" fillId="0" borderId="10" xfId="2" applyNumberFormat="1" applyFont="1" applyFill="1" applyBorder="1" applyAlignment="1" applyProtection="1">
      <alignment horizontal="right"/>
    </xf>
    <xf numFmtId="169" fontId="55" fillId="0" borderId="10" xfId="2" applyNumberFormat="1" applyFont="1" applyBorder="1" applyAlignment="1" applyProtection="1">
      <alignment horizontal="right"/>
      <protection locked="0"/>
    </xf>
    <xf numFmtId="169" fontId="55" fillId="0" borderId="10" xfId="2" applyNumberFormat="1" applyFont="1" applyBorder="1" applyAlignment="1" applyProtection="1">
      <alignment horizontal="right"/>
    </xf>
    <xf numFmtId="1" fontId="55" fillId="0" borderId="0" xfId="2" applyNumberFormat="1" applyFont="1" applyBorder="1" applyAlignment="1" applyProtection="1">
      <alignment horizontal="right"/>
    </xf>
    <xf numFmtId="169" fontId="55" fillId="4" borderId="10" xfId="2" applyNumberFormat="1" applyFont="1" applyFill="1" applyBorder="1" applyAlignment="1" applyProtection="1">
      <alignment horizontal="right"/>
    </xf>
    <xf numFmtId="10" fontId="55" fillId="4" borderId="10" xfId="5" applyNumberFormat="1" applyFont="1" applyFill="1" applyBorder="1" applyAlignment="1" applyProtection="1">
      <alignment horizontal="right"/>
    </xf>
    <xf numFmtId="2" fontId="55" fillId="0" borderId="0" xfId="2" applyNumberFormat="1" applyFont="1" applyFill="1" applyBorder="1" applyAlignment="1" applyProtection="1">
      <alignment horizontal="right"/>
    </xf>
    <xf numFmtId="170" fontId="55" fillId="0" borderId="10" xfId="2" applyNumberFormat="1" applyFont="1" applyBorder="1" applyAlignment="1" applyProtection="1">
      <alignment horizontal="right"/>
      <protection locked="0"/>
    </xf>
    <xf numFmtId="0" fontId="55" fillId="0" borderId="10" xfId="0" applyFont="1" applyBorder="1" applyAlignment="1" applyProtection="1">
      <alignment horizontal="left" wrapText="1"/>
      <protection locked="0"/>
    </xf>
    <xf numFmtId="0" fontId="55" fillId="0" borderId="1" xfId="0" applyFont="1" applyBorder="1" applyAlignment="1" applyProtection="1">
      <alignment horizontal="left"/>
      <protection locked="0"/>
    </xf>
    <xf numFmtId="0" fontId="55" fillId="0" borderId="1" xfId="0" applyFont="1" applyBorder="1" applyAlignment="1" applyProtection="1">
      <alignment horizontal="center" wrapText="1"/>
      <protection locked="0"/>
    </xf>
    <xf numFmtId="0" fontId="55" fillId="0" borderId="1" xfId="0" applyFont="1" applyBorder="1" applyAlignment="1" applyProtection="1">
      <alignment horizontal="center"/>
      <protection locked="0"/>
    </xf>
    <xf numFmtId="169" fontId="55" fillId="0" borderId="1" xfId="0" applyNumberFormat="1" applyFont="1" applyFill="1" applyBorder="1" applyAlignment="1" applyProtection="1">
      <alignment horizontal="right"/>
      <protection locked="0"/>
    </xf>
    <xf numFmtId="169" fontId="55" fillId="0" borderId="1" xfId="2" applyNumberFormat="1" applyFont="1" applyFill="1" applyBorder="1" applyAlignment="1" applyProtection="1">
      <alignment horizontal="right"/>
    </xf>
    <xf numFmtId="169" fontId="55" fillId="0" borderId="1" xfId="2" applyNumberFormat="1" applyFont="1" applyBorder="1" applyAlignment="1" applyProtection="1">
      <alignment horizontal="right"/>
      <protection locked="0"/>
    </xf>
    <xf numFmtId="169" fontId="55" fillId="0" borderId="1" xfId="2" applyNumberFormat="1" applyFont="1" applyBorder="1" applyAlignment="1" applyProtection="1">
      <alignment horizontal="right"/>
    </xf>
    <xf numFmtId="169" fontId="55" fillId="4" borderId="1" xfId="2" applyNumberFormat="1" applyFont="1" applyFill="1" applyBorder="1" applyAlignment="1" applyProtection="1">
      <alignment horizontal="right"/>
    </xf>
    <xf numFmtId="10" fontId="55" fillId="4" borderId="1" xfId="5" applyNumberFormat="1" applyFont="1" applyFill="1" applyBorder="1" applyAlignment="1" applyProtection="1">
      <alignment horizontal="right"/>
    </xf>
    <xf numFmtId="170" fontId="55" fillId="0" borderId="1" xfId="2" applyNumberFormat="1" applyFont="1" applyBorder="1" applyAlignment="1" applyProtection="1">
      <alignment horizontal="right"/>
      <protection locked="0"/>
    </xf>
    <xf numFmtId="0" fontId="55" fillId="0" borderId="29" xfId="0" applyFont="1" applyBorder="1" applyAlignment="1" applyProtection="1">
      <alignment horizontal="center"/>
    </xf>
    <xf numFmtId="0" fontId="55" fillId="0" borderId="29" xfId="0" applyFont="1" applyBorder="1" applyAlignment="1" applyProtection="1">
      <alignment horizontal="left"/>
      <protection locked="0"/>
    </xf>
    <xf numFmtId="0" fontId="55" fillId="0" borderId="29" xfId="0" applyFont="1" applyBorder="1" applyAlignment="1" applyProtection="1">
      <alignment horizontal="center" wrapText="1"/>
      <protection locked="0"/>
    </xf>
    <xf numFmtId="0" fontId="55" fillId="0" borderId="29" xfId="0" applyFont="1" applyBorder="1" applyAlignment="1" applyProtection="1">
      <alignment horizontal="center"/>
      <protection locked="0"/>
    </xf>
    <xf numFmtId="169" fontId="55" fillId="0" borderId="29" xfId="0" applyNumberFormat="1" applyFont="1" applyFill="1" applyBorder="1" applyAlignment="1" applyProtection="1">
      <alignment horizontal="right"/>
      <protection locked="0"/>
    </xf>
    <xf numFmtId="169" fontId="55" fillId="0" borderId="29" xfId="2" applyNumberFormat="1" applyFont="1" applyFill="1" applyBorder="1" applyAlignment="1" applyProtection="1">
      <alignment horizontal="right"/>
    </xf>
    <xf numFmtId="169" fontId="55" fillId="0" borderId="29" xfId="2" applyNumberFormat="1" applyFont="1" applyBorder="1" applyAlignment="1" applyProtection="1">
      <alignment horizontal="right"/>
      <protection locked="0"/>
    </xf>
    <xf numFmtId="169" fontId="55" fillId="0" borderId="29" xfId="2" applyNumberFormat="1" applyFont="1" applyBorder="1" applyAlignment="1" applyProtection="1">
      <alignment horizontal="right"/>
    </xf>
    <xf numFmtId="1" fontId="55" fillId="0" borderId="30" xfId="2" applyNumberFormat="1" applyFont="1" applyBorder="1" applyAlignment="1" applyProtection="1">
      <alignment horizontal="right"/>
    </xf>
    <xf numFmtId="169" fontId="55" fillId="4" borderId="29" xfId="2" applyNumberFormat="1" applyFont="1" applyFill="1" applyBorder="1" applyAlignment="1" applyProtection="1">
      <alignment horizontal="right"/>
    </xf>
    <xf numFmtId="10" fontId="55" fillId="4" borderId="29" xfId="5" applyNumberFormat="1" applyFont="1" applyFill="1" applyBorder="1" applyAlignment="1" applyProtection="1">
      <alignment horizontal="right"/>
    </xf>
    <xf numFmtId="2" fontId="55" fillId="0" borderId="30" xfId="2" applyNumberFormat="1" applyFont="1" applyFill="1" applyBorder="1" applyAlignment="1" applyProtection="1">
      <alignment horizontal="right"/>
    </xf>
    <xf numFmtId="170" fontId="55" fillId="0" borderId="29" xfId="2" applyNumberFormat="1" applyFont="1" applyBorder="1" applyAlignment="1" applyProtection="1">
      <alignment horizontal="right"/>
      <protection locked="0"/>
    </xf>
    <xf numFmtId="1" fontId="55" fillId="0" borderId="0" xfId="2" applyNumberFormat="1" applyFont="1" applyFill="1" applyBorder="1" applyAlignment="1" applyProtection="1">
      <alignment horizontal="right"/>
    </xf>
    <xf numFmtId="1" fontId="57" fillId="0" borderId="8" xfId="2" applyNumberFormat="1" applyFont="1" applyBorder="1" applyAlignment="1" applyProtection="1">
      <alignment horizontal="right"/>
    </xf>
    <xf numFmtId="1" fontId="57" fillId="0" borderId="0" xfId="2" applyNumberFormat="1" applyFont="1" applyFill="1" applyBorder="1" applyAlignment="1" applyProtection="1">
      <alignment horizontal="right"/>
    </xf>
    <xf numFmtId="169" fontId="57" fillId="0" borderId="11" xfId="2" applyNumberFormat="1" applyFont="1" applyBorder="1" applyAlignment="1" applyProtection="1">
      <alignment horizontal="right"/>
    </xf>
    <xf numFmtId="169" fontId="57" fillId="0" borderId="1" xfId="2" applyNumberFormat="1" applyFont="1" applyBorder="1" applyAlignment="1" applyProtection="1">
      <alignment horizontal="right"/>
    </xf>
    <xf numFmtId="169" fontId="57" fillId="4" borderId="11" xfId="2" applyNumberFormat="1" applyFont="1" applyFill="1" applyBorder="1" applyAlignment="1" applyProtection="1">
      <alignment horizontal="right"/>
    </xf>
    <xf numFmtId="0" fontId="60" fillId="0" borderId="0" xfId="0" applyFont="1" applyProtection="1"/>
    <xf numFmtId="0" fontId="61" fillId="0" borderId="1" xfId="0" applyFont="1" applyBorder="1" applyAlignment="1" applyProtection="1">
      <alignment horizontal="center"/>
    </xf>
    <xf numFmtId="0" fontId="11" fillId="0" borderId="0" xfId="0" applyFont="1"/>
    <xf numFmtId="0" fontId="11" fillId="6" borderId="10" xfId="0" applyFont="1" applyFill="1" applyBorder="1" applyAlignment="1" applyProtection="1">
      <alignment horizontal="center" wrapText="1"/>
      <protection locked="0"/>
    </xf>
    <xf numFmtId="169" fontId="12" fillId="0" borderId="4" xfId="0" applyNumberFormat="1" applyFont="1" applyBorder="1" applyAlignment="1" applyProtection="1"/>
    <xf numFmtId="0" fontId="53" fillId="0" borderId="0" xfId="7" applyFont="1" applyAlignment="1">
      <alignment horizontal="left" vertical="center" wrapText="1"/>
    </xf>
    <xf numFmtId="0" fontId="54" fillId="0" borderId="24" xfId="7" applyFont="1" applyBorder="1" applyAlignment="1">
      <alignment horizontal="left" vertical="center" wrapText="1"/>
    </xf>
    <xf numFmtId="0" fontId="51" fillId="0" borderId="4" xfId="7" applyFont="1" applyBorder="1" applyAlignment="1">
      <alignment horizontal="left"/>
    </xf>
    <xf numFmtId="0" fontId="2" fillId="0" borderId="4" xfId="0" applyFont="1" applyBorder="1" applyAlignment="1" applyProtection="1">
      <alignment horizontal="left" wrapText="1"/>
      <protection locked="0"/>
    </xf>
    <xf numFmtId="0" fontId="51" fillId="0" borderId="0" xfId="7" applyFont="1" applyAlignment="1">
      <alignment horizontal="left"/>
    </xf>
    <xf numFmtId="0" fontId="55" fillId="0" borderId="2" xfId="0" applyFont="1" applyBorder="1" applyAlignment="1" applyProtection="1">
      <alignment horizontal="center"/>
    </xf>
    <xf numFmtId="0" fontId="55" fillId="0" borderId="2" xfId="0" applyFont="1" applyBorder="1" applyProtection="1"/>
    <xf numFmtId="2" fontId="55" fillId="0" borderId="2" xfId="0" applyNumberFormat="1" applyFont="1" applyBorder="1" applyAlignment="1" applyProtection="1">
      <alignment horizontal="right"/>
    </xf>
    <xf numFmtId="1" fontId="55" fillId="0" borderId="2" xfId="2" applyNumberFormat="1" applyFont="1" applyFill="1" applyBorder="1" applyAlignment="1" applyProtection="1">
      <alignment horizontal="left"/>
    </xf>
    <xf numFmtId="1" fontId="55" fillId="0" borderId="2" xfId="2" applyNumberFormat="1" applyFont="1" applyBorder="1" applyAlignment="1" applyProtection="1">
      <alignment horizontal="right"/>
    </xf>
    <xf numFmtId="1" fontId="55" fillId="4" borderId="1" xfId="2" applyNumberFormat="1" applyFont="1" applyFill="1" applyBorder="1" applyAlignment="1" applyProtection="1">
      <alignment horizontal="right"/>
    </xf>
    <xf numFmtId="1" fontId="55" fillId="4" borderId="2" xfId="2" applyNumberFormat="1" applyFont="1" applyFill="1" applyBorder="1" applyAlignment="1" applyProtection="1">
      <alignment horizontal="right"/>
    </xf>
    <xf numFmtId="10" fontId="55" fillId="4" borderId="2" xfId="2" applyNumberFormat="1" applyFont="1" applyFill="1" applyBorder="1" applyAlignment="1" applyProtection="1">
      <alignment horizontal="right"/>
    </xf>
    <xf numFmtId="0" fontId="55" fillId="0" borderId="31" xfId="0" applyFont="1" applyBorder="1" applyAlignment="1" applyProtection="1">
      <alignment horizontal="center"/>
    </xf>
    <xf numFmtId="0" fontId="55" fillId="0" borderId="30" xfId="0" applyFont="1" applyBorder="1" applyAlignment="1" applyProtection="1">
      <alignment horizontal="center" wrapText="1"/>
      <protection locked="0"/>
    </xf>
    <xf numFmtId="169" fontId="55" fillId="0" borderId="30" xfId="0" applyNumberFormat="1" applyFont="1" applyFill="1" applyBorder="1" applyAlignment="1" applyProtection="1">
      <alignment horizontal="right"/>
      <protection locked="0"/>
    </xf>
    <xf numFmtId="169" fontId="55" fillId="0" borderId="30" xfId="2" applyNumberFormat="1" applyFont="1" applyFill="1" applyBorder="1" applyAlignment="1" applyProtection="1">
      <alignment horizontal="right"/>
    </xf>
    <xf numFmtId="169" fontId="55" fillId="0" borderId="30" xfId="2" applyNumberFormat="1" applyFont="1" applyBorder="1" applyAlignment="1" applyProtection="1">
      <alignment horizontal="right"/>
      <protection locked="0"/>
    </xf>
    <xf numFmtId="169" fontId="55" fillId="0" borderId="30" xfId="2" applyNumberFormat="1" applyFont="1" applyBorder="1" applyAlignment="1" applyProtection="1">
      <alignment horizontal="right"/>
    </xf>
    <xf numFmtId="169" fontId="55" fillId="4" borderId="30" xfId="2" applyNumberFormat="1" applyFont="1" applyFill="1" applyBorder="1" applyAlignment="1" applyProtection="1">
      <alignment horizontal="right"/>
    </xf>
    <xf numFmtId="10" fontId="55" fillId="4" borderId="30" xfId="5" applyNumberFormat="1" applyFont="1" applyFill="1" applyBorder="1" applyAlignment="1" applyProtection="1">
      <alignment horizontal="right"/>
    </xf>
    <xf numFmtId="170" fontId="55" fillId="0" borderId="30" xfId="2" applyNumberFormat="1" applyFont="1" applyBorder="1" applyAlignment="1" applyProtection="1">
      <alignment horizontal="right"/>
      <protection locked="0"/>
    </xf>
    <xf numFmtId="0" fontId="55" fillId="0" borderId="2" xfId="0" applyFont="1" applyBorder="1" applyAlignment="1" applyProtection="1">
      <alignment wrapText="1"/>
    </xf>
    <xf numFmtId="44" fontId="55" fillId="0" borderId="2" xfId="9" applyFont="1" applyBorder="1" applyAlignment="1" applyProtection="1">
      <alignment horizontal="right"/>
    </xf>
    <xf numFmtId="44" fontId="55" fillId="0" borderId="10" xfId="9" applyFont="1" applyBorder="1" applyAlignment="1" applyProtection="1">
      <alignment horizontal="right"/>
    </xf>
    <xf numFmtId="44" fontId="55" fillId="0" borderId="1" xfId="9" applyFont="1" applyBorder="1" applyAlignment="1" applyProtection="1">
      <alignment horizontal="right"/>
    </xf>
    <xf numFmtId="44" fontId="55" fillId="0" borderId="29" xfId="9" applyFont="1" applyBorder="1" applyAlignment="1" applyProtection="1">
      <alignment horizontal="right"/>
    </xf>
    <xf numFmtId="44" fontId="55" fillId="0" borderId="32" xfId="9" applyFont="1" applyBorder="1" applyAlignment="1" applyProtection="1">
      <alignment horizontal="right"/>
    </xf>
    <xf numFmtId="44" fontId="57" fillId="0" borderId="11" xfId="9" applyFont="1" applyBorder="1" applyAlignment="1" applyProtection="1">
      <alignment horizontal="right"/>
    </xf>
    <xf numFmtId="0" fontId="0" fillId="0" borderId="27" xfId="0" applyBorder="1"/>
    <xf numFmtId="0" fontId="2" fillId="0" borderId="27" xfId="0" applyFont="1" applyBorder="1"/>
    <xf numFmtId="44" fontId="3" fillId="0" borderId="27" xfId="9" applyFont="1" applyBorder="1"/>
    <xf numFmtId="0" fontId="11" fillId="0" borderId="31" xfId="0" applyFont="1" applyBorder="1"/>
    <xf numFmtId="0" fontId="11" fillId="0" borderId="29" xfId="0" applyFont="1" applyBorder="1"/>
    <xf numFmtId="0" fontId="61" fillId="0" borderId="29" xfId="0" applyFont="1" applyBorder="1" applyAlignment="1" applyProtection="1">
      <alignment horizontal="center"/>
    </xf>
    <xf numFmtId="0" fontId="11" fillId="0" borderId="32" xfId="0" applyFont="1" applyBorder="1"/>
    <xf numFmtId="0" fontId="11" fillId="0" borderId="29" xfId="0" applyFont="1" applyBorder="1" applyAlignment="1" applyProtection="1">
      <alignment horizontal="left"/>
      <protection locked="0"/>
    </xf>
    <xf numFmtId="0" fontId="11" fillId="0" borderId="29" xfId="0" applyFont="1" applyBorder="1" applyAlignment="1" applyProtection="1">
      <alignment horizontal="center" wrapText="1"/>
      <protection locked="0"/>
    </xf>
    <xf numFmtId="2" fontId="55" fillId="0" borderId="33" xfId="0" applyNumberFormat="1" applyFont="1" applyBorder="1" applyAlignment="1" applyProtection="1">
      <alignment horizontal="right"/>
    </xf>
    <xf numFmtId="1" fontId="55" fillId="0" borderId="33" xfId="2" applyNumberFormat="1" applyFont="1" applyFill="1" applyBorder="1" applyAlignment="1" applyProtection="1">
      <alignment horizontal="left"/>
    </xf>
    <xf numFmtId="1" fontId="55" fillId="0" borderId="33" xfId="2" applyNumberFormat="1" applyFont="1" applyBorder="1" applyAlignment="1" applyProtection="1">
      <alignment horizontal="right"/>
    </xf>
    <xf numFmtId="1" fontId="55" fillId="4" borderId="33" xfId="2" applyNumberFormat="1" applyFont="1" applyFill="1" applyBorder="1" applyAlignment="1" applyProtection="1">
      <alignment horizontal="right"/>
    </xf>
    <xf numFmtId="10" fontId="55" fillId="4" borderId="33" xfId="2" applyNumberFormat="1" applyFont="1" applyFill="1" applyBorder="1" applyAlignment="1" applyProtection="1">
      <alignment horizontal="right"/>
    </xf>
    <xf numFmtId="1" fontId="55" fillId="0" borderId="33" xfId="2" applyNumberFormat="1" applyFont="1" applyFill="1" applyBorder="1" applyAlignment="1" applyProtection="1">
      <alignment horizontal="right"/>
    </xf>
    <xf numFmtId="0" fontId="2" fillId="0" borderId="2" xfId="0" applyFont="1" applyBorder="1" applyAlignment="1" applyProtection="1">
      <alignment horizontal="left" wrapText="1"/>
      <protection locked="0"/>
    </xf>
    <xf numFmtId="2" fontId="53" fillId="6" borderId="2" xfId="8" applyNumberFormat="1" applyFont="1" applyFill="1" applyBorder="1" applyAlignment="1"/>
    <xf numFmtId="0" fontId="55" fillId="0" borderId="29" xfId="0" applyFont="1" applyBorder="1" applyProtection="1"/>
    <xf numFmtId="0" fontId="55" fillId="0" borderId="33" xfId="0" applyFont="1" applyBorder="1" applyAlignment="1" applyProtection="1">
      <alignment wrapText="1"/>
    </xf>
    <xf numFmtId="44" fontId="55" fillId="0" borderId="33" xfId="9" applyFont="1" applyBorder="1" applyAlignment="1" applyProtection="1">
      <alignment horizontal="right"/>
    </xf>
    <xf numFmtId="1" fontId="57" fillId="0" borderId="29" xfId="2" applyNumberFormat="1" applyFont="1" applyBorder="1" applyAlignment="1" applyProtection="1">
      <alignment horizontal="right"/>
    </xf>
    <xf numFmtId="1" fontId="57" fillId="0" borderId="8" xfId="2" applyNumberFormat="1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left"/>
    </xf>
    <xf numFmtId="175" fontId="62" fillId="0" borderId="2" xfId="7" applyNumberFormat="1" applyFont="1" applyBorder="1"/>
    <xf numFmtId="0" fontId="51" fillId="0" borderId="4" xfId="7" applyFont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/>
    </xf>
    <xf numFmtId="0" fontId="28" fillId="0" borderId="16" xfId="0" applyFont="1" applyBorder="1" applyAlignment="1" applyProtection="1">
      <alignment horizontal="center"/>
    </xf>
    <xf numFmtId="0" fontId="28" fillId="0" borderId="17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/>
    </xf>
    <xf numFmtId="0" fontId="28" fillId="0" borderId="13" xfId="0" applyFont="1" applyBorder="1" applyAlignment="1" applyProtection="1">
      <alignment horizontal="center"/>
    </xf>
    <xf numFmtId="0" fontId="28" fillId="0" borderId="1" xfId="0" applyFont="1" applyBorder="1" applyAlignment="1" applyProtection="1">
      <alignment horizontal="center"/>
    </xf>
    <xf numFmtId="0" fontId="28" fillId="0" borderId="14" xfId="0" applyFont="1" applyBorder="1" applyAlignment="1" applyProtection="1">
      <alignment horizontal="center"/>
    </xf>
    <xf numFmtId="0" fontId="28" fillId="0" borderId="15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2" fontId="33" fillId="0" borderId="0" xfId="0" applyNumberFormat="1" applyFont="1" applyAlignment="1" applyProtection="1">
      <alignment horizontal="center"/>
    </xf>
    <xf numFmtId="4" fontId="32" fillId="0" borderId="0" xfId="0" applyNumberFormat="1" applyFont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/>
    </xf>
    <xf numFmtId="0" fontId="4" fillId="4" borderId="22" xfId="0" applyFont="1" applyFill="1" applyBorder="1" applyAlignment="1" applyProtection="1">
      <alignment horizontal="center"/>
    </xf>
    <xf numFmtId="1" fontId="4" fillId="0" borderId="20" xfId="0" applyNumberFormat="1" applyFont="1" applyBorder="1" applyAlignment="1" applyProtection="1">
      <alignment horizontal="center"/>
    </xf>
    <xf numFmtId="1" fontId="4" fillId="0" borderId="21" xfId="0" applyNumberFormat="1" applyFont="1" applyBorder="1" applyAlignment="1" applyProtection="1">
      <alignment horizontal="center"/>
    </xf>
    <xf numFmtId="1" fontId="4" fillId="0" borderId="22" xfId="0" applyNumberFormat="1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/>
    </xf>
    <xf numFmtId="0" fontId="12" fillId="4" borderId="21" xfId="0" applyFont="1" applyFill="1" applyBorder="1" applyAlignment="1" applyProtection="1">
      <alignment horizontal="center"/>
    </xf>
    <xf numFmtId="0" fontId="12" fillId="4" borderId="22" xfId="0" applyFont="1" applyFill="1" applyBorder="1" applyAlignment="1" applyProtection="1">
      <alignment horizontal="center"/>
    </xf>
    <xf numFmtId="1" fontId="12" fillId="0" borderId="20" xfId="0" applyNumberFormat="1" applyFont="1" applyBorder="1" applyAlignment="1" applyProtection="1">
      <alignment horizontal="center"/>
    </xf>
    <xf numFmtId="1" fontId="12" fillId="0" borderId="21" xfId="0" applyNumberFormat="1" applyFont="1" applyBorder="1" applyAlignment="1" applyProtection="1">
      <alignment horizontal="center"/>
    </xf>
    <xf numFmtId="1" fontId="12" fillId="0" borderId="22" xfId="0" applyNumberFormat="1" applyFont="1" applyBorder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1" fontId="32" fillId="0" borderId="0" xfId="0" applyNumberFormat="1" applyFont="1" applyAlignment="1" applyProtection="1">
      <alignment horizontal="center"/>
      <protection locked="0"/>
    </xf>
    <xf numFmtId="1" fontId="33" fillId="0" borderId="0" xfId="0" applyNumberFormat="1" applyFont="1" applyAlignment="1" applyProtection="1">
      <alignment horizontal="center"/>
    </xf>
    <xf numFmtId="0" fontId="32" fillId="0" borderId="0" xfId="0" applyFont="1" applyAlignment="1" applyProtection="1">
      <alignment horizontal="center"/>
      <protection locked="0"/>
    </xf>
    <xf numFmtId="1" fontId="3" fillId="0" borderId="20" xfId="0" applyNumberFormat="1" applyFont="1" applyBorder="1" applyAlignment="1" applyProtection="1">
      <alignment horizontal="center"/>
    </xf>
    <xf numFmtId="1" fontId="3" fillId="0" borderId="21" xfId="0" applyNumberFormat="1" applyFont="1" applyBorder="1" applyAlignment="1" applyProtection="1">
      <alignment horizontal="center"/>
    </xf>
    <xf numFmtId="1" fontId="3" fillId="0" borderId="22" xfId="0" applyNumberFormat="1" applyFont="1" applyBorder="1" applyAlignment="1" applyProtection="1">
      <alignment horizontal="center"/>
    </xf>
    <xf numFmtId="0" fontId="57" fillId="0" borderId="20" xfId="0" applyFont="1" applyBorder="1" applyAlignment="1" applyProtection="1">
      <alignment horizontal="center"/>
    </xf>
    <xf numFmtId="0" fontId="57" fillId="0" borderId="21" xfId="0" applyFont="1" applyBorder="1" applyAlignment="1" applyProtection="1">
      <alignment horizontal="center"/>
    </xf>
    <xf numFmtId="0" fontId="57" fillId="0" borderId="22" xfId="0" applyFont="1" applyBorder="1" applyAlignment="1" applyProtection="1">
      <alignment horizontal="center"/>
    </xf>
    <xf numFmtId="0" fontId="57" fillId="4" borderId="20" xfId="0" applyFont="1" applyFill="1" applyBorder="1" applyAlignment="1" applyProtection="1">
      <alignment horizontal="center"/>
    </xf>
    <xf numFmtId="0" fontId="57" fillId="4" borderId="21" xfId="0" applyFont="1" applyFill="1" applyBorder="1" applyAlignment="1" applyProtection="1">
      <alignment horizontal="center"/>
    </xf>
    <xf numFmtId="0" fontId="57" fillId="4" borderId="22" xfId="0" applyFont="1" applyFill="1" applyBorder="1" applyAlignment="1" applyProtection="1">
      <alignment horizontal="center"/>
    </xf>
    <xf numFmtId="0" fontId="56" fillId="0" borderId="0" xfId="0" applyFont="1" applyAlignment="1" applyProtection="1">
      <alignment horizontal="center"/>
    </xf>
    <xf numFmtId="0" fontId="56" fillId="0" borderId="0" xfId="0" applyFont="1" applyAlignment="1" applyProtection="1">
      <alignment horizontal="center"/>
      <protection locked="0"/>
    </xf>
    <xf numFmtId="0" fontId="50" fillId="0" borderId="0" xfId="0" applyFont="1" applyAlignment="1" applyProtection="1">
      <alignment horizontal="center"/>
    </xf>
    <xf numFmtId="0" fontId="52" fillId="0" borderId="0" xfId="0" applyFont="1" applyAlignment="1" applyProtection="1">
      <alignment horizontal="center"/>
      <protection locked="0"/>
    </xf>
    <xf numFmtId="0" fontId="54" fillId="0" borderId="23" xfId="7" applyNumberFormat="1" applyFont="1" applyBorder="1" applyAlignment="1">
      <alignment horizontal="center" vertical="center" wrapText="1"/>
    </xf>
    <xf numFmtId="0" fontId="54" fillId="0" borderId="25" xfId="7" applyNumberFormat="1" applyFont="1" applyBorder="1" applyAlignment="1">
      <alignment horizontal="center" vertical="center" wrapText="1"/>
    </xf>
    <xf numFmtId="0" fontId="54" fillId="0" borderId="23" xfId="7" applyNumberFormat="1" applyFont="1" applyBorder="1" applyAlignment="1">
      <alignment horizontal="left" vertical="center" wrapText="1"/>
    </xf>
    <xf numFmtId="0" fontId="54" fillId="0" borderId="25" xfId="7" applyNumberFormat="1" applyFont="1" applyBorder="1" applyAlignment="1">
      <alignment horizontal="left" vertical="center" wrapText="1"/>
    </xf>
    <xf numFmtId="0" fontId="54" fillId="0" borderId="24" xfId="7" applyNumberFormat="1" applyFont="1" applyBorder="1" applyAlignment="1">
      <alignment horizontal="center" wrapText="1"/>
    </xf>
    <xf numFmtId="0" fontId="54" fillId="0" borderId="6" xfId="7" applyNumberFormat="1" applyFont="1" applyBorder="1" applyAlignment="1">
      <alignment horizontal="center" wrapText="1"/>
    </xf>
    <xf numFmtId="0" fontId="51" fillId="0" borderId="4" xfId="7" applyFont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47" fillId="0" borderId="20" xfId="0" applyFont="1" applyBorder="1" applyAlignment="1" applyProtection="1">
      <alignment horizontal="center"/>
    </xf>
    <xf numFmtId="0" fontId="47" fillId="0" borderId="21" xfId="0" applyFont="1" applyBorder="1" applyAlignment="1" applyProtection="1">
      <alignment horizontal="center"/>
    </xf>
    <xf numFmtId="0" fontId="47" fillId="0" borderId="22" xfId="0" applyFont="1" applyBorder="1" applyAlignment="1" applyProtection="1">
      <alignment horizontal="center"/>
    </xf>
    <xf numFmtId="0" fontId="46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center"/>
      <protection locked="0"/>
    </xf>
    <xf numFmtId="0" fontId="47" fillId="4" borderId="20" xfId="0" applyFont="1" applyFill="1" applyBorder="1" applyAlignment="1" applyProtection="1">
      <alignment horizontal="center"/>
    </xf>
    <xf numFmtId="0" fontId="47" fillId="4" borderId="21" xfId="0" applyFont="1" applyFill="1" applyBorder="1" applyAlignment="1" applyProtection="1">
      <alignment horizontal="center"/>
    </xf>
    <xf numFmtId="0" fontId="47" fillId="4" borderId="22" xfId="0" applyFont="1" applyFill="1" applyBorder="1" applyAlignment="1" applyProtection="1">
      <alignment horizontal="center"/>
    </xf>
    <xf numFmtId="0" fontId="46" fillId="6" borderId="28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0">
    <cellStyle name="Euro" xfId="1"/>
    <cellStyle name="Millares" xfId="2" builtinId="3"/>
    <cellStyle name="Millares_Calculo Sueldo 2002 " xfId="3"/>
    <cellStyle name="Moneda" xfId="9" builtinId="4"/>
    <cellStyle name="Moneda 2" xfId="8"/>
    <cellStyle name="Normal" xfId="0" builtinId="0"/>
    <cellStyle name="Normal 2" xfId="6"/>
    <cellStyle name="Normal 3" xfId="7"/>
    <cellStyle name="Normal_PPHON" xfId="4"/>
    <cellStyle name="Porcentual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/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/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/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/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/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/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/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/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/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/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/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/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/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/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son/Downloads/Pgo%20Prov.%20Gonzalo%20Gtz.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7"/>
  <sheetViews>
    <sheetView showGridLines="0" workbookViewId="0"/>
  </sheetViews>
  <sheetFormatPr baseColWidth="10" defaultColWidth="11.42578125" defaultRowHeight="12.75"/>
  <cols>
    <col min="1" max="1" width="11.42578125" style="7"/>
    <col min="2" max="4" width="13.7109375" style="7" customWidth="1"/>
    <col min="5" max="5" width="11.42578125" style="7"/>
    <col min="6" max="7" width="13.7109375" style="7" customWidth="1"/>
    <col min="8" max="16384" width="11.42578125" style="7"/>
  </cols>
  <sheetData>
    <row r="2" spans="1:7" ht="18.75">
      <c r="B2" s="62" t="s">
        <v>134</v>
      </c>
      <c r="C2" s="63"/>
      <c r="D2" s="63"/>
      <c r="E2" s="63"/>
      <c r="F2" s="63"/>
      <c r="G2" s="63"/>
    </row>
    <row r="3" spans="1:7">
      <c r="B3" s="64" t="s">
        <v>97</v>
      </c>
      <c r="C3" s="63"/>
      <c r="D3" s="63"/>
      <c r="E3" s="63"/>
      <c r="F3" s="63"/>
      <c r="G3" s="63"/>
    </row>
    <row r="4" spans="1:7">
      <c r="B4" s="75" t="s">
        <v>135</v>
      </c>
      <c r="C4" s="63"/>
      <c r="D4" s="63"/>
      <c r="E4" s="63"/>
      <c r="F4" s="63"/>
      <c r="G4" s="63"/>
    </row>
    <row r="5" spans="1:7">
      <c r="B5" s="63"/>
      <c r="C5" s="63"/>
      <c r="D5" s="63"/>
      <c r="E5" s="63"/>
      <c r="F5" s="63"/>
      <c r="G5" s="63"/>
    </row>
    <row r="6" spans="1:7">
      <c r="B6" s="63"/>
      <c r="C6" s="63"/>
      <c r="D6" s="63"/>
      <c r="E6" s="63"/>
      <c r="F6" s="63"/>
      <c r="G6" s="63"/>
    </row>
    <row r="7" spans="1:7" ht="18.75" customHeight="1">
      <c r="B7" s="628" t="s">
        <v>32</v>
      </c>
      <c r="C7" s="628"/>
      <c r="D7" s="628"/>
      <c r="E7" s="63"/>
      <c r="F7" s="629" t="s">
        <v>87</v>
      </c>
      <c r="G7" s="630"/>
    </row>
    <row r="8" spans="1:7" ht="14.25" customHeight="1">
      <c r="B8" s="631" t="s">
        <v>31</v>
      </c>
      <c r="C8" s="631"/>
      <c r="D8" s="631"/>
      <c r="E8" s="63"/>
      <c r="F8" s="632" t="s">
        <v>88</v>
      </c>
      <c r="G8" s="633"/>
    </row>
    <row r="9" spans="1:7" ht="8.25" customHeight="1">
      <c r="B9" s="625"/>
      <c r="C9" s="625"/>
      <c r="D9" s="625"/>
      <c r="E9" s="63"/>
      <c r="F9" s="626"/>
      <c r="G9" s="627"/>
    </row>
    <row r="10" spans="1:7" ht="16.5" customHeight="1">
      <c r="B10" s="65" t="s">
        <v>33</v>
      </c>
      <c r="C10" s="65" t="s">
        <v>35</v>
      </c>
      <c r="D10" s="65" t="s">
        <v>29</v>
      </c>
      <c r="E10" s="63"/>
      <c r="F10" s="65" t="s">
        <v>38</v>
      </c>
      <c r="G10" s="65" t="s">
        <v>89</v>
      </c>
    </row>
    <row r="11" spans="1:7">
      <c r="A11" s="2"/>
      <c r="B11" s="65" t="s">
        <v>34</v>
      </c>
      <c r="C11" s="65" t="s">
        <v>36</v>
      </c>
      <c r="D11" s="65" t="s">
        <v>37</v>
      </c>
      <c r="E11" s="63"/>
      <c r="F11" s="65"/>
      <c r="G11" s="65" t="s">
        <v>90</v>
      </c>
    </row>
    <row r="12" spans="1:7">
      <c r="A12" s="3"/>
      <c r="B12" s="66"/>
      <c r="C12" s="66"/>
      <c r="D12" s="66"/>
      <c r="E12" s="67"/>
      <c r="F12" s="66"/>
      <c r="G12" s="66"/>
    </row>
    <row r="13" spans="1:7" ht="15.95" customHeight="1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5.95" customHeight="1">
      <c r="A14" s="1"/>
      <c r="B14" s="76">
        <v>496.08</v>
      </c>
      <c r="C14" s="76">
        <v>9.52</v>
      </c>
      <c r="D14" s="77">
        <v>6.4000000000000001E-2</v>
      </c>
      <c r="E14" s="70"/>
      <c r="F14" s="76">
        <v>1768.97</v>
      </c>
      <c r="G14" s="76">
        <v>406.83</v>
      </c>
    </row>
    <row r="15" spans="1:7" ht="15.95" customHeight="1">
      <c r="A15" s="1"/>
      <c r="B15" s="76">
        <v>4210.42</v>
      </c>
      <c r="C15" s="76">
        <v>247.24</v>
      </c>
      <c r="D15" s="77">
        <v>0.10879999999999999</v>
      </c>
      <c r="E15" s="70"/>
      <c r="F15" s="76">
        <v>2653.39</v>
      </c>
      <c r="G15" s="76">
        <v>406.62</v>
      </c>
    </row>
    <row r="16" spans="1:7" ht="15.95" customHeight="1">
      <c r="A16" s="1"/>
      <c r="B16" s="76">
        <v>7399.43</v>
      </c>
      <c r="C16" s="76">
        <v>594.21</v>
      </c>
      <c r="D16" s="77">
        <v>0.16</v>
      </c>
      <c r="E16" s="70"/>
      <c r="F16" s="76">
        <v>3472.85</v>
      </c>
      <c r="G16" s="76">
        <v>392.77</v>
      </c>
    </row>
    <row r="17" spans="1:7" ht="15.95" customHeight="1">
      <c r="A17" s="1"/>
      <c r="B17" s="76">
        <v>8601.51</v>
      </c>
      <c r="C17" s="76">
        <v>786.54</v>
      </c>
      <c r="D17" s="77">
        <v>0.1792</v>
      </c>
      <c r="E17" s="70"/>
      <c r="F17" s="76">
        <v>3537.88</v>
      </c>
      <c r="G17" s="76">
        <v>382.46</v>
      </c>
    </row>
    <row r="18" spans="1:7" ht="15.95" customHeight="1">
      <c r="A18" s="1"/>
      <c r="B18" s="76">
        <v>10298.36</v>
      </c>
      <c r="C18" s="76">
        <v>1090.6099999999999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5.95" customHeight="1">
      <c r="A19" s="1"/>
      <c r="B19" s="76">
        <v>20770.3</v>
      </c>
      <c r="C19" s="76">
        <v>3327.42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5.95" customHeight="1">
      <c r="A20" s="1"/>
      <c r="B20" s="76">
        <v>32736.84</v>
      </c>
      <c r="C20" s="76">
        <v>6141.95</v>
      </c>
      <c r="D20" s="77">
        <v>0.3</v>
      </c>
      <c r="E20" s="63"/>
      <c r="F20" s="76">
        <v>5335.43</v>
      </c>
      <c r="G20" s="76">
        <v>294.63</v>
      </c>
    </row>
    <row r="21" spans="1:7">
      <c r="A21" s="1"/>
      <c r="B21" s="76">
        <v>62500.01</v>
      </c>
      <c r="C21" s="76">
        <v>15070.9</v>
      </c>
      <c r="D21" s="77">
        <v>0.32</v>
      </c>
      <c r="E21" s="63"/>
      <c r="F21" s="76">
        <v>6224.68</v>
      </c>
      <c r="G21" s="76">
        <v>253.54</v>
      </c>
    </row>
    <row r="22" spans="1:7" ht="15" customHeight="1">
      <c r="A22" s="1"/>
      <c r="B22" s="76">
        <v>83333.34</v>
      </c>
      <c r="C22" s="76">
        <v>21737.57</v>
      </c>
      <c r="D22" s="77">
        <v>0.34</v>
      </c>
      <c r="E22" s="63"/>
      <c r="F22" s="78">
        <v>7113.91</v>
      </c>
      <c r="G22" s="78">
        <v>217.61</v>
      </c>
    </row>
    <row r="23" spans="1:7">
      <c r="B23" s="76">
        <v>250000.01</v>
      </c>
      <c r="C23" s="76">
        <v>78404.23</v>
      </c>
      <c r="D23" s="77">
        <v>0.35</v>
      </c>
      <c r="E23" s="63"/>
      <c r="F23" s="78">
        <v>7382.34</v>
      </c>
      <c r="G23" s="78">
        <v>0</v>
      </c>
    </row>
    <row r="24" spans="1:7">
      <c r="B24" s="71"/>
      <c r="C24" s="71"/>
      <c r="D24" s="72"/>
      <c r="E24" s="63"/>
      <c r="F24" s="73"/>
      <c r="G24" s="73"/>
    </row>
    <row r="25" spans="1:7">
      <c r="E25" s="63"/>
      <c r="F25" s="63"/>
      <c r="G25" s="63"/>
    </row>
    <row r="26" spans="1:7">
      <c r="B26" s="63"/>
      <c r="C26" s="63"/>
      <c r="D26" s="63"/>
      <c r="E26" s="63"/>
      <c r="F26" s="63"/>
      <c r="G26" s="63"/>
    </row>
    <row r="27" spans="1:7">
      <c r="B27" s="63"/>
      <c r="C27" s="63"/>
      <c r="D27" s="63"/>
      <c r="E27" s="63"/>
      <c r="F27" s="63"/>
      <c r="G27" s="63"/>
    </row>
    <row r="28" spans="1:7">
      <c r="C28" s="63"/>
      <c r="D28" s="63"/>
      <c r="E28" s="63"/>
      <c r="F28" s="63"/>
      <c r="G28" s="63"/>
    </row>
    <row r="29" spans="1:7">
      <c r="C29" s="63"/>
      <c r="D29" s="63"/>
      <c r="E29" s="63"/>
      <c r="F29" s="63"/>
      <c r="G29" s="63"/>
    </row>
    <row r="30" spans="1:7">
      <c r="C30" s="63"/>
      <c r="D30" s="63"/>
      <c r="E30" s="63"/>
      <c r="F30" s="63"/>
      <c r="G30" s="63"/>
    </row>
    <row r="31" spans="1:7">
      <c r="C31" s="63"/>
      <c r="D31" s="63"/>
      <c r="E31" s="63"/>
      <c r="F31" s="63"/>
      <c r="G31" s="63"/>
    </row>
    <row r="32" spans="1:7">
      <c r="B32" s="63"/>
      <c r="C32" s="63"/>
      <c r="D32" s="63"/>
      <c r="E32" s="63"/>
      <c r="F32" s="63"/>
      <c r="G32" s="63"/>
    </row>
    <row r="33" spans="2:7">
      <c r="B33" s="64" t="s">
        <v>41</v>
      </c>
      <c r="C33" s="63"/>
      <c r="D33" s="63"/>
    </row>
    <row r="34" spans="2:7" ht="15.75">
      <c r="B34" s="74" t="s">
        <v>98</v>
      </c>
      <c r="C34" s="63"/>
      <c r="D34" s="63"/>
    </row>
    <row r="35" spans="2:7">
      <c r="B35" s="99" t="s">
        <v>74</v>
      </c>
      <c r="C35" s="63"/>
      <c r="D35" s="63"/>
    </row>
    <row r="44" spans="2:7" ht="17.25" customHeight="1">
      <c r="B44" s="61" t="s">
        <v>72</v>
      </c>
      <c r="E44" s="63"/>
      <c r="F44" s="629" t="s">
        <v>92</v>
      </c>
      <c r="G44" s="630"/>
    </row>
    <row r="45" spans="2:7">
      <c r="E45" s="63"/>
      <c r="F45" s="632" t="s">
        <v>93</v>
      </c>
      <c r="G45" s="633"/>
    </row>
    <row r="46" spans="2:7" ht="5.25" customHeight="1">
      <c r="E46" s="63"/>
      <c r="F46" s="626"/>
      <c r="G46" s="627"/>
    </row>
    <row r="47" spans="2:7">
      <c r="B47" s="628" t="s">
        <v>32</v>
      </c>
      <c r="C47" s="628"/>
      <c r="D47" s="628"/>
      <c r="E47" s="63"/>
      <c r="F47" s="65" t="s">
        <v>38</v>
      </c>
      <c r="G47" s="65" t="s">
        <v>39</v>
      </c>
    </row>
    <row r="48" spans="2:7">
      <c r="B48" s="631" t="s">
        <v>31</v>
      </c>
      <c r="C48" s="631"/>
      <c r="D48" s="631"/>
      <c r="E48" s="63"/>
      <c r="F48" s="65"/>
      <c r="G48" s="65" t="s">
        <v>40</v>
      </c>
    </row>
    <row r="49" spans="2:7">
      <c r="B49" s="625"/>
      <c r="C49" s="625"/>
      <c r="D49" s="625"/>
      <c r="E49" s="67"/>
      <c r="F49" s="66"/>
      <c r="G49" s="66"/>
    </row>
    <row r="50" spans="2:7" ht="15.95" customHeight="1">
      <c r="B50" s="65" t="s">
        <v>33</v>
      </c>
      <c r="C50" s="65" t="s">
        <v>35</v>
      </c>
      <c r="D50" s="65" t="s">
        <v>29</v>
      </c>
      <c r="E50" s="70"/>
      <c r="F50" s="68">
        <v>0.01</v>
      </c>
      <c r="G50" s="68">
        <f t="shared" ref="G50:G60" si="0">G13/2</f>
        <v>203.51</v>
      </c>
    </row>
    <row r="51" spans="2:7" ht="15.95" customHeight="1">
      <c r="B51" s="65" t="s">
        <v>34</v>
      </c>
      <c r="C51" s="65" t="s">
        <v>36</v>
      </c>
      <c r="D51" s="65" t="s">
        <v>37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5.95" customHeight="1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5.95" customHeight="1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5.95" customHeight="1">
      <c r="B54" s="68">
        <f>B14/2</f>
        <v>248.04</v>
      </c>
      <c r="C54" s="68">
        <f>C14/2</f>
        <v>4.76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5.95" customHeight="1">
      <c r="B55" s="68">
        <f t="shared" ref="B55:C63" si="2">B15/2</f>
        <v>2105.21</v>
      </c>
      <c r="C55" s="68">
        <f t="shared" si="2"/>
        <v>123.62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5.95" customHeight="1">
      <c r="B56" s="68">
        <f t="shared" si="2"/>
        <v>3699.7150000000001</v>
      </c>
      <c r="C56" s="68">
        <f t="shared" si="2"/>
        <v>297.10500000000002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5.95" customHeight="1">
      <c r="B57" s="68">
        <f t="shared" si="2"/>
        <v>4300.7550000000001</v>
      </c>
      <c r="C57" s="68">
        <f t="shared" si="2"/>
        <v>393.27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5.95" customHeight="1">
      <c r="B58" s="68">
        <f t="shared" si="2"/>
        <v>5149.18</v>
      </c>
      <c r="C58" s="68">
        <f t="shared" si="2"/>
        <v>545.30499999999995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5.95" customHeight="1">
      <c r="B59" s="68">
        <f t="shared" si="2"/>
        <v>10385.15</v>
      </c>
      <c r="C59" s="68">
        <f t="shared" si="2"/>
        <v>1663.71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5.95" customHeight="1">
      <c r="B60" s="68">
        <f t="shared" si="2"/>
        <v>16368.42</v>
      </c>
      <c r="C60" s="68">
        <f t="shared" si="2"/>
        <v>3070.9749999999999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>
      <c r="B61" s="68">
        <f t="shared" si="2"/>
        <v>31250.005000000001</v>
      </c>
      <c r="C61" s="68">
        <f t="shared" si="2"/>
        <v>7535.45</v>
      </c>
      <c r="D61" s="69">
        <f t="shared" si="3"/>
        <v>0.32</v>
      </c>
      <c r="E61" s="63"/>
      <c r="F61" s="73"/>
      <c r="G61" s="73"/>
    </row>
    <row r="62" spans="2:7">
      <c r="B62" s="68">
        <f t="shared" si="2"/>
        <v>41666.67</v>
      </c>
      <c r="C62" s="68">
        <f t="shared" si="2"/>
        <v>10868.785</v>
      </c>
      <c r="D62" s="69">
        <f t="shared" si="3"/>
        <v>0.34</v>
      </c>
    </row>
    <row r="63" spans="2:7">
      <c r="B63" s="68">
        <f t="shared" si="2"/>
        <v>125000.005</v>
      </c>
      <c r="C63" s="68">
        <f t="shared" si="2"/>
        <v>39202.114999999998</v>
      </c>
      <c r="D63" s="69">
        <f t="shared" si="3"/>
        <v>0.35</v>
      </c>
    </row>
    <row r="64" spans="2:7">
      <c r="B64" s="71"/>
      <c r="C64" s="71"/>
      <c r="D64" s="72"/>
    </row>
    <row r="66" spans="2:4">
      <c r="B66" s="63"/>
      <c r="C66" s="63"/>
      <c r="D66" s="63"/>
    </row>
    <row r="67" spans="2:4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1"/>
  <sheetViews>
    <sheetView showGridLines="0" zoomScale="53" zoomScaleNormal="53" workbookViewId="0">
      <selection activeCell="B12" sqref="B12:AI12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5703125" style="7" bestFit="1" customWidth="1"/>
    <col min="4" max="4" width="31.5703125" style="7" customWidth="1"/>
    <col min="5" max="5" width="6.5703125" style="7" customWidth="1"/>
    <col min="6" max="6" width="9.5703125" style="7" bestFit="1" customWidth="1"/>
    <col min="7" max="7" width="1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.7109375" style="7" bestFit="1" customWidth="1"/>
    <col min="12" max="12" width="10.7109375" style="7" bestFit="1" customWidth="1"/>
    <col min="13" max="13" width="9.28515625" style="7" bestFit="1" customWidth="1"/>
    <col min="14" max="14" width="1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2" style="7" bestFit="1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2" style="7" bestFit="1" customWidth="1"/>
    <col min="34" max="34" width="15.5703125" style="7" bestFit="1" customWidth="1"/>
    <col min="35" max="35" width="52.42578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310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173</v>
      </c>
      <c r="D8" s="148" t="s">
        <v>174</v>
      </c>
      <c r="E8" s="109">
        <v>15</v>
      </c>
      <c r="F8" s="142">
        <v>260</v>
      </c>
      <c r="G8" s="117">
        <f t="shared" ref="G8:G18" si="0">E8*F8</f>
        <v>3900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:N18" si="1">SUM(G8:M8)</f>
        <v>3900</v>
      </c>
      <c r="O8" s="216"/>
      <c r="P8" s="217">
        <f t="shared" ref="P8:P18" si="2">IF(F8=47.16,0,IF(F8&gt;47.16,K8*0.5,0))</f>
        <v>0</v>
      </c>
      <c r="Q8" s="217">
        <f t="shared" ref="Q8:Q18" si="3">G8+H8+I8+L8+P8+J8</f>
        <v>3900</v>
      </c>
      <c r="R8" s="217">
        <f t="shared" ref="R8:R18" si="4">VLOOKUP(Q8,Tarifa1,1)</f>
        <v>3699.7150000000001</v>
      </c>
      <c r="S8" s="217">
        <f t="shared" ref="S8:S18" si="5">Q8-R8</f>
        <v>200.28499999999985</v>
      </c>
      <c r="T8" s="218">
        <f t="shared" ref="T8:T18" si="6">VLOOKUP(Q8,Tarifa1,3)</f>
        <v>0.16</v>
      </c>
      <c r="U8" s="217">
        <f t="shared" ref="U8:U18" si="7">S8*T8</f>
        <v>32.045599999999979</v>
      </c>
      <c r="V8" s="217">
        <f t="shared" ref="V8:V18" si="8">VLOOKUP(Q8,Tarifa1,2)</f>
        <v>297.10500000000002</v>
      </c>
      <c r="W8" s="217">
        <f t="shared" ref="W8:W18" si="9">U8+V8</f>
        <v>329.1506</v>
      </c>
      <c r="X8" s="217">
        <f t="shared" ref="X8:X18" si="10">VLOOKUP(Q8,Credito1,2)</f>
        <v>0</v>
      </c>
      <c r="Y8" s="217">
        <f t="shared" ref="Y8:Y18" si="11">W8-X8</f>
        <v>329.1506</v>
      </c>
      <c r="Z8" s="219"/>
      <c r="AA8" s="215">
        <f t="shared" ref="AA8:AA18" si="12">-IF(Y8&gt;0,0,Y8)</f>
        <v>0</v>
      </c>
      <c r="AB8" s="215">
        <f t="shared" ref="AB8:AB18" si="13">IF(Y8&lt;0,0,Y8)</f>
        <v>329.1506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:AG11" si="14">SUM(AB8:AF8)</f>
        <v>329.1506</v>
      </c>
      <c r="AH8" s="215">
        <f t="shared" ref="AH8:AH18" si="15">N8+AA8-AG8</f>
        <v>3570.8494000000001</v>
      </c>
      <c r="AI8" s="111"/>
      <c r="AJ8" s="52"/>
      <c r="AK8" s="111">
        <v>4.1399999999999864</v>
      </c>
      <c r="AL8" s="111">
        <f>AB8-AK8</f>
        <v>325.01060000000001</v>
      </c>
    </row>
    <row r="9" spans="1:38" s="140" customFormat="1" ht="33.950000000000003" customHeight="1">
      <c r="A9" s="7"/>
      <c r="B9" s="108">
        <v>2</v>
      </c>
      <c r="C9" s="147" t="s">
        <v>178</v>
      </c>
      <c r="D9" s="148" t="s">
        <v>179</v>
      </c>
      <c r="E9" s="109">
        <v>15</v>
      </c>
      <c r="F9" s="142">
        <v>120.2</v>
      </c>
      <c r="G9" s="117">
        <f t="shared" si="0"/>
        <v>1803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15">
        <f t="shared" si="1"/>
        <v>1803</v>
      </c>
      <c r="O9" s="216"/>
      <c r="P9" s="217">
        <f t="shared" si="2"/>
        <v>0</v>
      </c>
      <c r="Q9" s="217">
        <f t="shared" si="3"/>
        <v>1803</v>
      </c>
      <c r="R9" s="217">
        <f t="shared" si="4"/>
        <v>248.04</v>
      </c>
      <c r="S9" s="217">
        <f t="shared" si="5"/>
        <v>1554.96</v>
      </c>
      <c r="T9" s="218">
        <f t="shared" si="6"/>
        <v>6.4000000000000001E-2</v>
      </c>
      <c r="U9" s="217">
        <f t="shared" si="7"/>
        <v>99.517440000000008</v>
      </c>
      <c r="V9" s="217">
        <f t="shared" si="8"/>
        <v>4.76</v>
      </c>
      <c r="W9" s="217">
        <f t="shared" si="9"/>
        <v>104.27744000000001</v>
      </c>
      <c r="X9" s="217">
        <f t="shared" si="10"/>
        <v>191.23</v>
      </c>
      <c r="Y9" s="217">
        <f t="shared" si="11"/>
        <v>-86.952559999999977</v>
      </c>
      <c r="Z9" s="219"/>
      <c r="AA9" s="215">
        <f t="shared" si="12"/>
        <v>86.952559999999977</v>
      </c>
      <c r="AB9" s="215">
        <f t="shared" si="13"/>
        <v>0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si="14"/>
        <v>0</v>
      </c>
      <c r="AH9" s="215">
        <f t="shared" si="15"/>
        <v>1889.9525599999999</v>
      </c>
      <c r="AI9" s="111"/>
      <c r="AJ9" s="52"/>
      <c r="AK9" s="111">
        <v>4.1399999999999864</v>
      </c>
      <c r="AL9" s="111">
        <f>AB9-AK9</f>
        <v>-4.1399999999999864</v>
      </c>
    </row>
    <row r="10" spans="1:38" s="140" customFormat="1" ht="33.950000000000003" customHeight="1">
      <c r="A10" s="7"/>
      <c r="B10" s="108">
        <v>3</v>
      </c>
      <c r="C10" s="147" t="s">
        <v>176</v>
      </c>
      <c r="D10" s="148" t="s">
        <v>177</v>
      </c>
      <c r="E10" s="109">
        <v>15</v>
      </c>
      <c r="F10" s="142">
        <v>81</v>
      </c>
      <c r="G10" s="117">
        <f t="shared" si="0"/>
        <v>1215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15">
        <f t="shared" si="1"/>
        <v>1215</v>
      </c>
      <c r="O10" s="216"/>
      <c r="P10" s="217">
        <f t="shared" si="2"/>
        <v>0</v>
      </c>
      <c r="Q10" s="217">
        <f t="shared" si="3"/>
        <v>1215</v>
      </c>
      <c r="R10" s="217">
        <f t="shared" si="4"/>
        <v>248.04</v>
      </c>
      <c r="S10" s="217">
        <f t="shared" si="5"/>
        <v>966.96</v>
      </c>
      <c r="T10" s="218">
        <f t="shared" si="6"/>
        <v>6.4000000000000001E-2</v>
      </c>
      <c r="U10" s="217">
        <f t="shared" si="7"/>
        <v>61.885440000000003</v>
      </c>
      <c r="V10" s="217">
        <f t="shared" si="8"/>
        <v>4.76</v>
      </c>
      <c r="W10" s="217">
        <f t="shared" si="9"/>
        <v>66.645440000000008</v>
      </c>
      <c r="X10" s="217">
        <f t="shared" si="10"/>
        <v>203.41499999999999</v>
      </c>
      <c r="Y10" s="217">
        <f t="shared" si="11"/>
        <v>-136.76955999999998</v>
      </c>
      <c r="Z10" s="219"/>
      <c r="AA10" s="215">
        <f t="shared" si="12"/>
        <v>136.76955999999998</v>
      </c>
      <c r="AB10" s="215">
        <f t="shared" si="13"/>
        <v>0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14"/>
        <v>0</v>
      </c>
      <c r="AH10" s="215">
        <f t="shared" si="15"/>
        <v>1351.76956</v>
      </c>
      <c r="AI10" s="111"/>
      <c r="AJ10" s="52"/>
      <c r="AK10" s="111">
        <v>330</v>
      </c>
      <c r="AL10" s="111">
        <f t="shared" ref="AL10:AL15" si="16">AB10-AK10</f>
        <v>-330</v>
      </c>
    </row>
    <row r="11" spans="1:38" s="140" customFormat="1" ht="33.950000000000003" customHeight="1">
      <c r="A11" s="7"/>
      <c r="B11" s="108">
        <v>4</v>
      </c>
      <c r="C11" s="147" t="s">
        <v>175</v>
      </c>
      <c r="D11" s="148" t="s">
        <v>180</v>
      </c>
      <c r="E11" s="109">
        <v>15</v>
      </c>
      <c r="F11" s="142">
        <v>81</v>
      </c>
      <c r="G11" s="117">
        <f t="shared" si="0"/>
        <v>1215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215">
        <f t="shared" si="1"/>
        <v>1215</v>
      </c>
      <c r="O11" s="216"/>
      <c r="P11" s="217">
        <f t="shared" si="2"/>
        <v>0</v>
      </c>
      <c r="Q11" s="217">
        <f t="shared" si="3"/>
        <v>1215</v>
      </c>
      <c r="R11" s="217">
        <f t="shared" si="4"/>
        <v>248.04</v>
      </c>
      <c r="S11" s="217">
        <f t="shared" si="5"/>
        <v>966.96</v>
      </c>
      <c r="T11" s="218">
        <f t="shared" si="6"/>
        <v>6.4000000000000001E-2</v>
      </c>
      <c r="U11" s="217">
        <f t="shared" si="7"/>
        <v>61.885440000000003</v>
      </c>
      <c r="V11" s="217">
        <f t="shared" si="8"/>
        <v>4.76</v>
      </c>
      <c r="W11" s="217">
        <f t="shared" si="9"/>
        <v>66.645440000000008</v>
      </c>
      <c r="X11" s="217">
        <f t="shared" si="10"/>
        <v>203.41499999999999</v>
      </c>
      <c r="Y11" s="217">
        <f t="shared" si="11"/>
        <v>-136.76955999999998</v>
      </c>
      <c r="Z11" s="219"/>
      <c r="AA11" s="215">
        <f t="shared" si="12"/>
        <v>136.76955999999998</v>
      </c>
      <c r="AB11" s="215">
        <f t="shared" si="13"/>
        <v>0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si="14"/>
        <v>0</v>
      </c>
      <c r="AH11" s="215">
        <f t="shared" si="15"/>
        <v>1351.76956</v>
      </c>
      <c r="AI11" s="111"/>
      <c r="AJ11" s="52"/>
      <c r="AK11" s="111">
        <v>330</v>
      </c>
      <c r="AL11" s="111">
        <f t="shared" si="16"/>
        <v>-330</v>
      </c>
    </row>
    <row r="12" spans="1:38" s="140" customFormat="1" ht="33.950000000000003" customHeight="1">
      <c r="A12" s="7"/>
      <c r="B12" s="440">
        <v>5</v>
      </c>
      <c r="C12" s="397" t="s">
        <v>425</v>
      </c>
      <c r="D12" s="398" t="s">
        <v>426</v>
      </c>
      <c r="E12" s="399">
        <v>15</v>
      </c>
      <c r="F12" s="400">
        <v>80</v>
      </c>
      <c r="G12" s="405">
        <f t="shared" ref="G12" si="17">E12*F12</f>
        <v>1200</v>
      </c>
      <c r="H12" s="406">
        <v>0</v>
      </c>
      <c r="I12" s="406">
        <f>H12</f>
        <v>0</v>
      </c>
      <c r="J12" s="406">
        <v>0</v>
      </c>
      <c r="K12" s="406">
        <v>0</v>
      </c>
      <c r="L12" s="406">
        <v>0</v>
      </c>
      <c r="M12" s="406">
        <v>0</v>
      </c>
      <c r="N12" s="401">
        <f t="shared" ref="N12" si="18">SUM(G12:M12)</f>
        <v>1200</v>
      </c>
      <c r="O12" s="403"/>
      <c r="P12" s="401">
        <f t="shared" ref="P12" si="19">IF(F12=47.16,0,IF(F12&gt;47.16,K12*0.5,0))</f>
        <v>0</v>
      </c>
      <c r="Q12" s="401">
        <f t="shared" ref="Q12" si="20">G12+H12+I12+L12+P12+J12</f>
        <v>1200</v>
      </c>
      <c r="R12" s="401">
        <f t="shared" ref="R12" si="21">VLOOKUP(Q12,Tarifa1,1)</f>
        <v>248.04</v>
      </c>
      <c r="S12" s="401">
        <f t="shared" ref="S12" si="22">Q12-R12</f>
        <v>951.96</v>
      </c>
      <c r="T12" s="404">
        <f t="shared" ref="T12" si="23">VLOOKUP(Q12,Tarifa1,3)</f>
        <v>6.4000000000000001E-2</v>
      </c>
      <c r="U12" s="401">
        <f t="shared" ref="U12" si="24">S12*T12</f>
        <v>60.925440000000002</v>
      </c>
      <c r="V12" s="401">
        <f t="shared" ref="V12" si="25">VLOOKUP(Q12,Tarifa1,2)</f>
        <v>4.76</v>
      </c>
      <c r="W12" s="401">
        <f t="shared" ref="W12" si="26">U12+V12</f>
        <v>65.68544</v>
      </c>
      <c r="X12" s="401">
        <f t="shared" ref="X12" si="27">VLOOKUP(Q12,Credito1,2)</f>
        <v>203.41499999999999</v>
      </c>
      <c r="Y12" s="401">
        <f t="shared" ref="Y12" si="28">W12-X12</f>
        <v>-137.72955999999999</v>
      </c>
      <c r="Z12" s="403"/>
      <c r="AA12" s="401">
        <f t="shared" ref="AA12" si="29">-IF(Y12&gt;0,0,Y12)</f>
        <v>137.72955999999999</v>
      </c>
      <c r="AB12" s="401">
        <f t="shared" ref="AB12" si="30">IF(Y12&lt;0,0,Y12)</f>
        <v>0</v>
      </c>
      <c r="AC12" s="401">
        <v>0</v>
      </c>
      <c r="AD12" s="402">
        <v>0</v>
      </c>
      <c r="AE12" s="402">
        <v>0</v>
      </c>
      <c r="AF12" s="402">
        <v>0</v>
      </c>
      <c r="AG12" s="401">
        <f t="shared" ref="AG12" si="31">SUM(AB12:AF12)</f>
        <v>0</v>
      </c>
      <c r="AH12" s="401">
        <f t="shared" ref="AH12" si="32">N12+AA12-AG12</f>
        <v>1337.72956</v>
      </c>
      <c r="AI12" s="405"/>
      <c r="AJ12" s="52"/>
      <c r="AK12" s="111"/>
      <c r="AL12" s="111"/>
    </row>
    <row r="13" spans="1:38" s="140" customFormat="1" ht="33.950000000000003" customHeight="1">
      <c r="A13" s="7"/>
      <c r="B13" s="108">
        <v>6</v>
      </c>
      <c r="C13" s="147" t="s">
        <v>181</v>
      </c>
      <c r="D13" s="148" t="s">
        <v>182</v>
      </c>
      <c r="E13" s="109">
        <v>15</v>
      </c>
      <c r="F13" s="142">
        <v>143</v>
      </c>
      <c r="G13" s="117">
        <f t="shared" si="0"/>
        <v>2145</v>
      </c>
      <c r="H13" s="110">
        <v>0</v>
      </c>
      <c r="I13" s="110">
        <f t="shared" ref="I13:I18" si="33">H13</f>
        <v>0</v>
      </c>
      <c r="J13" s="110">
        <v>0</v>
      </c>
      <c r="K13" s="110">
        <v>0</v>
      </c>
      <c r="L13" s="110">
        <v>0</v>
      </c>
      <c r="M13" s="110">
        <v>0</v>
      </c>
      <c r="N13" s="215">
        <f t="shared" si="1"/>
        <v>2145</v>
      </c>
      <c r="O13" s="216"/>
      <c r="P13" s="217">
        <f t="shared" si="2"/>
        <v>0</v>
      </c>
      <c r="Q13" s="217">
        <f t="shared" si="3"/>
        <v>2145</v>
      </c>
      <c r="R13" s="217">
        <f t="shared" si="4"/>
        <v>2105.21</v>
      </c>
      <c r="S13" s="217">
        <f t="shared" si="5"/>
        <v>39.789999999999964</v>
      </c>
      <c r="T13" s="218">
        <f t="shared" si="6"/>
        <v>0.10879999999999999</v>
      </c>
      <c r="U13" s="217">
        <f t="shared" si="7"/>
        <v>4.3291519999999961</v>
      </c>
      <c r="V13" s="217">
        <f t="shared" si="8"/>
        <v>123.62</v>
      </c>
      <c r="W13" s="217">
        <f t="shared" si="9"/>
        <v>127.949152</v>
      </c>
      <c r="X13" s="217">
        <f t="shared" si="10"/>
        <v>191.23</v>
      </c>
      <c r="Y13" s="217">
        <f t="shared" si="11"/>
        <v>-63.280847999999992</v>
      </c>
      <c r="Z13" s="219"/>
      <c r="AA13" s="215">
        <f t="shared" si="12"/>
        <v>63.280847999999992</v>
      </c>
      <c r="AB13" s="215">
        <f t="shared" si="13"/>
        <v>0</v>
      </c>
      <c r="AC13" s="215">
        <v>0</v>
      </c>
      <c r="AD13" s="220">
        <v>0</v>
      </c>
      <c r="AE13" s="220">
        <v>0</v>
      </c>
      <c r="AF13" s="220">
        <v>0</v>
      </c>
      <c r="AG13" s="215">
        <f t="shared" ref="AG13:AG18" si="34">SUM(AB13:AF13)</f>
        <v>0</v>
      </c>
      <c r="AH13" s="215">
        <f t="shared" si="15"/>
        <v>2208.2808479999999</v>
      </c>
      <c r="AI13" s="111"/>
      <c r="AJ13" s="52"/>
      <c r="AK13" s="111">
        <v>-64</v>
      </c>
      <c r="AL13" s="111">
        <f t="shared" ref="AL13" si="35">-AK13-AA13</f>
        <v>0.71915200000000823</v>
      </c>
    </row>
    <row r="14" spans="1:38" s="140" customFormat="1" ht="33.950000000000003" customHeight="1">
      <c r="A14" s="7"/>
      <c r="B14" s="108"/>
      <c r="C14" s="176" t="s">
        <v>311</v>
      </c>
      <c r="D14" s="148"/>
      <c r="E14" s="109"/>
      <c r="F14" s="142"/>
      <c r="G14" s="117"/>
      <c r="H14" s="110"/>
      <c r="I14" s="110"/>
      <c r="J14" s="110"/>
      <c r="K14" s="110"/>
      <c r="L14" s="110"/>
      <c r="M14" s="110"/>
      <c r="N14" s="215"/>
      <c r="O14" s="216"/>
      <c r="P14" s="217"/>
      <c r="Q14" s="217"/>
      <c r="R14" s="217"/>
      <c r="S14" s="217"/>
      <c r="T14" s="218"/>
      <c r="U14" s="217"/>
      <c r="V14" s="217"/>
      <c r="W14" s="217"/>
      <c r="X14" s="217"/>
      <c r="Y14" s="217"/>
      <c r="Z14" s="219"/>
      <c r="AA14" s="215"/>
      <c r="AB14" s="215"/>
      <c r="AC14" s="215"/>
      <c r="AD14" s="220"/>
      <c r="AE14" s="220"/>
      <c r="AF14" s="220"/>
      <c r="AG14" s="215"/>
      <c r="AH14" s="215"/>
      <c r="AI14" s="111"/>
      <c r="AJ14" s="52"/>
      <c r="AK14" s="111"/>
      <c r="AL14" s="111"/>
    </row>
    <row r="15" spans="1:38" s="140" customFormat="1" ht="33.950000000000003" customHeight="1">
      <c r="A15" s="7"/>
      <c r="B15" s="108">
        <v>7</v>
      </c>
      <c r="C15" s="147" t="s">
        <v>183</v>
      </c>
      <c r="D15" s="148" t="s">
        <v>184</v>
      </c>
      <c r="E15" s="109">
        <v>15</v>
      </c>
      <c r="F15" s="142">
        <v>260</v>
      </c>
      <c r="G15" s="117">
        <f t="shared" si="0"/>
        <v>3900</v>
      </c>
      <c r="H15" s="110">
        <v>0</v>
      </c>
      <c r="I15" s="110">
        <f t="shared" si="33"/>
        <v>0</v>
      </c>
      <c r="J15" s="110">
        <v>0</v>
      </c>
      <c r="K15" s="110">
        <v>0</v>
      </c>
      <c r="L15" s="110">
        <v>0</v>
      </c>
      <c r="M15" s="110">
        <v>0</v>
      </c>
      <c r="N15" s="215">
        <f t="shared" si="1"/>
        <v>3900</v>
      </c>
      <c r="O15" s="216"/>
      <c r="P15" s="217">
        <f t="shared" si="2"/>
        <v>0</v>
      </c>
      <c r="Q15" s="217">
        <f t="shared" si="3"/>
        <v>3900</v>
      </c>
      <c r="R15" s="217">
        <f t="shared" si="4"/>
        <v>3699.7150000000001</v>
      </c>
      <c r="S15" s="217">
        <f t="shared" si="5"/>
        <v>200.28499999999985</v>
      </c>
      <c r="T15" s="218">
        <f t="shared" si="6"/>
        <v>0.16</v>
      </c>
      <c r="U15" s="217">
        <f t="shared" si="7"/>
        <v>32.045599999999979</v>
      </c>
      <c r="V15" s="217">
        <f t="shared" si="8"/>
        <v>297.10500000000002</v>
      </c>
      <c r="W15" s="217">
        <f t="shared" si="9"/>
        <v>329.1506</v>
      </c>
      <c r="X15" s="217">
        <f t="shared" si="10"/>
        <v>0</v>
      </c>
      <c r="Y15" s="217">
        <f t="shared" si="11"/>
        <v>329.1506</v>
      </c>
      <c r="Z15" s="219"/>
      <c r="AA15" s="215">
        <f t="shared" si="12"/>
        <v>0</v>
      </c>
      <c r="AB15" s="215">
        <f t="shared" si="13"/>
        <v>329.1506</v>
      </c>
      <c r="AC15" s="215">
        <v>0</v>
      </c>
      <c r="AD15" s="220">
        <v>0</v>
      </c>
      <c r="AE15" s="220">
        <v>0</v>
      </c>
      <c r="AF15" s="220">
        <v>0</v>
      </c>
      <c r="AG15" s="215">
        <f t="shared" si="34"/>
        <v>329.1506</v>
      </c>
      <c r="AH15" s="215">
        <f t="shared" si="15"/>
        <v>3570.8494000000001</v>
      </c>
      <c r="AI15" s="111"/>
      <c r="AJ15" s="52"/>
      <c r="AK15" s="111">
        <v>4.1399999999999864</v>
      </c>
      <c r="AL15" s="111">
        <f t="shared" si="16"/>
        <v>325.01060000000001</v>
      </c>
    </row>
    <row r="16" spans="1:38" s="140" customFormat="1" ht="33.950000000000003" customHeight="1">
      <c r="A16" s="7"/>
      <c r="B16" s="108">
        <v>8</v>
      </c>
      <c r="C16" s="147" t="s">
        <v>185</v>
      </c>
      <c r="D16" s="148" t="s">
        <v>186</v>
      </c>
      <c r="E16" s="109">
        <v>15</v>
      </c>
      <c r="F16" s="142">
        <v>167</v>
      </c>
      <c r="G16" s="117">
        <f t="shared" si="0"/>
        <v>2505</v>
      </c>
      <c r="H16" s="110">
        <v>0</v>
      </c>
      <c r="I16" s="110">
        <f t="shared" si="33"/>
        <v>0</v>
      </c>
      <c r="J16" s="110">
        <v>0</v>
      </c>
      <c r="K16" s="110">
        <v>0</v>
      </c>
      <c r="L16" s="110">
        <v>0</v>
      </c>
      <c r="M16" s="110">
        <v>0</v>
      </c>
      <c r="N16" s="215">
        <f t="shared" si="1"/>
        <v>2505</v>
      </c>
      <c r="O16" s="216"/>
      <c r="P16" s="217">
        <f t="shared" si="2"/>
        <v>0</v>
      </c>
      <c r="Q16" s="217">
        <f t="shared" si="3"/>
        <v>2505</v>
      </c>
      <c r="R16" s="217">
        <f t="shared" si="4"/>
        <v>2105.21</v>
      </c>
      <c r="S16" s="217">
        <f t="shared" si="5"/>
        <v>399.78999999999996</v>
      </c>
      <c r="T16" s="218">
        <f t="shared" si="6"/>
        <v>0.10879999999999999</v>
      </c>
      <c r="U16" s="217">
        <f t="shared" si="7"/>
        <v>43.497151999999993</v>
      </c>
      <c r="V16" s="217">
        <f t="shared" si="8"/>
        <v>123.62</v>
      </c>
      <c r="W16" s="217">
        <f t="shared" si="9"/>
        <v>167.117152</v>
      </c>
      <c r="X16" s="217">
        <f t="shared" si="10"/>
        <v>162.435</v>
      </c>
      <c r="Y16" s="217">
        <f t="shared" si="11"/>
        <v>4.6821520000000021</v>
      </c>
      <c r="Z16" s="219"/>
      <c r="AA16" s="215">
        <f t="shared" si="12"/>
        <v>0</v>
      </c>
      <c r="AB16" s="215">
        <f t="shared" si="13"/>
        <v>4.6821520000000021</v>
      </c>
      <c r="AC16" s="215">
        <v>0</v>
      </c>
      <c r="AD16" s="220">
        <v>0</v>
      </c>
      <c r="AE16" s="220">
        <v>0</v>
      </c>
      <c r="AF16" s="220">
        <v>0</v>
      </c>
      <c r="AG16" s="215">
        <f t="shared" si="34"/>
        <v>4.6821520000000021</v>
      </c>
      <c r="AH16" s="215">
        <f t="shared" si="15"/>
        <v>2500.3178480000001</v>
      </c>
      <c r="AI16" s="111"/>
      <c r="AJ16" s="52"/>
      <c r="AK16" s="111">
        <v>-92</v>
      </c>
      <c r="AL16" s="111">
        <f t="shared" ref="AL16:AL18" si="36">-AK16-AA16</f>
        <v>92</v>
      </c>
    </row>
    <row r="17" spans="1:38" s="140" customFormat="1" ht="33.950000000000003" customHeight="1">
      <c r="A17" s="7"/>
      <c r="B17" s="108">
        <v>9</v>
      </c>
      <c r="C17" s="147" t="s">
        <v>187</v>
      </c>
      <c r="D17" s="148" t="s">
        <v>297</v>
      </c>
      <c r="E17" s="109">
        <v>15</v>
      </c>
      <c r="F17" s="142">
        <v>131</v>
      </c>
      <c r="G17" s="117">
        <f t="shared" si="0"/>
        <v>1965</v>
      </c>
      <c r="H17" s="110">
        <v>0</v>
      </c>
      <c r="I17" s="110">
        <f t="shared" si="33"/>
        <v>0</v>
      </c>
      <c r="J17" s="110">
        <v>0</v>
      </c>
      <c r="K17" s="110">
        <v>0</v>
      </c>
      <c r="L17" s="110">
        <v>0</v>
      </c>
      <c r="M17" s="110">
        <v>0</v>
      </c>
      <c r="N17" s="215">
        <f t="shared" si="1"/>
        <v>1965</v>
      </c>
      <c r="O17" s="216"/>
      <c r="P17" s="217">
        <f t="shared" si="2"/>
        <v>0</v>
      </c>
      <c r="Q17" s="217">
        <f t="shared" si="3"/>
        <v>1965</v>
      </c>
      <c r="R17" s="217">
        <f t="shared" si="4"/>
        <v>248.04</v>
      </c>
      <c r="S17" s="217">
        <f t="shared" si="5"/>
        <v>1716.96</v>
      </c>
      <c r="T17" s="218">
        <f t="shared" si="6"/>
        <v>6.4000000000000001E-2</v>
      </c>
      <c r="U17" s="217">
        <f t="shared" si="7"/>
        <v>109.88544</v>
      </c>
      <c r="V17" s="217">
        <f t="shared" si="8"/>
        <v>4.76</v>
      </c>
      <c r="W17" s="217">
        <f t="shared" si="9"/>
        <v>114.64544000000001</v>
      </c>
      <c r="X17" s="217">
        <f t="shared" si="10"/>
        <v>191.23</v>
      </c>
      <c r="Y17" s="217">
        <f t="shared" si="11"/>
        <v>-76.584559999999982</v>
      </c>
      <c r="Z17" s="219"/>
      <c r="AA17" s="215">
        <f t="shared" si="12"/>
        <v>76.584559999999982</v>
      </c>
      <c r="AB17" s="215">
        <f t="shared" si="13"/>
        <v>0</v>
      </c>
      <c r="AC17" s="215">
        <v>0</v>
      </c>
      <c r="AD17" s="220">
        <v>0</v>
      </c>
      <c r="AE17" s="220">
        <v>0</v>
      </c>
      <c r="AF17" s="220">
        <v>0</v>
      </c>
      <c r="AG17" s="215">
        <f t="shared" si="34"/>
        <v>0</v>
      </c>
      <c r="AH17" s="215">
        <f t="shared" si="15"/>
        <v>2041.58456</v>
      </c>
      <c r="AI17" s="111"/>
      <c r="AJ17" s="52"/>
      <c r="AK17" s="111">
        <v>-63</v>
      </c>
      <c r="AL17" s="111">
        <f t="shared" si="36"/>
        <v>-13.584559999999982</v>
      </c>
    </row>
    <row r="18" spans="1:38" s="140" customFormat="1" ht="33.950000000000003" customHeight="1">
      <c r="A18" s="7"/>
      <c r="B18" s="108">
        <v>10</v>
      </c>
      <c r="C18" s="147" t="s">
        <v>188</v>
      </c>
      <c r="D18" s="148" t="s">
        <v>297</v>
      </c>
      <c r="E18" s="109">
        <v>15</v>
      </c>
      <c r="F18" s="142">
        <v>131</v>
      </c>
      <c r="G18" s="117">
        <f t="shared" si="0"/>
        <v>1965</v>
      </c>
      <c r="H18" s="110">
        <v>0</v>
      </c>
      <c r="I18" s="110">
        <f t="shared" si="33"/>
        <v>0</v>
      </c>
      <c r="J18" s="110">
        <v>0</v>
      </c>
      <c r="K18" s="110">
        <v>0</v>
      </c>
      <c r="L18" s="110">
        <v>0</v>
      </c>
      <c r="M18" s="110">
        <v>0</v>
      </c>
      <c r="N18" s="215">
        <f t="shared" si="1"/>
        <v>1965</v>
      </c>
      <c r="O18" s="216"/>
      <c r="P18" s="217">
        <f t="shared" si="2"/>
        <v>0</v>
      </c>
      <c r="Q18" s="217">
        <f t="shared" si="3"/>
        <v>1965</v>
      </c>
      <c r="R18" s="217">
        <f t="shared" si="4"/>
        <v>248.04</v>
      </c>
      <c r="S18" s="217">
        <f t="shared" si="5"/>
        <v>1716.96</v>
      </c>
      <c r="T18" s="218">
        <f t="shared" si="6"/>
        <v>6.4000000000000001E-2</v>
      </c>
      <c r="U18" s="217">
        <f t="shared" si="7"/>
        <v>109.88544</v>
      </c>
      <c r="V18" s="217">
        <f t="shared" si="8"/>
        <v>4.76</v>
      </c>
      <c r="W18" s="217">
        <f t="shared" si="9"/>
        <v>114.64544000000001</v>
      </c>
      <c r="X18" s="217">
        <f t="shared" si="10"/>
        <v>191.23</v>
      </c>
      <c r="Y18" s="217">
        <f t="shared" si="11"/>
        <v>-76.584559999999982</v>
      </c>
      <c r="Z18" s="219"/>
      <c r="AA18" s="215">
        <f t="shared" si="12"/>
        <v>76.584559999999982</v>
      </c>
      <c r="AB18" s="215">
        <f t="shared" si="13"/>
        <v>0</v>
      </c>
      <c r="AC18" s="215">
        <v>0</v>
      </c>
      <c r="AD18" s="220">
        <v>0</v>
      </c>
      <c r="AE18" s="220">
        <v>0</v>
      </c>
      <c r="AF18" s="220">
        <v>0</v>
      </c>
      <c r="AG18" s="215">
        <f t="shared" si="34"/>
        <v>0</v>
      </c>
      <c r="AH18" s="215">
        <f t="shared" si="15"/>
        <v>2041.58456</v>
      </c>
      <c r="AI18" s="111"/>
      <c r="AJ18" s="52"/>
      <c r="AK18" s="111">
        <v>-92</v>
      </c>
      <c r="AL18" s="111">
        <f t="shared" si="36"/>
        <v>15.415440000000018</v>
      </c>
    </row>
    <row r="19" spans="1:38" s="140" customFormat="1" ht="30" customHeight="1">
      <c r="A19" s="7"/>
      <c r="B19" s="108"/>
      <c r="C19" s="147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215"/>
      <c r="O19" s="216"/>
      <c r="P19" s="217"/>
      <c r="Q19" s="217"/>
      <c r="R19" s="217"/>
      <c r="S19" s="217"/>
      <c r="T19" s="218"/>
      <c r="U19" s="217"/>
      <c r="V19" s="217"/>
      <c r="W19" s="217"/>
      <c r="X19" s="217"/>
      <c r="Y19" s="217"/>
      <c r="Z19" s="219"/>
      <c r="AA19" s="215"/>
      <c r="AB19" s="215"/>
      <c r="AC19" s="215"/>
      <c r="AD19" s="220"/>
      <c r="AE19" s="220"/>
      <c r="AF19" s="220"/>
      <c r="AG19" s="215"/>
      <c r="AH19" s="215"/>
      <c r="AI19" s="111"/>
      <c r="AJ19" s="52"/>
      <c r="AK19" s="111"/>
      <c r="AL19" s="111"/>
    </row>
    <row r="20" spans="1:38" s="140" customFormat="1" ht="30" customHeight="1">
      <c r="A20" s="7"/>
      <c r="B20" s="108"/>
      <c r="C20" s="147"/>
      <c r="D20" s="148"/>
      <c r="E20" s="109"/>
      <c r="F20" s="142"/>
      <c r="G20" s="117"/>
      <c r="H20" s="110"/>
      <c r="I20" s="110"/>
      <c r="J20" s="110"/>
      <c r="K20" s="110"/>
      <c r="L20" s="110"/>
      <c r="M20" s="110"/>
      <c r="N20" s="111"/>
      <c r="O20" s="134"/>
      <c r="P20" s="112"/>
      <c r="Q20" s="112"/>
      <c r="R20" s="112"/>
      <c r="S20" s="112"/>
      <c r="T20" s="113"/>
      <c r="U20" s="112"/>
      <c r="V20" s="112"/>
      <c r="W20" s="112"/>
      <c r="X20" s="112"/>
      <c r="Y20" s="112"/>
      <c r="Z20" s="131"/>
      <c r="AA20" s="111"/>
      <c r="AB20" s="111"/>
      <c r="AC20" s="111"/>
      <c r="AD20" s="110"/>
      <c r="AE20" s="110"/>
      <c r="AF20" s="139"/>
      <c r="AG20" s="111"/>
      <c r="AH20" s="111"/>
      <c r="AI20" s="111"/>
      <c r="AJ20" s="52"/>
      <c r="AK20" s="111"/>
      <c r="AL20" s="111"/>
    </row>
    <row r="21" spans="1:38" s="140" customFormat="1">
      <c r="A21" s="7"/>
      <c r="B21" s="100"/>
      <c r="C21" s="115"/>
      <c r="D21" s="115"/>
      <c r="E21" s="100"/>
      <c r="F21" s="101"/>
      <c r="G21" s="118"/>
      <c r="H21" s="102"/>
      <c r="I21" s="102"/>
      <c r="J21" s="102"/>
      <c r="K21" s="102"/>
      <c r="L21" s="102"/>
      <c r="M21" s="102"/>
      <c r="N21" s="102"/>
      <c r="O21" s="94"/>
      <c r="P21" s="103"/>
      <c r="Q21" s="104"/>
      <c r="R21" s="104"/>
      <c r="S21" s="104"/>
      <c r="T21" s="136"/>
      <c r="U21" s="104"/>
      <c r="V21" s="104"/>
      <c r="W21" s="104"/>
      <c r="X21" s="104"/>
      <c r="Y21" s="104"/>
      <c r="Z21" s="132"/>
      <c r="AA21" s="102"/>
      <c r="AB21" s="102"/>
      <c r="AC21" s="102"/>
      <c r="AD21" s="102"/>
      <c r="AE21" s="102"/>
      <c r="AF21" s="102"/>
      <c r="AG21" s="102"/>
      <c r="AH21" s="105"/>
      <c r="AI21" s="105"/>
      <c r="AJ21" s="7"/>
      <c r="AK21" s="105"/>
      <c r="AL21" s="105"/>
    </row>
    <row r="22" spans="1:38" s="140" customFormat="1">
      <c r="A22" s="7"/>
      <c r="B22" s="93"/>
      <c r="C22" s="93"/>
      <c r="D22" s="93"/>
      <c r="E22" s="92"/>
      <c r="F22" s="93"/>
      <c r="G22" s="95"/>
      <c r="H22" s="95"/>
      <c r="I22" s="95"/>
      <c r="J22" s="95"/>
      <c r="K22" s="95"/>
      <c r="L22" s="95"/>
      <c r="M22" s="95"/>
      <c r="N22" s="95"/>
      <c r="O22" s="96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7"/>
      <c r="AK22" s="98"/>
      <c r="AL22" s="98"/>
    </row>
    <row r="23" spans="1:38" s="140" customFormat="1" ht="15.75" thickBot="1">
      <c r="A23" s="7"/>
      <c r="B23" s="634" t="s">
        <v>71</v>
      </c>
      <c r="C23" s="635"/>
      <c r="D23" s="635"/>
      <c r="E23" s="635"/>
      <c r="F23" s="636"/>
      <c r="G23" s="114">
        <f t="shared" ref="G23:N23" si="37">SUM(G8:G22)</f>
        <v>21813</v>
      </c>
      <c r="H23" s="114">
        <f t="shared" si="37"/>
        <v>0</v>
      </c>
      <c r="I23" s="114">
        <f t="shared" si="37"/>
        <v>0</v>
      </c>
      <c r="J23" s="114">
        <f t="shared" si="37"/>
        <v>0</v>
      </c>
      <c r="K23" s="114">
        <f t="shared" si="37"/>
        <v>0</v>
      </c>
      <c r="L23" s="114">
        <f t="shared" si="37"/>
        <v>0</v>
      </c>
      <c r="M23" s="114">
        <f t="shared" si="37"/>
        <v>0</v>
      </c>
      <c r="N23" s="114">
        <f t="shared" si="37"/>
        <v>21813</v>
      </c>
      <c r="O23" s="133"/>
      <c r="P23" s="135">
        <f t="shared" ref="P23:Y23" si="38">SUM(P8:P22)</f>
        <v>0</v>
      </c>
      <c r="Q23" s="135">
        <f t="shared" si="38"/>
        <v>21813</v>
      </c>
      <c r="R23" s="135">
        <f t="shared" si="38"/>
        <v>13098.09</v>
      </c>
      <c r="S23" s="135">
        <f t="shared" si="38"/>
        <v>8714.91</v>
      </c>
      <c r="T23" s="135">
        <f t="shared" si="38"/>
        <v>0.9216000000000002</v>
      </c>
      <c r="U23" s="135">
        <f t="shared" si="38"/>
        <v>615.90214400000002</v>
      </c>
      <c r="V23" s="135">
        <f t="shared" si="38"/>
        <v>870.01</v>
      </c>
      <c r="W23" s="135">
        <f t="shared" si="38"/>
        <v>1485.9121440000001</v>
      </c>
      <c r="X23" s="135">
        <f t="shared" si="38"/>
        <v>1537.6</v>
      </c>
      <c r="Y23" s="135">
        <f t="shared" si="38"/>
        <v>-51.687855999999897</v>
      </c>
      <c r="Z23" s="133"/>
      <c r="AA23" s="114">
        <f t="shared" ref="AA23:AH23" si="39">SUM(AA8:AA22)</f>
        <v>714.67120799999998</v>
      </c>
      <c r="AB23" s="114">
        <f t="shared" si="39"/>
        <v>662.98335199999997</v>
      </c>
      <c r="AC23" s="114">
        <f t="shared" si="39"/>
        <v>0</v>
      </c>
      <c r="AD23" s="114">
        <f t="shared" si="39"/>
        <v>0</v>
      </c>
      <c r="AE23" s="114">
        <f t="shared" si="39"/>
        <v>0</v>
      </c>
      <c r="AF23" s="114">
        <f t="shared" si="39"/>
        <v>0</v>
      </c>
      <c r="AG23" s="114">
        <f t="shared" si="39"/>
        <v>662.98335199999997</v>
      </c>
      <c r="AH23" s="114">
        <f t="shared" si="39"/>
        <v>21864.687855999997</v>
      </c>
      <c r="AI23" s="114"/>
      <c r="AJ23" s="7"/>
      <c r="AK23" s="114">
        <f t="shared" ref="AK23:AL23" si="40">SUM(AK8:AK22)</f>
        <v>361.41999999999996</v>
      </c>
      <c r="AL23" s="114">
        <f t="shared" si="40"/>
        <v>80.43123200000008</v>
      </c>
    </row>
    <row r="24" spans="1:38" s="140" customFormat="1" ht="13.5" thickTop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7" spans="1:38">
      <c r="C27" s="52"/>
      <c r="D27" s="52"/>
    </row>
    <row r="28" spans="1:38">
      <c r="C28" s="52"/>
      <c r="D28" s="52"/>
    </row>
    <row r="29" spans="1:38">
      <c r="C29" s="52"/>
      <c r="D29" s="52"/>
    </row>
    <row r="31" spans="1:38">
      <c r="C31" s="144"/>
      <c r="D31" s="144"/>
    </row>
  </sheetData>
  <mergeCells count="6">
    <mergeCell ref="B23:F23"/>
    <mergeCell ref="B2:AH2"/>
    <mergeCell ref="B3:AH3"/>
    <mergeCell ref="G4:N4"/>
    <mergeCell ref="R4:W4"/>
    <mergeCell ref="AB4:AG4"/>
  </mergeCells>
  <pageMargins left="0" right="0" top="0" bottom="0" header="0.31496062992125984" footer="0.31496062992125984"/>
  <pageSetup paperSize="5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3"/>
  <sheetViews>
    <sheetView showGridLines="0" zoomScale="48" zoomScaleNormal="48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3.7109375" style="7" customWidth="1"/>
    <col min="4" max="4" width="13.5703125" style="7" customWidth="1"/>
    <col min="5" max="5" width="6.5703125" style="7" customWidth="1"/>
    <col min="6" max="6" width="10" style="7" customWidth="1"/>
    <col min="7" max="7" width="14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9.140625" style="7" bestFit="1" customWidth="1"/>
    <col min="12" max="12" width="11.7109375" style="7" bestFit="1" customWidth="1"/>
    <col min="13" max="13" width="10.28515625" style="7" bestFit="1" customWidth="1"/>
    <col min="14" max="14" width="15.285156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85546875" style="7" bestFit="1" customWidth="1"/>
    <col min="28" max="28" width="14.7109375" style="7" bestFit="1" customWidth="1"/>
    <col min="29" max="29" width="10.5703125" style="7" bestFit="1" customWidth="1"/>
    <col min="30" max="31" width="10.42578125" style="7" customWidth="1"/>
    <col min="32" max="32" width="13" style="7" bestFit="1" customWidth="1"/>
    <col min="33" max="33" width="14.7109375" style="7" bestFit="1" customWidth="1"/>
    <col min="34" max="34" width="15.28515625" style="7" bestFit="1" customWidth="1"/>
    <col min="35" max="35" width="44.71093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112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218</v>
      </c>
      <c r="D8" s="148" t="s">
        <v>219</v>
      </c>
      <c r="E8" s="109">
        <v>15</v>
      </c>
      <c r="F8" s="142">
        <v>536</v>
      </c>
      <c r="G8" s="117">
        <f t="shared" ref="G8:G12" si="0">E8*F8</f>
        <v>8040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>G8+K8+L8+M8</f>
        <v>8040</v>
      </c>
      <c r="O8" s="134"/>
      <c r="P8" s="112">
        <f t="shared" ref="P8:P12" si="1">IF(F8=47.16,0,IF(F8&gt;47.16,K8*0.5,0))</f>
        <v>0</v>
      </c>
      <c r="Q8" s="112">
        <f t="shared" ref="Q8:Q12" si="2">G8+H8+I8+L8+P8+J8</f>
        <v>8040</v>
      </c>
      <c r="R8" s="112">
        <f t="shared" ref="R8:R12" si="3">VLOOKUP(Q8,Tarifa1,1)</f>
        <v>5149.18</v>
      </c>
      <c r="S8" s="112">
        <f t="shared" ref="S8:S12" si="4">Q8-R8</f>
        <v>2890.8199999999997</v>
      </c>
      <c r="T8" s="113">
        <f t="shared" ref="T8:T12" si="5">VLOOKUP(Q8,Tarifa1,3)</f>
        <v>0.21360000000000001</v>
      </c>
      <c r="U8" s="112">
        <f t="shared" ref="U8:U12" si="6">S8*T8</f>
        <v>617.479152</v>
      </c>
      <c r="V8" s="112">
        <f t="shared" ref="V8:V12" si="7">VLOOKUP(Q8,Tarifa1,2)</f>
        <v>545.30499999999995</v>
      </c>
      <c r="W8" s="112">
        <f t="shared" ref="W8:W12" si="8">U8+V8</f>
        <v>1162.7841519999999</v>
      </c>
      <c r="X8" s="112">
        <f t="shared" ref="X8:X12" si="9">VLOOKUP(Q8,Credito1,2)</f>
        <v>0</v>
      </c>
      <c r="Y8" s="112">
        <f t="shared" ref="Y8:Y12" si="10">W8-X8</f>
        <v>1162.7841519999999</v>
      </c>
      <c r="Z8" s="131"/>
      <c r="AA8" s="215">
        <f t="shared" ref="AA8:AA12" si="11">-IF(Y8&gt;0,0,Y8)</f>
        <v>0</v>
      </c>
      <c r="AB8" s="215">
        <f>IF(Y8&lt;0,0,Y8)</f>
        <v>1162.7841519999999</v>
      </c>
      <c r="AC8" s="215">
        <v>0</v>
      </c>
      <c r="AD8" s="220">
        <v>0</v>
      </c>
      <c r="AE8" s="220">
        <v>0</v>
      </c>
      <c r="AF8" s="220">
        <v>0</v>
      </c>
      <c r="AG8" s="215">
        <f>AB8+AF8</f>
        <v>1162.7841519999999</v>
      </c>
      <c r="AH8" s="215">
        <f>N8+AA8-AG8</f>
        <v>6877.2158479999998</v>
      </c>
      <c r="AI8" s="111"/>
      <c r="AJ8" s="52"/>
      <c r="AK8" s="111">
        <v>1467.81</v>
      </c>
      <c r="AL8" s="111">
        <f>AB8-AK8</f>
        <v>-305.025848</v>
      </c>
    </row>
    <row r="9" spans="1:38" s="140" customFormat="1" ht="33.950000000000003" customHeight="1">
      <c r="A9" s="7"/>
      <c r="B9" s="108">
        <v>2</v>
      </c>
      <c r="C9" s="147" t="s">
        <v>298</v>
      </c>
      <c r="D9" s="148" t="s">
        <v>299</v>
      </c>
      <c r="E9" s="109">
        <v>15</v>
      </c>
      <c r="F9" s="142">
        <v>536</v>
      </c>
      <c r="G9" s="117">
        <f t="shared" si="0"/>
        <v>8040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ref="N9:N17" si="12">G9+K9+L9+M9</f>
        <v>8040</v>
      </c>
      <c r="O9" s="134"/>
      <c r="P9" s="112">
        <f t="shared" si="1"/>
        <v>0</v>
      </c>
      <c r="Q9" s="112">
        <f t="shared" si="2"/>
        <v>8040</v>
      </c>
      <c r="R9" s="112">
        <f t="shared" si="3"/>
        <v>5149.18</v>
      </c>
      <c r="S9" s="112">
        <f t="shared" si="4"/>
        <v>2890.8199999999997</v>
      </c>
      <c r="T9" s="113">
        <f t="shared" si="5"/>
        <v>0.21360000000000001</v>
      </c>
      <c r="U9" s="112">
        <f t="shared" si="6"/>
        <v>617.479152</v>
      </c>
      <c r="V9" s="112">
        <f t="shared" si="7"/>
        <v>545.30499999999995</v>
      </c>
      <c r="W9" s="112">
        <f t="shared" si="8"/>
        <v>1162.7841519999999</v>
      </c>
      <c r="X9" s="112">
        <f t="shared" si="9"/>
        <v>0</v>
      </c>
      <c r="Y9" s="112">
        <f t="shared" si="10"/>
        <v>1162.7841519999999</v>
      </c>
      <c r="Z9" s="131"/>
      <c r="AA9" s="215">
        <f t="shared" si="11"/>
        <v>0</v>
      </c>
      <c r="AB9" s="215">
        <f t="shared" ref="AB9:AB17" si="13">IF(Y9&lt;0,0,Y9)</f>
        <v>1162.7841519999999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ref="AG9:AG17" si="14">AB9+AF9</f>
        <v>1162.7841519999999</v>
      </c>
      <c r="AH9" s="215">
        <f t="shared" ref="AH9:AH17" si="15">N9+AA9-AG9</f>
        <v>6877.2158479999998</v>
      </c>
      <c r="AI9" s="111"/>
      <c r="AJ9" s="52"/>
      <c r="AK9" s="111">
        <v>1467.81</v>
      </c>
      <c r="AL9" s="111">
        <f>AB9-AK9</f>
        <v>-305.025848</v>
      </c>
    </row>
    <row r="10" spans="1:38" s="140" customFormat="1" ht="33.950000000000003" customHeight="1">
      <c r="A10" s="7"/>
      <c r="B10" s="108">
        <v>3</v>
      </c>
      <c r="C10" s="147" t="s">
        <v>300</v>
      </c>
      <c r="D10" s="148" t="s">
        <v>299</v>
      </c>
      <c r="E10" s="109">
        <v>15</v>
      </c>
      <c r="F10" s="142">
        <v>536</v>
      </c>
      <c r="G10" s="117">
        <f t="shared" si="0"/>
        <v>8040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2"/>
        <v>8040</v>
      </c>
      <c r="O10" s="134"/>
      <c r="P10" s="112">
        <f t="shared" si="1"/>
        <v>0</v>
      </c>
      <c r="Q10" s="112">
        <f t="shared" si="2"/>
        <v>8040</v>
      </c>
      <c r="R10" s="112">
        <f t="shared" si="3"/>
        <v>5149.18</v>
      </c>
      <c r="S10" s="112">
        <f t="shared" si="4"/>
        <v>2890.8199999999997</v>
      </c>
      <c r="T10" s="113">
        <f t="shared" si="5"/>
        <v>0.21360000000000001</v>
      </c>
      <c r="U10" s="112">
        <f t="shared" si="6"/>
        <v>617.479152</v>
      </c>
      <c r="V10" s="112">
        <f t="shared" si="7"/>
        <v>545.30499999999995</v>
      </c>
      <c r="W10" s="112">
        <f t="shared" si="8"/>
        <v>1162.7841519999999</v>
      </c>
      <c r="X10" s="112">
        <f t="shared" si="9"/>
        <v>0</v>
      </c>
      <c r="Y10" s="112">
        <f t="shared" si="10"/>
        <v>1162.7841519999999</v>
      </c>
      <c r="Z10" s="131"/>
      <c r="AA10" s="215">
        <f t="shared" si="11"/>
        <v>0</v>
      </c>
      <c r="AB10" s="215">
        <f t="shared" si="13"/>
        <v>1162.7841519999999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14"/>
        <v>1162.7841519999999</v>
      </c>
      <c r="AH10" s="215">
        <f t="shared" si="15"/>
        <v>6877.2158479999998</v>
      </c>
      <c r="AI10" s="111"/>
      <c r="AJ10" s="52"/>
      <c r="AK10" s="111">
        <v>1467.81</v>
      </c>
      <c r="AL10" s="111">
        <f t="shared" ref="AL10:AL17" si="16">AB10-AK10</f>
        <v>-305.025848</v>
      </c>
    </row>
    <row r="11" spans="1:38" s="140" customFormat="1" ht="33.950000000000003" customHeight="1">
      <c r="A11" s="7"/>
      <c r="B11" s="108">
        <v>4</v>
      </c>
      <c r="C11" s="147" t="s">
        <v>301</v>
      </c>
      <c r="D11" s="148" t="s">
        <v>299</v>
      </c>
      <c r="E11" s="109">
        <v>15</v>
      </c>
      <c r="F11" s="142">
        <v>536</v>
      </c>
      <c r="G11" s="117">
        <f t="shared" si="0"/>
        <v>8040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si="12"/>
        <v>8040</v>
      </c>
      <c r="O11" s="134"/>
      <c r="P11" s="112">
        <f t="shared" si="1"/>
        <v>0</v>
      </c>
      <c r="Q11" s="112">
        <f t="shared" si="2"/>
        <v>8040</v>
      </c>
      <c r="R11" s="112">
        <f t="shared" si="3"/>
        <v>5149.18</v>
      </c>
      <c r="S11" s="112">
        <f t="shared" si="4"/>
        <v>2890.8199999999997</v>
      </c>
      <c r="T11" s="113">
        <f t="shared" si="5"/>
        <v>0.21360000000000001</v>
      </c>
      <c r="U11" s="112">
        <f t="shared" si="6"/>
        <v>617.479152</v>
      </c>
      <c r="V11" s="112">
        <f t="shared" si="7"/>
        <v>545.30499999999995</v>
      </c>
      <c r="W11" s="112">
        <f t="shared" si="8"/>
        <v>1162.7841519999999</v>
      </c>
      <c r="X11" s="112">
        <f t="shared" si="9"/>
        <v>0</v>
      </c>
      <c r="Y11" s="112">
        <f t="shared" si="10"/>
        <v>1162.7841519999999</v>
      </c>
      <c r="Z11" s="131"/>
      <c r="AA11" s="215">
        <f t="shared" si="11"/>
        <v>0</v>
      </c>
      <c r="AB11" s="215">
        <f t="shared" si="13"/>
        <v>1162.7841519999999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si="14"/>
        <v>1162.7841519999999</v>
      </c>
      <c r="AH11" s="215">
        <f t="shared" si="15"/>
        <v>6877.2158479999998</v>
      </c>
      <c r="AI11" s="111"/>
      <c r="AJ11" s="52"/>
      <c r="AK11" s="111">
        <v>1467.81</v>
      </c>
      <c r="AL11" s="111">
        <f t="shared" si="16"/>
        <v>-305.025848</v>
      </c>
    </row>
    <row r="12" spans="1:38" s="140" customFormat="1" ht="33.950000000000003" customHeight="1">
      <c r="A12" s="7"/>
      <c r="B12" s="108">
        <v>5</v>
      </c>
      <c r="C12" s="147" t="s">
        <v>302</v>
      </c>
      <c r="D12" s="148" t="s">
        <v>299</v>
      </c>
      <c r="E12" s="109">
        <v>15</v>
      </c>
      <c r="F12" s="142">
        <v>536</v>
      </c>
      <c r="G12" s="117">
        <f t="shared" si="0"/>
        <v>8040</v>
      </c>
      <c r="H12" s="110">
        <v>0</v>
      </c>
      <c r="I12" s="110">
        <f t="shared" ref="I12" si="17">H12</f>
        <v>0</v>
      </c>
      <c r="J12" s="110">
        <v>0</v>
      </c>
      <c r="K12" s="110">
        <v>0</v>
      </c>
      <c r="L12" s="110">
        <v>0</v>
      </c>
      <c r="M12" s="110">
        <v>0</v>
      </c>
      <c r="N12" s="111">
        <f t="shared" si="12"/>
        <v>8040</v>
      </c>
      <c r="O12" s="134"/>
      <c r="P12" s="112">
        <f t="shared" si="1"/>
        <v>0</v>
      </c>
      <c r="Q12" s="112">
        <f t="shared" si="2"/>
        <v>8040</v>
      </c>
      <c r="R12" s="112">
        <f t="shared" si="3"/>
        <v>5149.18</v>
      </c>
      <c r="S12" s="112">
        <f t="shared" si="4"/>
        <v>2890.8199999999997</v>
      </c>
      <c r="T12" s="113">
        <f t="shared" si="5"/>
        <v>0.21360000000000001</v>
      </c>
      <c r="U12" s="112">
        <f t="shared" si="6"/>
        <v>617.479152</v>
      </c>
      <c r="V12" s="112">
        <f t="shared" si="7"/>
        <v>545.30499999999995</v>
      </c>
      <c r="W12" s="112">
        <f t="shared" si="8"/>
        <v>1162.7841519999999</v>
      </c>
      <c r="X12" s="112">
        <f t="shared" si="9"/>
        <v>0</v>
      </c>
      <c r="Y12" s="112">
        <f t="shared" si="10"/>
        <v>1162.7841519999999</v>
      </c>
      <c r="Z12" s="131"/>
      <c r="AA12" s="215">
        <f t="shared" si="11"/>
        <v>0</v>
      </c>
      <c r="AB12" s="215">
        <f t="shared" si="13"/>
        <v>1162.7841519999999</v>
      </c>
      <c r="AC12" s="215">
        <v>0</v>
      </c>
      <c r="AD12" s="220">
        <v>0</v>
      </c>
      <c r="AE12" s="220">
        <v>0</v>
      </c>
      <c r="AF12" s="220">
        <v>0</v>
      </c>
      <c r="AG12" s="215">
        <f t="shared" si="14"/>
        <v>1162.7841519999999</v>
      </c>
      <c r="AH12" s="215">
        <f t="shared" si="15"/>
        <v>6877.2158479999998</v>
      </c>
      <c r="AI12" s="111"/>
      <c r="AJ12" s="52"/>
      <c r="AK12" s="111">
        <v>1467.81</v>
      </c>
      <c r="AL12" s="111">
        <f t="shared" si="16"/>
        <v>-305.025848</v>
      </c>
    </row>
    <row r="13" spans="1:38" s="140" customFormat="1" ht="33.950000000000003" customHeight="1">
      <c r="A13" s="7"/>
      <c r="B13" s="108">
        <v>6</v>
      </c>
      <c r="C13" s="147" t="s">
        <v>303</v>
      </c>
      <c r="D13" s="148" t="s">
        <v>299</v>
      </c>
      <c r="E13" s="109">
        <v>15</v>
      </c>
      <c r="F13" s="142">
        <v>536</v>
      </c>
      <c r="G13" s="117">
        <f t="shared" ref="G13:G17" si="18">E13*F13</f>
        <v>8040</v>
      </c>
      <c r="H13" s="110"/>
      <c r="I13" s="110"/>
      <c r="J13" s="110">
        <v>0</v>
      </c>
      <c r="K13" s="110">
        <v>0</v>
      </c>
      <c r="L13" s="110">
        <v>0</v>
      </c>
      <c r="M13" s="110">
        <v>0</v>
      </c>
      <c r="N13" s="111">
        <f t="shared" si="12"/>
        <v>8040</v>
      </c>
      <c r="O13" s="134"/>
      <c r="P13" s="112">
        <f t="shared" ref="P13:P17" si="19">IF(F13=47.16,0,IF(F13&gt;47.16,K13*0.5,0))</f>
        <v>0</v>
      </c>
      <c r="Q13" s="112">
        <f t="shared" ref="Q13:Q17" si="20">G13+H13+I13+L13+P13+J13</f>
        <v>8040</v>
      </c>
      <c r="R13" s="112">
        <f t="shared" ref="R13:R17" si="21">VLOOKUP(Q13,Tarifa1,1)</f>
        <v>5149.18</v>
      </c>
      <c r="S13" s="112">
        <f t="shared" ref="S13:S17" si="22">Q13-R13</f>
        <v>2890.8199999999997</v>
      </c>
      <c r="T13" s="113">
        <f t="shared" ref="T13:T17" si="23">VLOOKUP(Q13,Tarifa1,3)</f>
        <v>0.21360000000000001</v>
      </c>
      <c r="U13" s="112">
        <f t="shared" ref="U13:U17" si="24">S13*T13</f>
        <v>617.479152</v>
      </c>
      <c r="V13" s="112">
        <f t="shared" ref="V13:V17" si="25">VLOOKUP(Q13,Tarifa1,2)</f>
        <v>545.30499999999995</v>
      </c>
      <c r="W13" s="112">
        <f t="shared" ref="W13:W17" si="26">U13+V13</f>
        <v>1162.7841519999999</v>
      </c>
      <c r="X13" s="112">
        <f t="shared" ref="X13:X17" si="27">VLOOKUP(Q13,Credito1,2)</f>
        <v>0</v>
      </c>
      <c r="Y13" s="112">
        <f t="shared" ref="Y13:Y17" si="28">W13-X13</f>
        <v>1162.7841519999999</v>
      </c>
      <c r="Z13" s="131"/>
      <c r="AA13" s="215">
        <f t="shared" ref="AA13:AA17" si="29">-IF(Y13&gt;0,0,Y13)</f>
        <v>0</v>
      </c>
      <c r="AB13" s="215">
        <f t="shared" si="13"/>
        <v>1162.7841519999999</v>
      </c>
      <c r="AC13" s="215">
        <v>0</v>
      </c>
      <c r="AD13" s="220">
        <v>0</v>
      </c>
      <c r="AE13" s="220">
        <v>0</v>
      </c>
      <c r="AF13" s="220">
        <v>0</v>
      </c>
      <c r="AG13" s="215">
        <f t="shared" si="14"/>
        <v>1162.7841519999999</v>
      </c>
      <c r="AH13" s="215">
        <f t="shared" si="15"/>
        <v>6877.2158479999998</v>
      </c>
      <c r="AI13" s="111"/>
      <c r="AJ13" s="52"/>
      <c r="AK13" s="111">
        <v>1467.81</v>
      </c>
      <c r="AL13" s="111">
        <f t="shared" si="16"/>
        <v>-305.025848</v>
      </c>
    </row>
    <row r="14" spans="1:38" s="140" customFormat="1" ht="33.950000000000003" customHeight="1">
      <c r="A14" s="7"/>
      <c r="B14" s="108">
        <v>7</v>
      </c>
      <c r="C14" s="147" t="s">
        <v>304</v>
      </c>
      <c r="D14" s="148" t="s">
        <v>299</v>
      </c>
      <c r="E14" s="109">
        <v>15</v>
      </c>
      <c r="F14" s="142">
        <v>536</v>
      </c>
      <c r="G14" s="117">
        <f t="shared" si="18"/>
        <v>8040</v>
      </c>
      <c r="H14" s="110"/>
      <c r="I14" s="110"/>
      <c r="J14" s="110">
        <v>0</v>
      </c>
      <c r="K14" s="110">
        <v>0</v>
      </c>
      <c r="L14" s="110">
        <v>0</v>
      </c>
      <c r="M14" s="110">
        <v>0</v>
      </c>
      <c r="N14" s="111">
        <f t="shared" si="12"/>
        <v>8040</v>
      </c>
      <c r="O14" s="134"/>
      <c r="P14" s="112">
        <f t="shared" si="19"/>
        <v>0</v>
      </c>
      <c r="Q14" s="112">
        <f t="shared" si="20"/>
        <v>8040</v>
      </c>
      <c r="R14" s="112">
        <f t="shared" si="21"/>
        <v>5149.18</v>
      </c>
      <c r="S14" s="112">
        <f t="shared" si="22"/>
        <v>2890.8199999999997</v>
      </c>
      <c r="T14" s="113">
        <f t="shared" si="23"/>
        <v>0.21360000000000001</v>
      </c>
      <c r="U14" s="112">
        <f t="shared" si="24"/>
        <v>617.479152</v>
      </c>
      <c r="V14" s="112">
        <f t="shared" si="25"/>
        <v>545.30499999999995</v>
      </c>
      <c r="W14" s="112">
        <f t="shared" si="26"/>
        <v>1162.7841519999999</v>
      </c>
      <c r="X14" s="112">
        <f t="shared" si="27"/>
        <v>0</v>
      </c>
      <c r="Y14" s="112">
        <f t="shared" si="28"/>
        <v>1162.7841519999999</v>
      </c>
      <c r="Z14" s="131"/>
      <c r="AA14" s="215">
        <f t="shared" si="29"/>
        <v>0</v>
      </c>
      <c r="AB14" s="215">
        <f t="shared" si="13"/>
        <v>1162.7841519999999</v>
      </c>
      <c r="AC14" s="215">
        <v>0</v>
      </c>
      <c r="AD14" s="220">
        <v>0</v>
      </c>
      <c r="AE14" s="220">
        <v>0</v>
      </c>
      <c r="AF14" s="220">
        <v>0</v>
      </c>
      <c r="AG14" s="215">
        <f t="shared" si="14"/>
        <v>1162.7841519999999</v>
      </c>
      <c r="AH14" s="215">
        <f t="shared" si="15"/>
        <v>6877.2158479999998</v>
      </c>
      <c r="AI14" s="111"/>
      <c r="AJ14" s="52"/>
      <c r="AK14" s="111">
        <v>1467.81</v>
      </c>
      <c r="AL14" s="111">
        <f t="shared" si="16"/>
        <v>-305.025848</v>
      </c>
    </row>
    <row r="15" spans="1:38" s="140" customFormat="1" ht="33.950000000000003" customHeight="1">
      <c r="A15" s="7"/>
      <c r="B15" s="108">
        <v>8</v>
      </c>
      <c r="C15" s="147" t="s">
        <v>122</v>
      </c>
      <c r="D15" s="148" t="s">
        <v>299</v>
      </c>
      <c r="E15" s="109">
        <v>15</v>
      </c>
      <c r="F15" s="142">
        <v>536</v>
      </c>
      <c r="G15" s="117">
        <f t="shared" si="18"/>
        <v>8040</v>
      </c>
      <c r="H15" s="110"/>
      <c r="I15" s="110"/>
      <c r="J15" s="110">
        <v>0</v>
      </c>
      <c r="K15" s="110">
        <v>0</v>
      </c>
      <c r="L15" s="110">
        <v>0</v>
      </c>
      <c r="M15" s="110">
        <v>0</v>
      </c>
      <c r="N15" s="111">
        <f t="shared" si="12"/>
        <v>8040</v>
      </c>
      <c r="O15" s="134"/>
      <c r="P15" s="112">
        <f t="shared" si="19"/>
        <v>0</v>
      </c>
      <c r="Q15" s="112">
        <f t="shared" si="20"/>
        <v>8040</v>
      </c>
      <c r="R15" s="112">
        <f t="shared" si="21"/>
        <v>5149.18</v>
      </c>
      <c r="S15" s="112">
        <f t="shared" si="22"/>
        <v>2890.8199999999997</v>
      </c>
      <c r="T15" s="113">
        <f t="shared" si="23"/>
        <v>0.21360000000000001</v>
      </c>
      <c r="U15" s="112">
        <f t="shared" si="24"/>
        <v>617.479152</v>
      </c>
      <c r="V15" s="112">
        <f t="shared" si="25"/>
        <v>545.30499999999995</v>
      </c>
      <c r="W15" s="112">
        <f t="shared" si="26"/>
        <v>1162.7841519999999</v>
      </c>
      <c r="X15" s="112">
        <f t="shared" si="27"/>
        <v>0</v>
      </c>
      <c r="Y15" s="112">
        <f t="shared" si="28"/>
        <v>1162.7841519999999</v>
      </c>
      <c r="Z15" s="131"/>
      <c r="AA15" s="215">
        <f t="shared" si="29"/>
        <v>0</v>
      </c>
      <c r="AB15" s="215">
        <f t="shared" si="13"/>
        <v>1162.7841519999999</v>
      </c>
      <c r="AC15" s="215">
        <v>0</v>
      </c>
      <c r="AD15" s="220">
        <v>0</v>
      </c>
      <c r="AE15" s="220">
        <v>0</v>
      </c>
      <c r="AF15" s="220">
        <v>0</v>
      </c>
      <c r="AG15" s="215">
        <f t="shared" si="14"/>
        <v>1162.7841519999999</v>
      </c>
      <c r="AH15" s="215">
        <f t="shared" si="15"/>
        <v>6877.2158479999998</v>
      </c>
      <c r="AI15" s="111"/>
      <c r="AJ15" s="52"/>
      <c r="AK15" s="111">
        <v>1467.81</v>
      </c>
      <c r="AL15" s="111">
        <f t="shared" si="16"/>
        <v>-305.025848</v>
      </c>
    </row>
    <row r="16" spans="1:38" s="140" customFormat="1" ht="33.950000000000003" customHeight="1">
      <c r="A16" s="7"/>
      <c r="B16" s="108">
        <v>9</v>
      </c>
      <c r="C16" s="147" t="s">
        <v>305</v>
      </c>
      <c r="D16" s="148" t="s">
        <v>299</v>
      </c>
      <c r="E16" s="109">
        <v>15</v>
      </c>
      <c r="F16" s="142">
        <v>536</v>
      </c>
      <c r="G16" s="117">
        <f t="shared" si="18"/>
        <v>8040</v>
      </c>
      <c r="H16" s="110"/>
      <c r="I16" s="110"/>
      <c r="J16" s="110">
        <v>0</v>
      </c>
      <c r="K16" s="110">
        <v>0</v>
      </c>
      <c r="L16" s="110">
        <v>0</v>
      </c>
      <c r="M16" s="110">
        <v>0</v>
      </c>
      <c r="N16" s="111">
        <f t="shared" si="12"/>
        <v>8040</v>
      </c>
      <c r="O16" s="134"/>
      <c r="P16" s="112">
        <f t="shared" si="19"/>
        <v>0</v>
      </c>
      <c r="Q16" s="112">
        <f t="shared" si="20"/>
        <v>8040</v>
      </c>
      <c r="R16" s="112">
        <f t="shared" si="21"/>
        <v>5149.18</v>
      </c>
      <c r="S16" s="112">
        <f t="shared" si="22"/>
        <v>2890.8199999999997</v>
      </c>
      <c r="T16" s="113">
        <f t="shared" si="23"/>
        <v>0.21360000000000001</v>
      </c>
      <c r="U16" s="112">
        <f t="shared" si="24"/>
        <v>617.479152</v>
      </c>
      <c r="V16" s="112">
        <f t="shared" si="25"/>
        <v>545.30499999999995</v>
      </c>
      <c r="W16" s="112">
        <f t="shared" si="26"/>
        <v>1162.7841519999999</v>
      </c>
      <c r="X16" s="112">
        <f t="shared" si="27"/>
        <v>0</v>
      </c>
      <c r="Y16" s="112">
        <f t="shared" si="28"/>
        <v>1162.7841519999999</v>
      </c>
      <c r="Z16" s="131"/>
      <c r="AA16" s="215">
        <f t="shared" si="29"/>
        <v>0</v>
      </c>
      <c r="AB16" s="215">
        <f t="shared" si="13"/>
        <v>1162.7841519999999</v>
      </c>
      <c r="AC16" s="215">
        <v>0</v>
      </c>
      <c r="AD16" s="220">
        <v>0</v>
      </c>
      <c r="AE16" s="220">
        <v>0</v>
      </c>
      <c r="AF16" s="220">
        <v>0</v>
      </c>
      <c r="AG16" s="215">
        <f t="shared" si="14"/>
        <v>1162.7841519999999</v>
      </c>
      <c r="AH16" s="215">
        <f t="shared" si="15"/>
        <v>6877.2158479999998</v>
      </c>
      <c r="AI16" s="111"/>
      <c r="AJ16" s="52"/>
      <c r="AK16" s="111">
        <v>1467.81</v>
      </c>
      <c r="AL16" s="111">
        <f t="shared" si="16"/>
        <v>-305.025848</v>
      </c>
    </row>
    <row r="17" spans="1:38" s="140" customFormat="1" ht="33.950000000000003" customHeight="1">
      <c r="A17" s="7"/>
      <c r="B17" s="108">
        <v>10</v>
      </c>
      <c r="C17" s="147" t="s">
        <v>306</v>
      </c>
      <c r="D17" s="148" t="s">
        <v>299</v>
      </c>
      <c r="E17" s="109">
        <v>15</v>
      </c>
      <c r="F17" s="142">
        <v>536</v>
      </c>
      <c r="G17" s="117">
        <f t="shared" si="18"/>
        <v>8040</v>
      </c>
      <c r="H17" s="110"/>
      <c r="I17" s="110"/>
      <c r="J17" s="110">
        <v>0</v>
      </c>
      <c r="K17" s="110">
        <v>0</v>
      </c>
      <c r="L17" s="110">
        <v>0</v>
      </c>
      <c r="M17" s="110">
        <v>0</v>
      </c>
      <c r="N17" s="111">
        <f t="shared" si="12"/>
        <v>8040</v>
      </c>
      <c r="O17" s="134"/>
      <c r="P17" s="112">
        <f t="shared" si="19"/>
        <v>0</v>
      </c>
      <c r="Q17" s="112">
        <f t="shared" si="20"/>
        <v>8040</v>
      </c>
      <c r="R17" s="112">
        <f t="shared" si="21"/>
        <v>5149.18</v>
      </c>
      <c r="S17" s="112">
        <f t="shared" si="22"/>
        <v>2890.8199999999997</v>
      </c>
      <c r="T17" s="113">
        <f t="shared" si="23"/>
        <v>0.21360000000000001</v>
      </c>
      <c r="U17" s="112">
        <f t="shared" si="24"/>
        <v>617.479152</v>
      </c>
      <c r="V17" s="112">
        <f t="shared" si="25"/>
        <v>545.30499999999995</v>
      </c>
      <c r="W17" s="112">
        <f t="shared" si="26"/>
        <v>1162.7841519999999</v>
      </c>
      <c r="X17" s="112">
        <f t="shared" si="27"/>
        <v>0</v>
      </c>
      <c r="Y17" s="112">
        <f t="shared" si="28"/>
        <v>1162.7841519999999</v>
      </c>
      <c r="Z17" s="131"/>
      <c r="AA17" s="215">
        <f t="shared" si="29"/>
        <v>0</v>
      </c>
      <c r="AB17" s="215">
        <f t="shared" si="13"/>
        <v>1162.7841519999999</v>
      </c>
      <c r="AC17" s="215">
        <v>0</v>
      </c>
      <c r="AD17" s="220">
        <v>0</v>
      </c>
      <c r="AE17" s="220">
        <v>0</v>
      </c>
      <c r="AF17" s="220">
        <v>0</v>
      </c>
      <c r="AG17" s="215">
        <f t="shared" si="14"/>
        <v>1162.7841519999999</v>
      </c>
      <c r="AH17" s="215">
        <f t="shared" si="15"/>
        <v>6877.2158479999998</v>
      </c>
      <c r="AI17" s="111"/>
      <c r="AJ17" s="52"/>
      <c r="AK17" s="111">
        <v>1467.81</v>
      </c>
      <c r="AL17" s="111">
        <f t="shared" si="16"/>
        <v>-305.025848</v>
      </c>
    </row>
    <row r="18" spans="1:38" s="140" customFormat="1" ht="30" customHeight="1">
      <c r="A18" s="7"/>
      <c r="B18" s="108">
        <v>11</v>
      </c>
      <c r="C18" s="147"/>
      <c r="D18" s="148"/>
      <c r="E18" s="109"/>
      <c r="F18" s="142"/>
      <c r="G18" s="117"/>
      <c r="H18" s="110"/>
      <c r="I18" s="110"/>
      <c r="J18" s="110"/>
      <c r="K18" s="110"/>
      <c r="L18" s="110"/>
      <c r="M18" s="110"/>
      <c r="N18" s="111"/>
      <c r="O18" s="134"/>
      <c r="P18" s="112"/>
      <c r="Q18" s="112"/>
      <c r="R18" s="112"/>
      <c r="S18" s="112"/>
      <c r="T18" s="113"/>
      <c r="U18" s="112"/>
      <c r="V18" s="112"/>
      <c r="W18" s="112"/>
      <c r="X18" s="112"/>
      <c r="Y18" s="112"/>
      <c r="Z18" s="131"/>
      <c r="AA18" s="215"/>
      <c r="AB18" s="215"/>
      <c r="AC18" s="215"/>
      <c r="AD18" s="220"/>
      <c r="AE18" s="220"/>
      <c r="AF18" s="220"/>
      <c r="AG18" s="215"/>
      <c r="AH18" s="215"/>
      <c r="AI18" s="111"/>
      <c r="AJ18" s="52"/>
      <c r="AK18" s="111"/>
      <c r="AL18" s="111"/>
    </row>
    <row r="19" spans="1:38" s="140" customFormat="1" ht="30" customHeight="1">
      <c r="A19" s="7"/>
      <c r="B19" s="108">
        <v>12</v>
      </c>
      <c r="C19" s="147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111"/>
      <c r="O19" s="134"/>
      <c r="P19" s="112"/>
      <c r="Q19" s="112"/>
      <c r="R19" s="112"/>
      <c r="S19" s="112"/>
      <c r="T19" s="113"/>
      <c r="U19" s="112"/>
      <c r="V19" s="112"/>
      <c r="W19" s="112"/>
      <c r="X19" s="112"/>
      <c r="Y19" s="112"/>
      <c r="Z19" s="131"/>
      <c r="AA19" s="111"/>
      <c r="AB19" s="111"/>
      <c r="AC19" s="111"/>
      <c r="AD19" s="110"/>
      <c r="AE19" s="110"/>
      <c r="AF19" s="139"/>
      <c r="AG19" s="111"/>
      <c r="AH19" s="111"/>
      <c r="AI19" s="111"/>
      <c r="AJ19" s="52"/>
      <c r="AK19" s="111"/>
      <c r="AL19" s="111"/>
    </row>
    <row r="20" spans="1:38" s="140" customFormat="1">
      <c r="A20" s="7"/>
      <c r="B20" s="100"/>
      <c r="C20" s="115"/>
      <c r="D20" s="115"/>
      <c r="E20" s="100"/>
      <c r="F20" s="101"/>
      <c r="G20" s="118"/>
      <c r="H20" s="102"/>
      <c r="I20" s="102"/>
      <c r="J20" s="102"/>
      <c r="K20" s="102"/>
      <c r="L20" s="102"/>
      <c r="M20" s="102"/>
      <c r="N20" s="102"/>
      <c r="O20" s="94"/>
      <c r="P20" s="103"/>
      <c r="Q20" s="104"/>
      <c r="R20" s="104"/>
      <c r="S20" s="104"/>
      <c r="T20" s="136"/>
      <c r="U20" s="104"/>
      <c r="V20" s="104"/>
      <c r="W20" s="104"/>
      <c r="X20" s="104"/>
      <c r="Y20" s="104"/>
      <c r="Z20" s="132"/>
      <c r="AA20" s="102"/>
      <c r="AB20" s="102"/>
      <c r="AC20" s="102"/>
      <c r="AD20" s="102"/>
      <c r="AE20" s="102"/>
      <c r="AF20" s="102"/>
      <c r="AG20" s="102"/>
      <c r="AH20" s="105"/>
      <c r="AI20" s="105"/>
      <c r="AJ20" s="7"/>
      <c r="AK20" s="105"/>
      <c r="AL20" s="105"/>
    </row>
    <row r="21" spans="1:38" s="140" customFormat="1">
      <c r="A21" s="7"/>
      <c r="B21" s="93"/>
      <c r="C21" s="93"/>
      <c r="D21" s="93"/>
      <c r="E21" s="92"/>
      <c r="F21" s="93"/>
      <c r="G21" s="95"/>
      <c r="H21" s="95"/>
      <c r="I21" s="95"/>
      <c r="J21" s="95"/>
      <c r="K21" s="95"/>
      <c r="L21" s="95"/>
      <c r="M21" s="95"/>
      <c r="N21" s="95"/>
      <c r="O21" s="96"/>
      <c r="P21" s="97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7"/>
      <c r="AK21" s="98"/>
      <c r="AL21" s="98"/>
    </row>
    <row r="22" spans="1:38" s="140" customFormat="1" ht="15.75" thickBot="1">
      <c r="A22" s="7"/>
      <c r="B22" s="634" t="s">
        <v>71</v>
      </c>
      <c r="C22" s="635"/>
      <c r="D22" s="635"/>
      <c r="E22" s="635"/>
      <c r="F22" s="636"/>
      <c r="G22" s="114">
        <f t="shared" ref="G22:N22" si="30">SUM(G8:G21)</f>
        <v>80400</v>
      </c>
      <c r="H22" s="114">
        <f t="shared" si="30"/>
        <v>0</v>
      </c>
      <c r="I22" s="114">
        <f t="shared" si="30"/>
        <v>0</v>
      </c>
      <c r="J22" s="114">
        <f t="shared" si="30"/>
        <v>0</v>
      </c>
      <c r="K22" s="114">
        <f t="shared" si="30"/>
        <v>0</v>
      </c>
      <c r="L22" s="114">
        <f t="shared" si="30"/>
        <v>0</v>
      </c>
      <c r="M22" s="114">
        <f t="shared" si="30"/>
        <v>0</v>
      </c>
      <c r="N22" s="114">
        <f t="shared" si="30"/>
        <v>80400</v>
      </c>
      <c r="O22" s="133"/>
      <c r="P22" s="135">
        <f t="shared" ref="P22:Y22" si="31">SUM(P8:P21)</f>
        <v>0</v>
      </c>
      <c r="Q22" s="135">
        <f t="shared" si="31"/>
        <v>80400</v>
      </c>
      <c r="R22" s="135">
        <f t="shared" si="31"/>
        <v>51491.8</v>
      </c>
      <c r="S22" s="135">
        <f t="shared" si="31"/>
        <v>28908.199999999997</v>
      </c>
      <c r="T22" s="135">
        <f t="shared" si="31"/>
        <v>2.1360000000000001</v>
      </c>
      <c r="U22" s="135">
        <f t="shared" si="31"/>
        <v>6174.7915199999998</v>
      </c>
      <c r="V22" s="135">
        <f t="shared" si="31"/>
        <v>5453.05</v>
      </c>
      <c r="W22" s="135">
        <f t="shared" si="31"/>
        <v>11627.84152</v>
      </c>
      <c r="X22" s="135">
        <f t="shared" si="31"/>
        <v>0</v>
      </c>
      <c r="Y22" s="135">
        <f t="shared" si="31"/>
        <v>11627.84152</v>
      </c>
      <c r="Z22" s="133"/>
      <c r="AA22" s="114">
        <f t="shared" ref="AA22:AF22" si="32">SUM(AA8:AA21)</f>
        <v>0</v>
      </c>
      <c r="AB22" s="114">
        <v>11627.8</v>
      </c>
      <c r="AC22" s="114">
        <f t="shared" si="32"/>
        <v>0</v>
      </c>
      <c r="AD22" s="114">
        <f t="shared" si="32"/>
        <v>0</v>
      </c>
      <c r="AE22" s="114">
        <f t="shared" si="32"/>
        <v>0</v>
      </c>
      <c r="AF22" s="114">
        <f t="shared" si="32"/>
        <v>0</v>
      </c>
      <c r="AG22" s="114">
        <v>11627.8</v>
      </c>
      <c r="AH22" s="114">
        <v>68772.2</v>
      </c>
      <c r="AI22" s="114"/>
      <c r="AJ22" s="7"/>
      <c r="AK22" s="114">
        <f t="shared" ref="AK22:AL22" si="33">SUM(AK8:AK21)</f>
        <v>14678.099999999997</v>
      </c>
      <c r="AL22" s="114">
        <f t="shared" si="33"/>
        <v>-3050.2584800000004</v>
      </c>
    </row>
    <row r="23" spans="1:38" s="140" customFormat="1" ht="13.5" thickTop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6" spans="1:38">
      <c r="C26" s="52"/>
      <c r="D26" s="52"/>
    </row>
    <row r="27" spans="1:38">
      <c r="C27" s="52"/>
      <c r="D27" s="52"/>
    </row>
    <row r="28" spans="1:38">
      <c r="C28" s="52"/>
      <c r="D28" s="52"/>
      <c r="AA28" s="175"/>
    </row>
    <row r="29" spans="1:38">
      <c r="AD29" s="175"/>
    </row>
    <row r="30" spans="1:38">
      <c r="C30" s="144"/>
      <c r="D30" s="144"/>
    </row>
    <row r="33" spans="27:27">
      <c r="AA33" s="175"/>
    </row>
  </sheetData>
  <mergeCells count="6">
    <mergeCell ref="B22:F22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5"/>
  <sheetViews>
    <sheetView showGridLines="0" zoomScale="68" zoomScaleNormal="68" workbookViewId="0">
      <selection activeCell="F8" sqref="F8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18.5703125" style="7" bestFit="1" customWidth="1"/>
    <col min="5" max="5" width="6.5703125" style="7" customWidth="1"/>
    <col min="6" max="6" width="10" style="7" customWidth="1"/>
    <col min="7" max="7" width="14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7.7109375" style="7" bestFit="1" customWidth="1"/>
    <col min="12" max="12" width="10" style="7" bestFit="1" customWidth="1"/>
    <col min="13" max="13" width="8.7109375" style="7" bestFit="1" customWidth="1"/>
    <col min="14" max="14" width="14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8.5703125" style="7" bestFit="1" customWidth="1"/>
    <col min="29" max="29" width="11.28515625" style="7" hidden="1" customWidth="1"/>
    <col min="30" max="31" width="10.42578125" style="7" hidden="1" customWidth="1"/>
    <col min="32" max="32" width="11" style="7" bestFit="1" customWidth="1"/>
    <col min="33" max="33" width="7.85546875" style="7" bestFit="1" customWidth="1"/>
    <col min="34" max="34" width="13.5703125" style="7" bestFit="1" customWidth="1"/>
    <col min="35" max="35" width="45.71093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136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266</v>
      </c>
      <c r="D8" s="148" t="s">
        <v>267</v>
      </c>
      <c r="E8" s="109">
        <v>15</v>
      </c>
      <c r="F8" s="142">
        <v>167</v>
      </c>
      <c r="G8" s="117">
        <f t="shared" ref="G8:G11" si="0">E8*F8</f>
        <v>2505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1" si="1">SUM(G8:M8)</f>
        <v>2505</v>
      </c>
      <c r="O8" s="134"/>
      <c r="P8" s="112">
        <f t="shared" ref="P8:P11" si="2">IF(F8=47.16,0,IF(F8&gt;47.16,K8*0.5,0))</f>
        <v>0</v>
      </c>
      <c r="Q8" s="112">
        <f t="shared" ref="Q8:Q11" si="3">G8+H8+I8+L8+P8+J8</f>
        <v>2505</v>
      </c>
      <c r="R8" s="112">
        <f t="shared" ref="R8:R11" si="4">VLOOKUP(Q8,Tarifa1,1)</f>
        <v>2105.21</v>
      </c>
      <c r="S8" s="112">
        <f t="shared" ref="S8:S11" si="5">Q8-R8</f>
        <v>399.78999999999996</v>
      </c>
      <c r="T8" s="113">
        <f t="shared" ref="T8:T11" si="6">VLOOKUP(Q8,Tarifa1,3)</f>
        <v>0.10879999999999999</v>
      </c>
      <c r="U8" s="112">
        <f t="shared" ref="U8:U11" si="7">S8*T8</f>
        <v>43.497151999999993</v>
      </c>
      <c r="V8" s="112">
        <f t="shared" ref="V8:V11" si="8">VLOOKUP(Q8,Tarifa1,2)</f>
        <v>123.62</v>
      </c>
      <c r="W8" s="112">
        <f t="shared" ref="W8:W11" si="9">U8+V8</f>
        <v>167.117152</v>
      </c>
      <c r="X8" s="112">
        <f t="shared" ref="X8:X11" si="10">VLOOKUP(Q8,Credito1,2)</f>
        <v>162.435</v>
      </c>
      <c r="Y8" s="112">
        <f t="shared" ref="Y8:Y11" si="11">W8-X8</f>
        <v>4.6821520000000021</v>
      </c>
      <c r="Z8" s="131"/>
      <c r="AA8" s="111">
        <f t="shared" ref="AA8:AA11" si="12">-IF(Y8&gt;0,0,Y8)</f>
        <v>0</v>
      </c>
      <c r="AB8" s="111">
        <f t="shared" ref="AB8:AB11" si="13">IF(Y8&lt;0,0,Y8)</f>
        <v>4.6821520000000021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:AG11" si="14">SUM(AB8:AF8)</f>
        <v>4.6821520000000021</v>
      </c>
      <c r="AH8" s="111">
        <f t="shared" ref="AH8:AH11" si="15">N8+AA8-AG8</f>
        <v>2500.3178480000001</v>
      </c>
      <c r="AI8" s="111"/>
      <c r="AJ8" s="52"/>
      <c r="AK8" s="111">
        <v>-67</v>
      </c>
      <c r="AL8" s="111">
        <f t="shared" ref="AL8" si="16">-AK8-AA8</f>
        <v>67</v>
      </c>
    </row>
    <row r="9" spans="1:38" s="140" customFormat="1" ht="30" customHeight="1">
      <c r="A9" s="7"/>
      <c r="B9" s="108">
        <v>2</v>
      </c>
      <c r="C9" s="147" t="s">
        <v>268</v>
      </c>
      <c r="D9" s="148" t="s">
        <v>269</v>
      </c>
      <c r="E9" s="109">
        <v>15</v>
      </c>
      <c r="F9" s="142">
        <v>151</v>
      </c>
      <c r="G9" s="117">
        <f t="shared" si="0"/>
        <v>2265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2265</v>
      </c>
      <c r="O9" s="134"/>
      <c r="P9" s="112">
        <f t="shared" si="2"/>
        <v>0</v>
      </c>
      <c r="Q9" s="112">
        <f t="shared" si="3"/>
        <v>2265</v>
      </c>
      <c r="R9" s="112">
        <f t="shared" si="4"/>
        <v>2105.21</v>
      </c>
      <c r="S9" s="112">
        <f t="shared" si="5"/>
        <v>159.78999999999996</v>
      </c>
      <c r="T9" s="113">
        <f t="shared" si="6"/>
        <v>0.10879999999999999</v>
      </c>
      <c r="U9" s="112">
        <f t="shared" si="7"/>
        <v>17.385151999999994</v>
      </c>
      <c r="V9" s="112">
        <f t="shared" si="8"/>
        <v>123.62</v>
      </c>
      <c r="W9" s="112">
        <f t="shared" si="9"/>
        <v>141.00515200000001</v>
      </c>
      <c r="X9" s="112">
        <f t="shared" si="10"/>
        <v>177.11500000000001</v>
      </c>
      <c r="Y9" s="112">
        <f t="shared" si="11"/>
        <v>-36.109848</v>
      </c>
      <c r="Z9" s="131"/>
      <c r="AA9" s="111">
        <f t="shared" si="12"/>
        <v>36.109848</v>
      </c>
      <c r="AB9" s="111">
        <f t="shared" si="13"/>
        <v>0</v>
      </c>
      <c r="AC9" s="111">
        <v>0</v>
      </c>
      <c r="AD9" s="110">
        <v>0</v>
      </c>
      <c r="AE9" s="110">
        <v>0</v>
      </c>
      <c r="AF9" s="139">
        <v>0</v>
      </c>
      <c r="AG9" s="111">
        <f t="shared" si="14"/>
        <v>0</v>
      </c>
      <c r="AH9" s="111">
        <f t="shared" si="15"/>
        <v>2301.1098480000001</v>
      </c>
      <c r="AI9" s="111"/>
      <c r="AJ9" s="52"/>
      <c r="AK9" s="111">
        <v>4.1399999999999864</v>
      </c>
      <c r="AL9" s="111">
        <f>AB9-AK9</f>
        <v>-4.1399999999999864</v>
      </c>
    </row>
    <row r="10" spans="1:38" s="140" customFormat="1" ht="30" customHeight="1">
      <c r="A10" s="7"/>
      <c r="B10" s="108">
        <v>3</v>
      </c>
      <c r="C10" s="147" t="s">
        <v>270</v>
      </c>
      <c r="D10" s="148" t="s">
        <v>109</v>
      </c>
      <c r="E10" s="109">
        <v>15</v>
      </c>
      <c r="F10" s="142">
        <v>140</v>
      </c>
      <c r="G10" s="117">
        <f t="shared" si="0"/>
        <v>2100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2100</v>
      </c>
      <c r="O10" s="134"/>
      <c r="P10" s="112">
        <f t="shared" si="2"/>
        <v>0</v>
      </c>
      <c r="Q10" s="112">
        <f t="shared" si="3"/>
        <v>2100</v>
      </c>
      <c r="R10" s="112">
        <f t="shared" si="4"/>
        <v>248.04</v>
      </c>
      <c r="S10" s="112">
        <f t="shared" si="5"/>
        <v>1851.96</v>
      </c>
      <c r="T10" s="113">
        <f t="shared" si="6"/>
        <v>6.4000000000000001E-2</v>
      </c>
      <c r="U10" s="112">
        <f t="shared" si="7"/>
        <v>118.52544</v>
      </c>
      <c r="V10" s="112">
        <f t="shared" si="8"/>
        <v>4.76</v>
      </c>
      <c r="W10" s="112">
        <f t="shared" si="9"/>
        <v>123.28544000000001</v>
      </c>
      <c r="X10" s="112">
        <f t="shared" si="10"/>
        <v>191.23</v>
      </c>
      <c r="Y10" s="112">
        <f t="shared" si="11"/>
        <v>-67.944559999999981</v>
      </c>
      <c r="Z10" s="131"/>
      <c r="AA10" s="111">
        <f t="shared" si="12"/>
        <v>67.944559999999981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si="14"/>
        <v>0</v>
      </c>
      <c r="AH10" s="111">
        <f t="shared" si="15"/>
        <v>2167.9445599999999</v>
      </c>
      <c r="AI10" s="111"/>
      <c r="AJ10" s="52"/>
      <c r="AK10" s="111">
        <v>-64</v>
      </c>
      <c r="AL10" s="111">
        <f t="shared" ref="AL10:AL14" si="17">-AK10-AA10</f>
        <v>-3.9445599999999814</v>
      </c>
    </row>
    <row r="11" spans="1:38" s="140" customFormat="1" ht="30" customHeight="1">
      <c r="A11" s="7"/>
      <c r="B11" s="108">
        <v>4</v>
      </c>
      <c r="C11" s="147" t="s">
        <v>271</v>
      </c>
      <c r="D11" s="148" t="s">
        <v>109</v>
      </c>
      <c r="E11" s="109">
        <v>15</v>
      </c>
      <c r="F11" s="142">
        <v>140</v>
      </c>
      <c r="G11" s="117">
        <f t="shared" si="0"/>
        <v>2100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si="1"/>
        <v>2100</v>
      </c>
      <c r="O11" s="134"/>
      <c r="P11" s="112">
        <f t="shared" si="2"/>
        <v>0</v>
      </c>
      <c r="Q11" s="112">
        <f t="shared" si="3"/>
        <v>2100</v>
      </c>
      <c r="R11" s="112">
        <f t="shared" si="4"/>
        <v>248.04</v>
      </c>
      <c r="S11" s="112">
        <f t="shared" si="5"/>
        <v>1851.96</v>
      </c>
      <c r="T11" s="113">
        <f t="shared" si="6"/>
        <v>6.4000000000000001E-2</v>
      </c>
      <c r="U11" s="112">
        <f t="shared" si="7"/>
        <v>118.52544</v>
      </c>
      <c r="V11" s="112">
        <f t="shared" si="8"/>
        <v>4.76</v>
      </c>
      <c r="W11" s="112">
        <f t="shared" si="9"/>
        <v>123.28544000000001</v>
      </c>
      <c r="X11" s="112">
        <f t="shared" si="10"/>
        <v>191.23</v>
      </c>
      <c r="Y11" s="112">
        <f t="shared" si="11"/>
        <v>-67.944559999999981</v>
      </c>
      <c r="Z11" s="131"/>
      <c r="AA11" s="111">
        <f t="shared" si="12"/>
        <v>67.944559999999981</v>
      </c>
      <c r="AB11" s="111">
        <f t="shared" si="13"/>
        <v>0</v>
      </c>
      <c r="AC11" s="111">
        <v>0</v>
      </c>
      <c r="AD11" s="110">
        <v>0</v>
      </c>
      <c r="AE11" s="110">
        <v>0</v>
      </c>
      <c r="AF11" s="139">
        <v>0</v>
      </c>
      <c r="AG11" s="111">
        <f t="shared" si="14"/>
        <v>0</v>
      </c>
      <c r="AH11" s="111">
        <f t="shared" si="15"/>
        <v>2167.9445599999999</v>
      </c>
      <c r="AI11" s="111"/>
      <c r="AJ11" s="52"/>
      <c r="AK11" s="111">
        <v>-51</v>
      </c>
      <c r="AL11" s="111">
        <f t="shared" si="17"/>
        <v>-16.944559999999981</v>
      </c>
    </row>
    <row r="12" spans="1:38" s="140" customFormat="1" ht="30" customHeight="1">
      <c r="A12" s="7"/>
      <c r="B12" s="108">
        <v>5</v>
      </c>
      <c r="C12" s="397" t="s">
        <v>444</v>
      </c>
      <c r="D12" s="398" t="s">
        <v>363</v>
      </c>
      <c r="E12" s="399">
        <v>15</v>
      </c>
      <c r="F12" s="400">
        <v>110</v>
      </c>
      <c r="G12" s="405">
        <f t="shared" ref="G12" si="18">E12*F12</f>
        <v>1650</v>
      </c>
      <c r="H12" s="406">
        <v>0</v>
      </c>
      <c r="I12" s="406">
        <f>H12</f>
        <v>0</v>
      </c>
      <c r="J12" s="406">
        <v>0</v>
      </c>
      <c r="K12" s="406">
        <v>0</v>
      </c>
      <c r="L12" s="406">
        <v>0</v>
      </c>
      <c r="M12" s="406">
        <v>0</v>
      </c>
      <c r="N12" s="405">
        <f t="shared" ref="N12" si="19">SUM(G12:M12)</f>
        <v>1650</v>
      </c>
      <c r="O12" s="413"/>
      <c r="P12" s="405">
        <f t="shared" ref="P12" si="20">IF(F12=47.16,0,IF(F12&gt;47.16,K12*0.5,0))</f>
        <v>0</v>
      </c>
      <c r="Q12" s="405">
        <f t="shared" ref="Q12" si="21">G12+H12+I12+L12+P12+J12</f>
        <v>1650</v>
      </c>
      <c r="R12" s="405">
        <f t="shared" ref="R12" si="22">VLOOKUP(Q12,Tarifa1,1)</f>
        <v>248.04</v>
      </c>
      <c r="S12" s="405">
        <f t="shared" ref="S12" si="23">Q12-R12</f>
        <v>1401.96</v>
      </c>
      <c r="T12" s="414">
        <f t="shared" ref="T12" si="24">VLOOKUP(Q12,Tarifa1,3)</f>
        <v>6.4000000000000001E-2</v>
      </c>
      <c r="U12" s="405">
        <f t="shared" ref="U12" si="25">S12*T12</f>
        <v>89.725440000000006</v>
      </c>
      <c r="V12" s="405">
        <f t="shared" ref="V12" si="26">VLOOKUP(Q12,Tarifa1,2)</f>
        <v>4.76</v>
      </c>
      <c r="W12" s="405">
        <f t="shared" ref="W12" si="27">U12+V12</f>
        <v>94.485440000000011</v>
      </c>
      <c r="X12" s="405">
        <f t="shared" ref="X12" si="28">VLOOKUP(Q12,Credito1,2)</f>
        <v>203.31</v>
      </c>
      <c r="Y12" s="405">
        <f t="shared" ref="Y12" si="29">W12-X12</f>
        <v>-108.82455999999999</v>
      </c>
      <c r="Z12" s="410"/>
      <c r="AA12" s="405">
        <f t="shared" ref="AA12" si="30">-IF(Y12&gt;0,0,Y12)</f>
        <v>108.82455999999999</v>
      </c>
      <c r="AB12" s="405">
        <f t="shared" ref="AB12" si="31">IF(Y12&lt;0,0,Y12)</f>
        <v>0</v>
      </c>
      <c r="AC12" s="405">
        <v>0</v>
      </c>
      <c r="AD12" s="406">
        <v>0</v>
      </c>
      <c r="AE12" s="406">
        <v>0</v>
      </c>
      <c r="AF12" s="415">
        <v>0</v>
      </c>
      <c r="AG12" s="405">
        <f t="shared" ref="AG12" si="32">SUM(AB12:AF12)</f>
        <v>0</v>
      </c>
      <c r="AH12" s="405">
        <f t="shared" ref="AH12" si="33">N12+AA12-AG12</f>
        <v>1758.82456</v>
      </c>
      <c r="AI12" s="111"/>
      <c r="AJ12" s="52"/>
      <c r="AK12" s="111">
        <v>-92</v>
      </c>
      <c r="AL12" s="111">
        <f t="shared" si="17"/>
        <v>-16.824559999999991</v>
      </c>
    </row>
    <row r="13" spans="1:38" s="140" customFormat="1" ht="30" customHeight="1">
      <c r="A13" s="7"/>
      <c r="B13" s="108">
        <v>6</v>
      </c>
      <c r="C13" s="147" t="s">
        <v>535</v>
      </c>
      <c r="D13" s="148" t="s">
        <v>536</v>
      </c>
      <c r="E13" s="109">
        <v>15</v>
      </c>
      <c r="F13" s="142">
        <v>120</v>
      </c>
      <c r="G13" s="405">
        <f t="shared" ref="G13" si="34">E13*F13</f>
        <v>1800</v>
      </c>
      <c r="H13" s="406">
        <v>0</v>
      </c>
      <c r="I13" s="406">
        <f>H13</f>
        <v>0</v>
      </c>
      <c r="J13" s="406">
        <v>0</v>
      </c>
      <c r="K13" s="406">
        <v>0</v>
      </c>
      <c r="L13" s="406">
        <v>0</v>
      </c>
      <c r="M13" s="406">
        <v>0</v>
      </c>
      <c r="N13" s="405">
        <f t="shared" ref="N13" si="35">SUM(G13:M13)</f>
        <v>1800</v>
      </c>
      <c r="O13" s="413"/>
      <c r="P13" s="405">
        <f t="shared" ref="P13" si="36">IF(F13=47.16,0,IF(F13&gt;47.16,K13*0.5,0))</f>
        <v>0</v>
      </c>
      <c r="Q13" s="405">
        <f t="shared" ref="Q13" si="37">G13+H13+I13+L13+P13+J13</f>
        <v>1800</v>
      </c>
      <c r="R13" s="405">
        <f t="shared" ref="R13" si="38">VLOOKUP(Q13,Tarifa1,1)</f>
        <v>248.04</v>
      </c>
      <c r="S13" s="405">
        <f t="shared" ref="S13" si="39">Q13-R13</f>
        <v>1551.96</v>
      </c>
      <c r="T13" s="414">
        <f t="shared" ref="T13" si="40">VLOOKUP(Q13,Tarifa1,3)</f>
        <v>6.4000000000000001E-2</v>
      </c>
      <c r="U13" s="405">
        <f t="shared" ref="U13" si="41">S13*T13</f>
        <v>99.32544</v>
      </c>
      <c r="V13" s="405">
        <f t="shared" ref="V13" si="42">VLOOKUP(Q13,Tarifa1,2)</f>
        <v>4.76</v>
      </c>
      <c r="W13" s="405">
        <f t="shared" ref="W13" si="43">U13+V13</f>
        <v>104.08544000000001</v>
      </c>
      <c r="X13" s="405">
        <f t="shared" ref="X13" si="44">VLOOKUP(Q13,Credito1,2)</f>
        <v>191.23</v>
      </c>
      <c r="Y13" s="405">
        <f t="shared" ref="Y13" si="45">W13-X13</f>
        <v>-87.144559999999984</v>
      </c>
      <c r="Z13" s="410"/>
      <c r="AA13" s="405">
        <f t="shared" ref="AA13" si="46">-IF(Y13&gt;0,0,Y13)</f>
        <v>87.144559999999984</v>
      </c>
      <c r="AB13" s="405">
        <f t="shared" ref="AB13" si="47">IF(Y13&lt;0,0,Y13)</f>
        <v>0</v>
      </c>
      <c r="AC13" s="405">
        <v>0</v>
      </c>
      <c r="AD13" s="406">
        <v>0</v>
      </c>
      <c r="AE13" s="406">
        <v>0</v>
      </c>
      <c r="AF13" s="415">
        <v>0</v>
      </c>
      <c r="AG13" s="405">
        <f t="shared" ref="AG13" si="48">SUM(AB13:AF13)</f>
        <v>0</v>
      </c>
      <c r="AH13" s="405">
        <f t="shared" ref="AH13" si="49">N13+AA13-AG13</f>
        <v>1887.14456</v>
      </c>
      <c r="AI13" s="111"/>
      <c r="AJ13" s="52"/>
      <c r="AK13" s="111">
        <v>-100</v>
      </c>
      <c r="AL13" s="111">
        <f t="shared" si="17"/>
        <v>12.855440000000016</v>
      </c>
    </row>
    <row r="14" spans="1:38" s="140" customFormat="1" ht="30" customHeight="1">
      <c r="A14" s="7"/>
      <c r="B14" s="108">
        <v>7</v>
      </c>
      <c r="C14" s="147"/>
      <c r="D14" s="148"/>
      <c r="E14" s="109"/>
      <c r="F14" s="142"/>
      <c r="G14" s="117"/>
      <c r="H14" s="110"/>
      <c r="I14" s="110"/>
      <c r="J14" s="110"/>
      <c r="K14" s="110"/>
      <c r="L14" s="110"/>
      <c r="M14" s="110"/>
      <c r="N14" s="111"/>
      <c r="O14" s="134"/>
      <c r="P14" s="112"/>
      <c r="Q14" s="112"/>
      <c r="R14" s="112"/>
      <c r="S14" s="112"/>
      <c r="T14" s="113"/>
      <c r="U14" s="112"/>
      <c r="V14" s="112"/>
      <c r="W14" s="112"/>
      <c r="X14" s="112"/>
      <c r="Y14" s="112"/>
      <c r="Z14" s="131"/>
      <c r="AA14" s="111"/>
      <c r="AB14" s="111"/>
      <c r="AC14" s="111"/>
      <c r="AD14" s="110"/>
      <c r="AE14" s="110"/>
      <c r="AF14" s="139"/>
      <c r="AG14" s="111"/>
      <c r="AH14" s="111"/>
      <c r="AI14" s="111"/>
      <c r="AJ14" s="52"/>
      <c r="AK14" s="111">
        <v>-67</v>
      </c>
      <c r="AL14" s="111">
        <f t="shared" si="17"/>
        <v>67</v>
      </c>
    </row>
    <row r="15" spans="1:38" s="140" customFormat="1">
      <c r="A15" s="7"/>
      <c r="B15" s="100"/>
      <c r="C15" s="115"/>
      <c r="D15" s="115"/>
      <c r="E15" s="100"/>
      <c r="F15" s="101"/>
      <c r="G15" s="118"/>
      <c r="H15" s="102"/>
      <c r="I15" s="102"/>
      <c r="J15" s="102"/>
      <c r="K15" s="102"/>
      <c r="L15" s="102"/>
      <c r="M15" s="102"/>
      <c r="N15" s="102"/>
      <c r="O15" s="94"/>
      <c r="P15" s="103"/>
      <c r="Q15" s="104"/>
      <c r="R15" s="104"/>
      <c r="S15" s="104"/>
      <c r="T15" s="136"/>
      <c r="U15" s="104"/>
      <c r="V15" s="104"/>
      <c r="W15" s="104"/>
      <c r="X15" s="104"/>
      <c r="Y15" s="104"/>
      <c r="Z15" s="132"/>
      <c r="AA15" s="102"/>
      <c r="AB15" s="102"/>
      <c r="AC15" s="102"/>
      <c r="AD15" s="102"/>
      <c r="AE15" s="102"/>
      <c r="AF15" s="102"/>
      <c r="AG15" s="102"/>
      <c r="AH15" s="105"/>
      <c r="AI15" s="105"/>
      <c r="AJ15" s="7"/>
      <c r="AK15" s="105"/>
      <c r="AL15" s="105"/>
    </row>
    <row r="16" spans="1:38" s="140" customFormat="1">
      <c r="A16" s="7"/>
      <c r="B16" s="93"/>
      <c r="C16" s="93"/>
      <c r="D16" s="93"/>
      <c r="E16" s="92"/>
      <c r="F16" s="93"/>
      <c r="G16" s="95"/>
      <c r="H16" s="95"/>
      <c r="I16" s="95"/>
      <c r="J16" s="95"/>
      <c r="K16" s="95"/>
      <c r="L16" s="95"/>
      <c r="M16" s="95"/>
      <c r="N16" s="95"/>
      <c r="O16" s="96"/>
      <c r="P16" s="97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7"/>
      <c r="AK16" s="98"/>
      <c r="AL16" s="98"/>
    </row>
    <row r="17" spans="1:38" s="140" customFormat="1" ht="15.75" thickBot="1">
      <c r="A17" s="7"/>
      <c r="B17" s="634" t="s">
        <v>71</v>
      </c>
      <c r="C17" s="635"/>
      <c r="D17" s="635"/>
      <c r="E17" s="635"/>
      <c r="F17" s="636"/>
      <c r="G17" s="114">
        <f t="shared" ref="G17:N17" si="50">SUM(G8:G16)</f>
        <v>12420</v>
      </c>
      <c r="H17" s="114">
        <f t="shared" si="50"/>
        <v>0</v>
      </c>
      <c r="I17" s="114">
        <f t="shared" si="50"/>
        <v>0</v>
      </c>
      <c r="J17" s="114">
        <f t="shared" si="50"/>
        <v>0</v>
      </c>
      <c r="K17" s="114">
        <f t="shared" si="50"/>
        <v>0</v>
      </c>
      <c r="L17" s="114">
        <f t="shared" si="50"/>
        <v>0</v>
      </c>
      <c r="M17" s="114">
        <f t="shared" si="50"/>
        <v>0</v>
      </c>
      <c r="N17" s="114">
        <f t="shared" si="50"/>
        <v>12420</v>
      </c>
      <c r="O17" s="133"/>
      <c r="P17" s="135">
        <f t="shared" ref="P17:Y17" si="51">SUM(P8:P16)</f>
        <v>0</v>
      </c>
      <c r="Q17" s="135">
        <f t="shared" si="51"/>
        <v>12420</v>
      </c>
      <c r="R17" s="135">
        <f t="shared" si="51"/>
        <v>5202.58</v>
      </c>
      <c r="S17" s="135">
        <f t="shared" si="51"/>
        <v>7217.42</v>
      </c>
      <c r="T17" s="135">
        <f t="shared" si="51"/>
        <v>0.47359999999999997</v>
      </c>
      <c r="U17" s="135">
        <f t="shared" si="51"/>
        <v>486.98406399999999</v>
      </c>
      <c r="V17" s="135">
        <f t="shared" si="51"/>
        <v>266.27999999999997</v>
      </c>
      <c r="W17" s="135">
        <f t="shared" si="51"/>
        <v>753.26406399999996</v>
      </c>
      <c r="X17" s="135">
        <f t="shared" si="51"/>
        <v>1116.55</v>
      </c>
      <c r="Y17" s="135">
        <f t="shared" si="51"/>
        <v>-363.28593599999988</v>
      </c>
      <c r="Z17" s="133"/>
      <c r="AA17" s="114">
        <f t="shared" ref="AA17:AH17" si="52">SUM(AA8:AA16)</f>
        <v>367.96808799999997</v>
      </c>
      <c r="AB17" s="114">
        <f t="shared" si="52"/>
        <v>4.6821520000000021</v>
      </c>
      <c r="AC17" s="114">
        <f t="shared" si="52"/>
        <v>0</v>
      </c>
      <c r="AD17" s="114">
        <f t="shared" si="52"/>
        <v>0</v>
      </c>
      <c r="AE17" s="114">
        <f t="shared" si="52"/>
        <v>0</v>
      </c>
      <c r="AF17" s="114">
        <f t="shared" si="52"/>
        <v>0</v>
      </c>
      <c r="AG17" s="114">
        <f t="shared" si="52"/>
        <v>4.6821520000000021</v>
      </c>
      <c r="AH17" s="114">
        <f t="shared" si="52"/>
        <v>12783.285936</v>
      </c>
      <c r="AI17" s="114"/>
      <c r="AJ17" s="7"/>
      <c r="AK17" s="114">
        <f t="shared" ref="AK17:AL17" si="53">SUM(AK8:AK16)</f>
        <v>-436.86</v>
      </c>
      <c r="AL17" s="114">
        <f t="shared" si="53"/>
        <v>105.00176000000008</v>
      </c>
    </row>
    <row r="18" spans="1:38" s="140" customFormat="1" ht="13.5" thickTop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21" spans="1:38">
      <c r="C21" s="52"/>
      <c r="D21" s="52"/>
    </row>
    <row r="22" spans="1:38">
      <c r="C22" s="52"/>
      <c r="D22" s="52"/>
    </row>
    <row r="23" spans="1:38">
      <c r="C23" s="52"/>
      <c r="D23" s="52"/>
    </row>
    <row r="25" spans="1:38">
      <c r="C25" s="144"/>
      <c r="D25" s="144"/>
    </row>
  </sheetData>
  <mergeCells count="6">
    <mergeCell ref="B17:F17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2"/>
  <sheetViews>
    <sheetView showGridLines="0" zoomScale="68" zoomScaleNormal="68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41.5703125" style="7" bestFit="1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0" style="7" bestFit="1" customWidth="1"/>
    <col min="13" max="13" width="8.710937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9.42578125" style="7" bestFit="1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" style="7" bestFit="1" customWidth="1"/>
    <col min="33" max="33" width="11.140625" style="7" customWidth="1"/>
    <col min="34" max="34" width="13.42578125" style="7" customWidth="1"/>
    <col min="35" max="35" width="40.42578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189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209"/>
      <c r="O7" s="210"/>
      <c r="P7" s="211"/>
      <c r="Q7" s="211"/>
      <c r="R7" s="211"/>
      <c r="S7" s="211"/>
      <c r="T7" s="211"/>
      <c r="U7" s="211"/>
      <c r="V7" s="211"/>
      <c r="W7" s="211"/>
      <c r="X7" s="211"/>
      <c r="Y7" s="212"/>
      <c r="Z7" s="213"/>
      <c r="AA7" s="209"/>
      <c r="AB7" s="209"/>
      <c r="AC7" s="209"/>
      <c r="AD7" s="209"/>
      <c r="AE7" s="209"/>
      <c r="AF7" s="209"/>
      <c r="AG7" s="209"/>
      <c r="AH7" s="214"/>
      <c r="AI7" s="116"/>
      <c r="AJ7" s="7"/>
      <c r="AK7" s="116"/>
      <c r="AL7" s="116"/>
    </row>
    <row r="8" spans="1:38" s="140" customFormat="1" ht="36" customHeight="1">
      <c r="A8" s="7"/>
      <c r="B8" s="108">
        <v>1</v>
      </c>
      <c r="C8" s="147" t="s">
        <v>190</v>
      </c>
      <c r="D8" s="148" t="s">
        <v>114</v>
      </c>
      <c r="E8" s="109">
        <v>15</v>
      </c>
      <c r="F8" s="142">
        <v>205</v>
      </c>
      <c r="G8" s="117">
        <f t="shared" ref="G8:G9" si="0">E8*F8</f>
        <v>3075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:N9" si="1">SUM(G8:M8)</f>
        <v>3075</v>
      </c>
      <c r="O8" s="216"/>
      <c r="P8" s="217">
        <f t="shared" ref="P8:P9" si="2">IF(F8=47.16,0,IF(F8&gt;47.16,K8*0.5,0))</f>
        <v>0</v>
      </c>
      <c r="Q8" s="217">
        <f t="shared" ref="Q8:Q9" si="3">G8+H8+I8+L8+P8+J8</f>
        <v>3075</v>
      </c>
      <c r="R8" s="217">
        <f t="shared" ref="R8:R9" si="4">VLOOKUP(Q8,Tarifa1,1)</f>
        <v>2105.21</v>
      </c>
      <c r="S8" s="217">
        <f t="shared" ref="S8:S9" si="5">Q8-R8</f>
        <v>969.79</v>
      </c>
      <c r="T8" s="218">
        <f t="shared" ref="T8:T9" si="6">VLOOKUP(Q8,Tarifa1,3)</f>
        <v>0.10879999999999999</v>
      </c>
      <c r="U8" s="217">
        <f t="shared" ref="U8:U9" si="7">S8*T8</f>
        <v>105.51315199999999</v>
      </c>
      <c r="V8" s="217">
        <f t="shared" ref="V8:V9" si="8">VLOOKUP(Q8,Tarifa1,2)</f>
        <v>123.62</v>
      </c>
      <c r="W8" s="217">
        <f t="shared" ref="W8:W9" si="9">U8+V8</f>
        <v>229.133152</v>
      </c>
      <c r="X8" s="217">
        <f t="shared" ref="X8:X9" si="10">VLOOKUP(Q8,Credito1,2)</f>
        <v>147.315</v>
      </c>
      <c r="Y8" s="217">
        <f t="shared" ref="Y8:Y9" si="11">W8-X8</f>
        <v>81.818151999999998</v>
      </c>
      <c r="Z8" s="219"/>
      <c r="AA8" s="215">
        <f t="shared" ref="AA8:AA9" si="12">-IF(Y8&gt;0,0,Y8)</f>
        <v>0</v>
      </c>
      <c r="AB8" s="215">
        <f t="shared" ref="AB8:AB9" si="13">IF(Y8&lt;0,0,Y8)</f>
        <v>81.818151999999998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:AG9" si="14">SUM(AB8:AF8)</f>
        <v>81.818151999999998</v>
      </c>
      <c r="AH8" s="215">
        <f t="shared" ref="AH8:AH9" si="15">N8+AA8-AG8</f>
        <v>2993.1818480000002</v>
      </c>
      <c r="AI8" s="111"/>
      <c r="AJ8" s="52"/>
      <c r="AK8" s="111">
        <v>377</v>
      </c>
      <c r="AL8" s="111">
        <f>AB8-AK8</f>
        <v>-295.181848</v>
      </c>
    </row>
    <row r="9" spans="1:38" s="140" customFormat="1" ht="36" customHeight="1">
      <c r="A9" s="7"/>
      <c r="B9" s="108">
        <v>2</v>
      </c>
      <c r="C9" s="147" t="s">
        <v>191</v>
      </c>
      <c r="D9" s="148" t="s">
        <v>115</v>
      </c>
      <c r="E9" s="109">
        <v>15</v>
      </c>
      <c r="F9" s="142">
        <v>160</v>
      </c>
      <c r="G9" s="117">
        <f t="shared" si="0"/>
        <v>2400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15">
        <f t="shared" si="1"/>
        <v>2400</v>
      </c>
      <c r="O9" s="216"/>
      <c r="P9" s="217">
        <f t="shared" si="2"/>
        <v>0</v>
      </c>
      <c r="Q9" s="217">
        <f t="shared" si="3"/>
        <v>2400</v>
      </c>
      <c r="R9" s="217">
        <f t="shared" si="4"/>
        <v>2105.21</v>
      </c>
      <c r="S9" s="217">
        <f t="shared" si="5"/>
        <v>294.78999999999996</v>
      </c>
      <c r="T9" s="218">
        <f t="shared" si="6"/>
        <v>0.10879999999999999</v>
      </c>
      <c r="U9" s="217">
        <f t="shared" si="7"/>
        <v>32.073151999999993</v>
      </c>
      <c r="V9" s="217">
        <f t="shared" si="8"/>
        <v>123.62</v>
      </c>
      <c r="W9" s="217">
        <f t="shared" si="9"/>
        <v>155.693152</v>
      </c>
      <c r="X9" s="217">
        <f t="shared" si="10"/>
        <v>162.435</v>
      </c>
      <c r="Y9" s="217">
        <f t="shared" si="11"/>
        <v>-6.7418480000000045</v>
      </c>
      <c r="Z9" s="219"/>
      <c r="AA9" s="215">
        <f t="shared" si="12"/>
        <v>6.7418480000000045</v>
      </c>
      <c r="AB9" s="215">
        <f t="shared" si="13"/>
        <v>0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si="14"/>
        <v>0</v>
      </c>
      <c r="AH9" s="215">
        <f t="shared" si="15"/>
        <v>2406.7418480000001</v>
      </c>
      <c r="AI9" s="111"/>
      <c r="AJ9" s="52"/>
      <c r="AK9" s="111">
        <v>46</v>
      </c>
      <c r="AL9" s="111">
        <f t="shared" ref="AL9" si="16">AB9-AK9</f>
        <v>-46</v>
      </c>
    </row>
    <row r="10" spans="1:38" s="140" customFormat="1" ht="36" customHeight="1">
      <c r="A10" s="7"/>
      <c r="B10" s="108">
        <v>3</v>
      </c>
      <c r="C10" s="147"/>
      <c r="D10" s="148"/>
      <c r="E10" s="109"/>
      <c r="F10" s="142"/>
      <c r="G10" s="117"/>
      <c r="H10" s="110"/>
      <c r="I10" s="110"/>
      <c r="J10" s="110"/>
      <c r="K10" s="110"/>
      <c r="L10" s="110"/>
      <c r="M10" s="110"/>
      <c r="N10" s="215"/>
      <c r="O10" s="216"/>
      <c r="P10" s="217"/>
      <c r="Q10" s="217"/>
      <c r="R10" s="217"/>
      <c r="S10" s="217"/>
      <c r="T10" s="218"/>
      <c r="U10" s="217"/>
      <c r="V10" s="217"/>
      <c r="W10" s="217"/>
      <c r="X10" s="217"/>
      <c r="Y10" s="217"/>
      <c r="Z10" s="219"/>
      <c r="AA10" s="215"/>
      <c r="AB10" s="215"/>
      <c r="AC10" s="215"/>
      <c r="AD10" s="220"/>
      <c r="AE10" s="220"/>
      <c r="AF10" s="220"/>
      <c r="AG10" s="215"/>
      <c r="AH10" s="215"/>
      <c r="AI10" s="111"/>
      <c r="AJ10" s="52"/>
      <c r="AK10" s="111"/>
      <c r="AL10" s="111"/>
    </row>
    <row r="11" spans="1:38" s="140" customFormat="1" ht="30" hidden="1" customHeight="1">
      <c r="A11" s="7"/>
      <c r="B11" s="108">
        <v>4</v>
      </c>
      <c r="C11" s="147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215"/>
      <c r="O11" s="216"/>
      <c r="P11" s="217"/>
      <c r="Q11" s="217"/>
      <c r="R11" s="217"/>
      <c r="S11" s="217"/>
      <c r="T11" s="218"/>
      <c r="U11" s="217"/>
      <c r="V11" s="217"/>
      <c r="W11" s="217"/>
      <c r="X11" s="217"/>
      <c r="Y11" s="217"/>
      <c r="Z11" s="219"/>
      <c r="AA11" s="215"/>
      <c r="AB11" s="215"/>
      <c r="AC11" s="215"/>
      <c r="AD11" s="220"/>
      <c r="AE11" s="220"/>
      <c r="AF11" s="220"/>
      <c r="AG11" s="215"/>
      <c r="AH11" s="215"/>
      <c r="AI11" s="111"/>
      <c r="AJ11" s="52"/>
      <c r="AK11" s="111"/>
      <c r="AL11" s="111"/>
    </row>
    <row r="12" spans="1:38" s="140" customFormat="1">
      <c r="A12" s="7"/>
      <c r="B12" s="100"/>
      <c r="C12" s="115"/>
      <c r="D12" s="115"/>
      <c r="E12" s="100"/>
      <c r="F12" s="101"/>
      <c r="G12" s="118"/>
      <c r="H12" s="102"/>
      <c r="I12" s="102"/>
      <c r="J12" s="102"/>
      <c r="K12" s="102"/>
      <c r="L12" s="102"/>
      <c r="M12" s="102"/>
      <c r="N12" s="221"/>
      <c r="O12" s="222"/>
      <c r="P12" s="223"/>
      <c r="Q12" s="224"/>
      <c r="R12" s="224"/>
      <c r="S12" s="224"/>
      <c r="T12" s="224"/>
      <c r="U12" s="224"/>
      <c r="V12" s="224"/>
      <c r="W12" s="224"/>
      <c r="X12" s="224"/>
      <c r="Y12" s="224"/>
      <c r="Z12" s="225"/>
      <c r="AA12" s="221"/>
      <c r="AB12" s="221"/>
      <c r="AC12" s="221"/>
      <c r="AD12" s="221"/>
      <c r="AE12" s="221"/>
      <c r="AF12" s="221"/>
      <c r="AG12" s="221"/>
      <c r="AH12" s="226"/>
      <c r="AI12" s="105"/>
      <c r="AJ12" s="7"/>
      <c r="AK12" s="105"/>
      <c r="AL12" s="105"/>
    </row>
    <row r="13" spans="1:38" s="140" customFormat="1">
      <c r="A13" s="7"/>
      <c r="B13" s="93"/>
      <c r="C13" s="93"/>
      <c r="D13" s="93"/>
      <c r="E13" s="92"/>
      <c r="F13" s="93"/>
      <c r="G13" s="95"/>
      <c r="H13" s="95"/>
      <c r="I13" s="95"/>
      <c r="J13" s="95"/>
      <c r="K13" s="95"/>
      <c r="L13" s="95"/>
      <c r="M13" s="95"/>
      <c r="N13" s="227"/>
      <c r="O13" s="228"/>
      <c r="P13" s="229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98"/>
      <c r="AJ13" s="7"/>
      <c r="AK13" s="98"/>
      <c r="AL13" s="98"/>
    </row>
    <row r="14" spans="1:38" s="140" customFormat="1" ht="15.75" thickBot="1">
      <c r="A14" s="7"/>
      <c r="B14" s="634" t="s">
        <v>71</v>
      </c>
      <c r="C14" s="635"/>
      <c r="D14" s="635"/>
      <c r="E14" s="635"/>
      <c r="F14" s="636"/>
      <c r="G14" s="114">
        <f t="shared" ref="G14:N14" si="17">SUM(G8:G13)</f>
        <v>5475</v>
      </c>
      <c r="H14" s="114">
        <f t="shared" si="17"/>
        <v>0</v>
      </c>
      <c r="I14" s="114">
        <f t="shared" si="17"/>
        <v>0</v>
      </c>
      <c r="J14" s="114">
        <f t="shared" si="17"/>
        <v>0</v>
      </c>
      <c r="K14" s="114">
        <f t="shared" si="17"/>
        <v>0</v>
      </c>
      <c r="L14" s="114">
        <f t="shared" si="17"/>
        <v>0</v>
      </c>
      <c r="M14" s="114">
        <f t="shared" si="17"/>
        <v>0</v>
      </c>
      <c r="N14" s="188">
        <f t="shared" si="17"/>
        <v>5475</v>
      </c>
      <c r="O14" s="189"/>
      <c r="P14" s="190">
        <f t="shared" ref="P14:Y14" si="18">SUM(P8:P13)</f>
        <v>0</v>
      </c>
      <c r="Q14" s="190">
        <f t="shared" si="18"/>
        <v>5475</v>
      </c>
      <c r="R14" s="190">
        <f t="shared" si="18"/>
        <v>4210.42</v>
      </c>
      <c r="S14" s="190">
        <f t="shared" si="18"/>
        <v>1264.58</v>
      </c>
      <c r="T14" s="190">
        <f t="shared" si="18"/>
        <v>0.21759999999999999</v>
      </c>
      <c r="U14" s="190">
        <f t="shared" si="18"/>
        <v>137.58630399999998</v>
      </c>
      <c r="V14" s="190">
        <f t="shared" si="18"/>
        <v>247.24</v>
      </c>
      <c r="W14" s="190">
        <f t="shared" si="18"/>
        <v>384.82630399999999</v>
      </c>
      <c r="X14" s="190">
        <f t="shared" si="18"/>
        <v>309.75</v>
      </c>
      <c r="Y14" s="190">
        <f t="shared" si="18"/>
        <v>75.076303999999993</v>
      </c>
      <c r="Z14" s="189"/>
      <c r="AA14" s="188">
        <f t="shared" ref="AA14:AH14" si="19">SUM(AA8:AA13)</f>
        <v>6.7418480000000045</v>
      </c>
      <c r="AB14" s="188">
        <f t="shared" si="19"/>
        <v>81.818151999999998</v>
      </c>
      <c r="AC14" s="188">
        <f t="shared" si="19"/>
        <v>0</v>
      </c>
      <c r="AD14" s="188">
        <f t="shared" si="19"/>
        <v>0</v>
      </c>
      <c r="AE14" s="188">
        <f t="shared" si="19"/>
        <v>0</v>
      </c>
      <c r="AF14" s="188">
        <f t="shared" si="19"/>
        <v>0</v>
      </c>
      <c r="AG14" s="188">
        <f t="shared" si="19"/>
        <v>81.818151999999998</v>
      </c>
      <c r="AH14" s="188">
        <f t="shared" si="19"/>
        <v>5399.9236959999998</v>
      </c>
      <c r="AI14" s="114"/>
      <c r="AJ14" s="7"/>
      <c r="AK14" s="114">
        <f t="shared" ref="AK14:AL14" si="20">SUM(AK8:AK13)</f>
        <v>423</v>
      </c>
      <c r="AL14" s="114">
        <f t="shared" si="20"/>
        <v>-341.181848</v>
      </c>
    </row>
    <row r="15" spans="1:38" s="140" customFormat="1" ht="13.5" thickTop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7"/>
      <c r="AJ15" s="7"/>
      <c r="AK15" s="7"/>
      <c r="AL15" s="7"/>
    </row>
    <row r="18" spans="3:4">
      <c r="C18" s="52"/>
      <c r="D18" s="52"/>
    </row>
    <row r="19" spans="3:4">
      <c r="C19" s="52"/>
      <c r="D19" s="52"/>
    </row>
    <row r="20" spans="3:4">
      <c r="C20" s="52"/>
      <c r="D20" s="52"/>
    </row>
    <row r="22" spans="3:4">
      <c r="C22" s="144"/>
      <c r="D22" s="144"/>
    </row>
  </sheetData>
  <mergeCells count="6">
    <mergeCell ref="B14:F14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L29"/>
  <sheetViews>
    <sheetView showGridLines="0" zoomScale="66" zoomScaleNormal="66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85546875" style="7" customWidth="1"/>
    <col min="4" max="4" width="31.5703125" style="7" customWidth="1"/>
    <col min="5" max="5" width="6.5703125" style="7" customWidth="1"/>
    <col min="6" max="6" width="10" style="7" customWidth="1"/>
    <col min="7" max="7" width="14.8554687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28515625" style="7" bestFit="1" customWidth="1"/>
    <col min="13" max="13" width="9" style="7" bestFit="1" customWidth="1"/>
    <col min="14" max="14" width="14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5703125" style="7" bestFit="1" customWidth="1"/>
    <col min="29" max="29" width="11.28515625" style="7" hidden="1" customWidth="1"/>
    <col min="30" max="31" width="10.42578125" style="7" hidden="1" customWidth="1"/>
    <col min="32" max="32" width="11.42578125" style="7" bestFit="1" customWidth="1"/>
    <col min="33" max="33" width="11.140625" style="7" customWidth="1"/>
    <col min="34" max="34" width="13.42578125" style="7" customWidth="1"/>
    <col min="35" max="35" width="38.71093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116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312</v>
      </c>
      <c r="D8" s="148" t="s">
        <v>313</v>
      </c>
      <c r="E8" s="109">
        <v>15</v>
      </c>
      <c r="F8" s="142">
        <v>280</v>
      </c>
      <c r="G8" s="117">
        <f t="shared" ref="G8" si="0">E8*F8</f>
        <v>4200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" si="1">SUM(G8:M8)</f>
        <v>4200</v>
      </c>
      <c r="O8" s="134"/>
      <c r="P8" s="112">
        <f t="shared" ref="P8" si="2">IF(F8=47.16,0,IF(F8&gt;47.16,K8*0.5,0))</f>
        <v>0</v>
      </c>
      <c r="Q8" s="112">
        <f t="shared" ref="Q8" si="3">G8+H8+I8+L8+P8+J8</f>
        <v>4200</v>
      </c>
      <c r="R8" s="112">
        <f t="shared" ref="R8" si="4">VLOOKUP(Q8,Tarifa1,1)</f>
        <v>3699.7150000000001</v>
      </c>
      <c r="S8" s="112">
        <f t="shared" ref="S8" si="5">Q8-R8</f>
        <v>500.28499999999985</v>
      </c>
      <c r="T8" s="113">
        <f t="shared" ref="T8" si="6">VLOOKUP(Q8,Tarifa1,3)</f>
        <v>0.16</v>
      </c>
      <c r="U8" s="112">
        <f t="shared" ref="U8" si="7">S8*T8</f>
        <v>80.045599999999979</v>
      </c>
      <c r="V8" s="112">
        <f t="shared" ref="V8" si="8">VLOOKUP(Q8,Tarifa1,2)</f>
        <v>297.10500000000002</v>
      </c>
      <c r="W8" s="112">
        <f t="shared" ref="W8" si="9">U8+V8</f>
        <v>377.1506</v>
      </c>
      <c r="X8" s="112">
        <f t="shared" ref="X8" si="10">VLOOKUP(Q8,Credito1,2)</f>
        <v>0</v>
      </c>
      <c r="Y8" s="112">
        <f t="shared" ref="Y8" si="11">W8-X8</f>
        <v>377.1506</v>
      </c>
      <c r="Z8" s="131"/>
      <c r="AA8" s="111">
        <f t="shared" ref="AA8" si="12">-IF(Y8&gt;0,0,Y8)</f>
        <v>0</v>
      </c>
      <c r="AB8" s="111">
        <f t="shared" ref="AB8" si="13">IF(Y8&lt;0,0,Y8)</f>
        <v>377.1506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" si="14">SUM(AB8:AF8)</f>
        <v>377.1506</v>
      </c>
      <c r="AH8" s="111">
        <f t="shared" ref="AH8" si="15">N8+AA8-AG8</f>
        <v>3822.8494000000001</v>
      </c>
      <c r="AI8" s="111"/>
      <c r="AJ8" s="52"/>
      <c r="AK8" s="111">
        <v>940</v>
      </c>
      <c r="AL8" s="111">
        <f>AB8-AK8</f>
        <v>-562.84940000000006</v>
      </c>
    </row>
    <row r="9" spans="1:38" s="140" customFormat="1" ht="30" hidden="1" customHeight="1">
      <c r="A9" s="7"/>
      <c r="B9" s="108">
        <v>2</v>
      </c>
      <c r="C9" s="147"/>
      <c r="D9" s="148"/>
      <c r="E9" s="109"/>
      <c r="F9" s="142"/>
      <c r="G9" s="117"/>
      <c r="H9" s="110"/>
      <c r="I9" s="110"/>
      <c r="J9" s="110"/>
      <c r="K9" s="110"/>
      <c r="L9" s="110"/>
      <c r="M9" s="110"/>
      <c r="N9" s="111"/>
      <c r="O9" s="134"/>
      <c r="P9" s="112"/>
      <c r="Q9" s="112"/>
      <c r="R9" s="112"/>
      <c r="S9" s="112"/>
      <c r="T9" s="113"/>
      <c r="U9" s="112"/>
      <c r="V9" s="112"/>
      <c r="W9" s="112"/>
      <c r="X9" s="112"/>
      <c r="Y9" s="112"/>
      <c r="Z9" s="131"/>
      <c r="AA9" s="111"/>
      <c r="AB9" s="111"/>
      <c r="AC9" s="111"/>
      <c r="AD9" s="110"/>
      <c r="AE9" s="110"/>
      <c r="AF9" s="110"/>
      <c r="AG9" s="111"/>
      <c r="AH9" s="111"/>
      <c r="AI9" s="111"/>
      <c r="AJ9" s="52"/>
      <c r="AK9" s="111">
        <v>4.1399999999999864</v>
      </c>
      <c r="AL9" s="111">
        <f t="shared" ref="AL9:AL12" si="16">-AK9-AA9</f>
        <v>-4.1399999999999864</v>
      </c>
    </row>
    <row r="10" spans="1:38" s="140" customFormat="1" ht="30" customHeight="1">
      <c r="A10" s="7"/>
      <c r="B10" s="108">
        <v>2</v>
      </c>
      <c r="C10" s="147" t="s">
        <v>324</v>
      </c>
      <c r="D10" s="148" t="s">
        <v>351</v>
      </c>
      <c r="E10" s="109">
        <v>15</v>
      </c>
      <c r="F10" s="142">
        <v>160</v>
      </c>
      <c r="G10" s="117">
        <f t="shared" ref="G10:G18" si="17">E10*F10</f>
        <v>2400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ref="N10:N18" si="18">SUM(G10:M10)</f>
        <v>2400</v>
      </c>
      <c r="O10" s="134"/>
      <c r="P10" s="112">
        <f t="shared" ref="P10:P18" si="19">IF(F10=47.16,0,IF(F10&gt;47.16,K10*0.5,0))</f>
        <v>0</v>
      </c>
      <c r="Q10" s="112">
        <f t="shared" ref="Q10:Q18" si="20">G10+H10+I10+L10+P10+J10</f>
        <v>2400</v>
      </c>
      <c r="R10" s="112">
        <f t="shared" ref="R10:R18" si="21">VLOOKUP(Q10,Tarifa1,1)</f>
        <v>2105.21</v>
      </c>
      <c r="S10" s="112">
        <f t="shared" ref="S10:S18" si="22">Q10-R10</f>
        <v>294.78999999999996</v>
      </c>
      <c r="T10" s="113">
        <f t="shared" ref="T10:T18" si="23">VLOOKUP(Q10,Tarifa1,3)</f>
        <v>0.10879999999999999</v>
      </c>
      <c r="U10" s="112">
        <f t="shared" ref="U10:U18" si="24">S10*T10</f>
        <v>32.073151999999993</v>
      </c>
      <c r="V10" s="112">
        <f t="shared" ref="V10:V18" si="25">VLOOKUP(Q10,Tarifa1,2)</f>
        <v>123.62</v>
      </c>
      <c r="W10" s="112">
        <f t="shared" ref="W10:W18" si="26">U10+V10</f>
        <v>155.693152</v>
      </c>
      <c r="X10" s="112">
        <f t="shared" ref="X10:X18" si="27">VLOOKUP(Q10,Credito1,2)</f>
        <v>162.435</v>
      </c>
      <c r="Y10" s="112">
        <f t="shared" ref="Y10:Y18" si="28">W10-X10</f>
        <v>-6.7418480000000045</v>
      </c>
      <c r="Z10" s="131"/>
      <c r="AA10" s="111">
        <f t="shared" ref="AA10:AA18" si="29">-IF(Y10&gt;0,0,Y10)</f>
        <v>6.7418480000000045</v>
      </c>
      <c r="AB10" s="111">
        <f t="shared" ref="AB10:AB18" si="30">IF(Y10&lt;0,0,Y10)</f>
        <v>0</v>
      </c>
      <c r="AC10" s="111">
        <v>0</v>
      </c>
      <c r="AD10" s="110">
        <v>0</v>
      </c>
      <c r="AE10" s="110">
        <v>0</v>
      </c>
      <c r="AF10" s="110">
        <v>0</v>
      </c>
      <c r="AG10" s="111">
        <f t="shared" ref="AG10:AG18" si="31">SUM(AB10:AF10)</f>
        <v>0</v>
      </c>
      <c r="AH10" s="111">
        <f t="shared" ref="AH10:AH18" si="32">N10+AA10-AG10</f>
        <v>2406.7418480000001</v>
      </c>
      <c r="AI10" s="111"/>
      <c r="AJ10" s="52"/>
      <c r="AK10" s="111">
        <v>4.1399999999999864</v>
      </c>
      <c r="AL10" s="111">
        <f t="shared" si="16"/>
        <v>-10.881847999999991</v>
      </c>
    </row>
    <row r="11" spans="1:38" s="140" customFormat="1" ht="30" customHeight="1">
      <c r="A11" s="7"/>
      <c r="B11" s="108">
        <v>3</v>
      </c>
      <c r="C11" s="147" t="s">
        <v>400</v>
      </c>
      <c r="D11" s="148" t="s">
        <v>104</v>
      </c>
      <c r="E11" s="109">
        <v>15</v>
      </c>
      <c r="F11" s="142">
        <v>160</v>
      </c>
      <c r="G11" s="117">
        <f t="shared" si="17"/>
        <v>2400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si="18"/>
        <v>2400</v>
      </c>
      <c r="O11" s="134"/>
      <c r="P11" s="112">
        <f t="shared" si="19"/>
        <v>0</v>
      </c>
      <c r="Q11" s="112">
        <f t="shared" si="20"/>
        <v>2400</v>
      </c>
      <c r="R11" s="112">
        <f t="shared" si="21"/>
        <v>2105.21</v>
      </c>
      <c r="S11" s="112">
        <f t="shared" si="22"/>
        <v>294.78999999999996</v>
      </c>
      <c r="T11" s="113">
        <f t="shared" si="23"/>
        <v>0.10879999999999999</v>
      </c>
      <c r="U11" s="112">
        <f t="shared" si="24"/>
        <v>32.073151999999993</v>
      </c>
      <c r="V11" s="112">
        <f t="shared" si="25"/>
        <v>123.62</v>
      </c>
      <c r="W11" s="112">
        <f t="shared" si="26"/>
        <v>155.693152</v>
      </c>
      <c r="X11" s="112">
        <f t="shared" si="27"/>
        <v>162.435</v>
      </c>
      <c r="Y11" s="112">
        <f t="shared" si="28"/>
        <v>-6.7418480000000045</v>
      </c>
      <c r="Z11" s="131"/>
      <c r="AA11" s="111">
        <f t="shared" si="29"/>
        <v>6.7418480000000045</v>
      </c>
      <c r="AB11" s="111">
        <f t="shared" si="30"/>
        <v>0</v>
      </c>
      <c r="AC11" s="111">
        <v>0</v>
      </c>
      <c r="AD11" s="110">
        <v>0</v>
      </c>
      <c r="AE11" s="110">
        <v>0</v>
      </c>
      <c r="AF11" s="110">
        <v>0</v>
      </c>
      <c r="AG11" s="111">
        <f t="shared" si="31"/>
        <v>0</v>
      </c>
      <c r="AH11" s="111">
        <f t="shared" si="32"/>
        <v>2406.7418480000001</v>
      </c>
      <c r="AI11" s="111"/>
      <c r="AJ11" s="52"/>
      <c r="AK11" s="111">
        <v>-37</v>
      </c>
      <c r="AL11" s="111">
        <f t="shared" si="16"/>
        <v>30.258151999999995</v>
      </c>
    </row>
    <row r="12" spans="1:38" s="140" customFormat="1" ht="30" customHeight="1">
      <c r="A12" s="7"/>
      <c r="B12" s="108">
        <v>4</v>
      </c>
      <c r="C12" s="147" t="s">
        <v>325</v>
      </c>
      <c r="D12" s="148" t="s">
        <v>352</v>
      </c>
      <c r="E12" s="109">
        <v>15</v>
      </c>
      <c r="F12" s="142">
        <v>160</v>
      </c>
      <c r="G12" s="117">
        <f t="shared" si="17"/>
        <v>2400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1">
        <f t="shared" si="18"/>
        <v>2400</v>
      </c>
      <c r="O12" s="134"/>
      <c r="P12" s="112">
        <f t="shared" si="19"/>
        <v>0</v>
      </c>
      <c r="Q12" s="112">
        <f t="shared" si="20"/>
        <v>2400</v>
      </c>
      <c r="R12" s="112">
        <f t="shared" si="21"/>
        <v>2105.21</v>
      </c>
      <c r="S12" s="112">
        <f t="shared" si="22"/>
        <v>294.78999999999996</v>
      </c>
      <c r="T12" s="113">
        <f t="shared" si="23"/>
        <v>0.10879999999999999</v>
      </c>
      <c r="U12" s="112">
        <f t="shared" si="24"/>
        <v>32.073151999999993</v>
      </c>
      <c r="V12" s="112">
        <f t="shared" si="25"/>
        <v>123.62</v>
      </c>
      <c r="W12" s="112">
        <f t="shared" si="26"/>
        <v>155.693152</v>
      </c>
      <c r="X12" s="112">
        <f t="shared" si="27"/>
        <v>162.435</v>
      </c>
      <c r="Y12" s="112">
        <f t="shared" si="28"/>
        <v>-6.7418480000000045</v>
      </c>
      <c r="Z12" s="131"/>
      <c r="AA12" s="111">
        <f t="shared" si="29"/>
        <v>6.7418480000000045</v>
      </c>
      <c r="AB12" s="111">
        <f t="shared" si="30"/>
        <v>0</v>
      </c>
      <c r="AC12" s="111">
        <v>0</v>
      </c>
      <c r="AD12" s="110">
        <v>0</v>
      </c>
      <c r="AE12" s="110">
        <v>0</v>
      </c>
      <c r="AF12" s="110">
        <v>0</v>
      </c>
      <c r="AG12" s="111">
        <f t="shared" si="31"/>
        <v>0</v>
      </c>
      <c r="AH12" s="111">
        <f t="shared" si="32"/>
        <v>2406.7418480000001</v>
      </c>
      <c r="AI12" s="111"/>
      <c r="AJ12" s="52"/>
      <c r="AK12" s="111">
        <v>4.1399999999999864</v>
      </c>
      <c r="AL12" s="111">
        <f t="shared" si="16"/>
        <v>-10.881847999999991</v>
      </c>
    </row>
    <row r="13" spans="1:38" s="140" customFormat="1" ht="30" customHeight="1">
      <c r="A13" s="7"/>
      <c r="B13" s="108">
        <v>5</v>
      </c>
      <c r="C13" s="147" t="s">
        <v>326</v>
      </c>
      <c r="D13" s="148" t="s">
        <v>353</v>
      </c>
      <c r="E13" s="109">
        <v>15</v>
      </c>
      <c r="F13" s="142">
        <v>160</v>
      </c>
      <c r="G13" s="117">
        <f t="shared" si="17"/>
        <v>2400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1">
        <f t="shared" si="18"/>
        <v>2400</v>
      </c>
      <c r="O13" s="134"/>
      <c r="P13" s="112">
        <f t="shared" si="19"/>
        <v>0</v>
      </c>
      <c r="Q13" s="112">
        <f t="shared" si="20"/>
        <v>2400</v>
      </c>
      <c r="R13" s="112">
        <f t="shared" si="21"/>
        <v>2105.21</v>
      </c>
      <c r="S13" s="112">
        <f t="shared" si="22"/>
        <v>294.78999999999996</v>
      </c>
      <c r="T13" s="113">
        <f t="shared" si="23"/>
        <v>0.10879999999999999</v>
      </c>
      <c r="U13" s="112">
        <f t="shared" si="24"/>
        <v>32.073151999999993</v>
      </c>
      <c r="V13" s="112">
        <f t="shared" si="25"/>
        <v>123.62</v>
      </c>
      <c r="W13" s="112">
        <f t="shared" si="26"/>
        <v>155.693152</v>
      </c>
      <c r="X13" s="112">
        <f t="shared" si="27"/>
        <v>162.435</v>
      </c>
      <c r="Y13" s="112">
        <f t="shared" si="28"/>
        <v>-6.7418480000000045</v>
      </c>
      <c r="Z13" s="131"/>
      <c r="AA13" s="111">
        <f t="shared" si="29"/>
        <v>6.7418480000000045</v>
      </c>
      <c r="AB13" s="111">
        <f t="shared" si="30"/>
        <v>0</v>
      </c>
      <c r="AC13" s="111">
        <v>0</v>
      </c>
      <c r="AD13" s="110">
        <v>0</v>
      </c>
      <c r="AE13" s="110">
        <v>0</v>
      </c>
      <c r="AF13" s="110">
        <v>0</v>
      </c>
      <c r="AG13" s="111">
        <f t="shared" si="31"/>
        <v>0</v>
      </c>
      <c r="AH13" s="111">
        <f t="shared" si="32"/>
        <v>2406.7418480000001</v>
      </c>
      <c r="AI13" s="111"/>
      <c r="AJ13" s="52"/>
      <c r="AK13" s="111">
        <v>-63</v>
      </c>
      <c r="AL13" s="111">
        <f t="shared" ref="AL13:AL18" si="33">-AK13-AA13</f>
        <v>56.258151999999995</v>
      </c>
    </row>
    <row r="14" spans="1:38" s="140" customFormat="1" ht="30" customHeight="1">
      <c r="A14" s="7"/>
      <c r="B14" s="108">
        <v>6</v>
      </c>
      <c r="C14" s="147" t="s">
        <v>327</v>
      </c>
      <c r="D14" s="148" t="s">
        <v>354</v>
      </c>
      <c r="E14" s="109">
        <v>15</v>
      </c>
      <c r="F14" s="142">
        <v>167</v>
      </c>
      <c r="G14" s="117">
        <f t="shared" si="17"/>
        <v>2505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1">
        <f t="shared" si="18"/>
        <v>2505</v>
      </c>
      <c r="O14" s="134"/>
      <c r="P14" s="112">
        <f t="shared" si="19"/>
        <v>0</v>
      </c>
      <c r="Q14" s="112">
        <f t="shared" si="20"/>
        <v>2505</v>
      </c>
      <c r="R14" s="112">
        <f t="shared" si="21"/>
        <v>2105.21</v>
      </c>
      <c r="S14" s="112">
        <f t="shared" si="22"/>
        <v>399.78999999999996</v>
      </c>
      <c r="T14" s="113">
        <f t="shared" si="23"/>
        <v>0.10879999999999999</v>
      </c>
      <c r="U14" s="112">
        <f t="shared" si="24"/>
        <v>43.497151999999993</v>
      </c>
      <c r="V14" s="112">
        <f t="shared" si="25"/>
        <v>123.62</v>
      </c>
      <c r="W14" s="112">
        <f t="shared" si="26"/>
        <v>167.117152</v>
      </c>
      <c r="X14" s="112">
        <f t="shared" si="27"/>
        <v>162.435</v>
      </c>
      <c r="Y14" s="112">
        <f t="shared" si="28"/>
        <v>4.6821520000000021</v>
      </c>
      <c r="Z14" s="131"/>
      <c r="AA14" s="111">
        <f t="shared" si="29"/>
        <v>0</v>
      </c>
      <c r="AB14" s="111">
        <f t="shared" si="30"/>
        <v>4.6821520000000021</v>
      </c>
      <c r="AC14" s="111">
        <v>0</v>
      </c>
      <c r="AD14" s="110">
        <v>0</v>
      </c>
      <c r="AE14" s="110">
        <v>0</v>
      </c>
      <c r="AF14" s="110">
        <v>0</v>
      </c>
      <c r="AG14" s="111">
        <f t="shared" si="31"/>
        <v>4.6821520000000021</v>
      </c>
      <c r="AH14" s="111">
        <f t="shared" si="32"/>
        <v>2500.3178480000001</v>
      </c>
      <c r="AI14" s="111"/>
      <c r="AJ14" s="52"/>
      <c r="AK14" s="111">
        <v>-62</v>
      </c>
      <c r="AL14" s="111">
        <f t="shared" si="33"/>
        <v>62</v>
      </c>
    </row>
    <row r="15" spans="1:38" s="140" customFormat="1" ht="30" customHeight="1">
      <c r="A15" s="7"/>
      <c r="B15" s="108">
        <v>7</v>
      </c>
      <c r="C15" s="147" t="s">
        <v>401</v>
      </c>
      <c r="D15" s="148" t="s">
        <v>104</v>
      </c>
      <c r="E15" s="109">
        <v>15</v>
      </c>
      <c r="F15" s="142">
        <v>160</v>
      </c>
      <c r="G15" s="117">
        <f t="shared" ref="G15" si="34">E15*F15</f>
        <v>2400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1">
        <f t="shared" ref="N15" si="35">SUM(G15:M15)</f>
        <v>2400</v>
      </c>
      <c r="O15" s="134"/>
      <c r="P15" s="112">
        <f t="shared" ref="P15" si="36">IF(F15=47.16,0,IF(F15&gt;47.16,K15*0.5,0))</f>
        <v>0</v>
      </c>
      <c r="Q15" s="112">
        <f t="shared" ref="Q15" si="37">G15+H15+I15+L15+P15+J15</f>
        <v>2400</v>
      </c>
      <c r="R15" s="112">
        <f t="shared" ref="R15" si="38">VLOOKUP(Q15,Tarifa1,1)</f>
        <v>2105.21</v>
      </c>
      <c r="S15" s="112">
        <f t="shared" ref="S15" si="39">Q15-R15</f>
        <v>294.78999999999996</v>
      </c>
      <c r="T15" s="113">
        <f t="shared" ref="T15" si="40">VLOOKUP(Q15,Tarifa1,3)</f>
        <v>0.10879999999999999</v>
      </c>
      <c r="U15" s="112">
        <f t="shared" ref="U15" si="41">S15*T15</f>
        <v>32.073151999999993</v>
      </c>
      <c r="V15" s="112">
        <f t="shared" ref="V15" si="42">VLOOKUP(Q15,Tarifa1,2)</f>
        <v>123.62</v>
      </c>
      <c r="W15" s="112">
        <f t="shared" ref="W15" si="43">U15+V15</f>
        <v>155.693152</v>
      </c>
      <c r="X15" s="112">
        <f t="shared" ref="X15" si="44">VLOOKUP(Q15,Credito1,2)</f>
        <v>162.435</v>
      </c>
      <c r="Y15" s="112">
        <f t="shared" ref="Y15" si="45">W15-X15</f>
        <v>-6.7418480000000045</v>
      </c>
      <c r="Z15" s="131"/>
      <c r="AA15" s="111">
        <f t="shared" ref="AA15" si="46">-IF(Y15&gt;0,0,Y15)</f>
        <v>6.7418480000000045</v>
      </c>
      <c r="AB15" s="111">
        <f t="shared" ref="AB15" si="47">IF(Y15&lt;0,0,Y15)</f>
        <v>0</v>
      </c>
      <c r="AC15" s="111">
        <v>0</v>
      </c>
      <c r="AD15" s="110">
        <v>0</v>
      </c>
      <c r="AE15" s="110">
        <v>0</v>
      </c>
      <c r="AF15" s="110">
        <v>0</v>
      </c>
      <c r="AG15" s="111">
        <f t="shared" ref="AG15" si="48">SUM(AB15:AF15)</f>
        <v>0</v>
      </c>
      <c r="AH15" s="111">
        <f t="shared" ref="AH15" si="49">N15+AA15-AG15</f>
        <v>2406.7418480000001</v>
      </c>
      <c r="AI15" s="111"/>
      <c r="AJ15" s="52"/>
      <c r="AK15" s="111"/>
      <c r="AL15" s="111"/>
    </row>
    <row r="16" spans="1:38" s="140" customFormat="1" ht="30" hidden="1" customHeight="1">
      <c r="A16" s="7"/>
      <c r="B16" s="108">
        <v>10</v>
      </c>
      <c r="C16" s="147"/>
      <c r="D16" s="148"/>
      <c r="E16" s="109"/>
      <c r="F16" s="142"/>
      <c r="G16" s="117"/>
      <c r="H16" s="110"/>
      <c r="I16" s="110"/>
      <c r="J16" s="110"/>
      <c r="K16" s="110"/>
      <c r="L16" s="110"/>
      <c r="M16" s="110"/>
      <c r="N16" s="111"/>
      <c r="O16" s="134"/>
      <c r="P16" s="112"/>
      <c r="Q16" s="112"/>
      <c r="R16" s="112"/>
      <c r="S16" s="112"/>
      <c r="T16" s="113"/>
      <c r="U16" s="112"/>
      <c r="V16" s="112"/>
      <c r="W16" s="112"/>
      <c r="X16" s="112"/>
      <c r="Y16" s="112"/>
      <c r="Z16" s="131"/>
      <c r="AA16" s="111"/>
      <c r="AB16" s="111"/>
      <c r="AC16" s="111"/>
      <c r="AD16" s="110"/>
      <c r="AE16" s="110"/>
      <c r="AF16" s="110"/>
      <c r="AG16" s="111"/>
      <c r="AH16" s="111"/>
      <c r="AI16" s="111"/>
      <c r="AJ16" s="52"/>
      <c r="AK16" s="111"/>
      <c r="AL16" s="111"/>
    </row>
    <row r="17" spans="1:38" s="140" customFormat="1" ht="30" customHeight="1">
      <c r="A17" s="7"/>
      <c r="B17" s="108">
        <v>8</v>
      </c>
      <c r="C17" s="147" t="s">
        <v>403</v>
      </c>
      <c r="D17" s="148" t="s">
        <v>404</v>
      </c>
      <c r="E17" s="109">
        <v>15</v>
      </c>
      <c r="F17" s="142">
        <v>156</v>
      </c>
      <c r="G17" s="117">
        <f t="shared" ref="G17" si="50">E17*F17</f>
        <v>2340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1">
        <f t="shared" ref="N17" si="51">SUM(G17:M17)</f>
        <v>2340</v>
      </c>
      <c r="O17" s="134"/>
      <c r="P17" s="112">
        <f t="shared" ref="P17" si="52">IF(F17=47.16,0,IF(F17&gt;47.16,K17*0.5,0))</f>
        <v>0</v>
      </c>
      <c r="Q17" s="112">
        <f t="shared" ref="Q17" si="53">G17+H17+I17+L17+P17+J17</f>
        <v>2340</v>
      </c>
      <c r="R17" s="112">
        <f t="shared" ref="R17" si="54">VLOOKUP(Q17,Tarifa1,1)</f>
        <v>2105.21</v>
      </c>
      <c r="S17" s="112">
        <f t="shared" ref="S17" si="55">Q17-R17</f>
        <v>234.78999999999996</v>
      </c>
      <c r="T17" s="113">
        <f t="shared" ref="T17" si="56">VLOOKUP(Q17,Tarifa1,3)</f>
        <v>0.10879999999999999</v>
      </c>
      <c r="U17" s="112">
        <f t="shared" ref="U17" si="57">S17*T17</f>
        <v>25.545151999999995</v>
      </c>
      <c r="V17" s="112">
        <f t="shared" ref="V17" si="58">VLOOKUP(Q17,Tarifa1,2)</f>
        <v>123.62</v>
      </c>
      <c r="W17" s="112">
        <f t="shared" ref="W17" si="59">U17+V17</f>
        <v>149.16515200000001</v>
      </c>
      <c r="X17" s="112">
        <f t="shared" ref="X17" si="60">VLOOKUP(Q17,Credito1,2)</f>
        <v>177.11500000000001</v>
      </c>
      <c r="Y17" s="112">
        <f t="shared" ref="Y17" si="61">W17-X17</f>
        <v>-27.949848000000003</v>
      </c>
      <c r="Z17" s="131"/>
      <c r="AA17" s="111">
        <f t="shared" ref="AA17" si="62">-IF(Y17&gt;0,0,Y17)</f>
        <v>27.949848000000003</v>
      </c>
      <c r="AB17" s="111">
        <f t="shared" ref="AB17" si="63">IF(Y17&lt;0,0,Y17)</f>
        <v>0</v>
      </c>
      <c r="AC17" s="111">
        <v>0</v>
      </c>
      <c r="AD17" s="110">
        <v>0</v>
      </c>
      <c r="AE17" s="110">
        <v>0</v>
      </c>
      <c r="AF17" s="110">
        <v>0</v>
      </c>
      <c r="AG17" s="111">
        <f t="shared" ref="AG17" si="64">SUM(AB17:AF17)</f>
        <v>0</v>
      </c>
      <c r="AH17" s="111">
        <f t="shared" ref="AH17" si="65">N17+AA17-AG17</f>
        <v>2367.9498480000002</v>
      </c>
      <c r="AI17" s="111"/>
      <c r="AJ17" s="52"/>
      <c r="AK17" s="111"/>
      <c r="AL17" s="111"/>
    </row>
    <row r="18" spans="1:38" s="140" customFormat="1" ht="30" customHeight="1">
      <c r="A18" s="7"/>
      <c r="B18" s="108">
        <v>9</v>
      </c>
      <c r="C18" s="147" t="s">
        <v>328</v>
      </c>
      <c r="D18" s="148" t="s">
        <v>355</v>
      </c>
      <c r="E18" s="109">
        <v>15</v>
      </c>
      <c r="F18" s="142">
        <v>160</v>
      </c>
      <c r="G18" s="117">
        <f t="shared" si="17"/>
        <v>2400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1">
        <f t="shared" si="18"/>
        <v>2400</v>
      </c>
      <c r="O18" s="134"/>
      <c r="P18" s="112">
        <f t="shared" si="19"/>
        <v>0</v>
      </c>
      <c r="Q18" s="112">
        <f t="shared" si="20"/>
        <v>2400</v>
      </c>
      <c r="R18" s="112">
        <f t="shared" si="21"/>
        <v>2105.21</v>
      </c>
      <c r="S18" s="112">
        <f t="shared" si="22"/>
        <v>294.78999999999996</v>
      </c>
      <c r="T18" s="113">
        <f t="shared" si="23"/>
        <v>0.10879999999999999</v>
      </c>
      <c r="U18" s="112">
        <f t="shared" si="24"/>
        <v>32.073151999999993</v>
      </c>
      <c r="V18" s="112">
        <f t="shared" si="25"/>
        <v>123.62</v>
      </c>
      <c r="W18" s="112">
        <f t="shared" si="26"/>
        <v>155.693152</v>
      </c>
      <c r="X18" s="112">
        <f t="shared" si="27"/>
        <v>162.435</v>
      </c>
      <c r="Y18" s="112">
        <f t="shared" si="28"/>
        <v>-6.7418480000000045</v>
      </c>
      <c r="Z18" s="131"/>
      <c r="AA18" s="111">
        <f t="shared" si="29"/>
        <v>6.7418480000000045</v>
      </c>
      <c r="AB18" s="111">
        <f t="shared" si="30"/>
        <v>0</v>
      </c>
      <c r="AC18" s="111">
        <v>0</v>
      </c>
      <c r="AD18" s="110">
        <v>0</v>
      </c>
      <c r="AE18" s="110">
        <v>0</v>
      </c>
      <c r="AF18" s="110">
        <v>0</v>
      </c>
      <c r="AG18" s="111">
        <f t="shared" si="31"/>
        <v>0</v>
      </c>
      <c r="AH18" s="111">
        <f t="shared" si="32"/>
        <v>2406.7418480000001</v>
      </c>
      <c r="AI18" s="111"/>
      <c r="AJ18" s="52"/>
      <c r="AK18" s="111">
        <v>-61</v>
      </c>
      <c r="AL18" s="111">
        <f t="shared" si="33"/>
        <v>54.258151999999995</v>
      </c>
    </row>
    <row r="19" spans="1:38" s="140" customFormat="1">
      <c r="A19" s="7"/>
      <c r="B19" s="100"/>
      <c r="C19" s="115"/>
      <c r="D19" s="115"/>
      <c r="E19" s="100"/>
      <c r="F19" s="101"/>
      <c r="G19" s="118"/>
      <c r="H19" s="102"/>
      <c r="I19" s="102"/>
      <c r="J19" s="102"/>
      <c r="K19" s="102"/>
      <c r="L19" s="102"/>
      <c r="M19" s="102"/>
      <c r="N19" s="102"/>
      <c r="O19" s="94"/>
      <c r="P19" s="103"/>
      <c r="Q19" s="104"/>
      <c r="R19" s="104"/>
      <c r="S19" s="104"/>
      <c r="T19" s="136"/>
      <c r="U19" s="104"/>
      <c r="V19" s="104"/>
      <c r="W19" s="104"/>
      <c r="X19" s="104"/>
      <c r="Y19" s="104"/>
      <c r="Z19" s="132"/>
      <c r="AA19" s="102"/>
      <c r="AB19" s="102"/>
      <c r="AC19" s="102"/>
      <c r="AD19" s="102"/>
      <c r="AE19" s="102"/>
      <c r="AF19" s="102"/>
      <c r="AG19" s="102"/>
      <c r="AH19" s="105"/>
      <c r="AI19" s="105"/>
      <c r="AJ19" s="7"/>
      <c r="AK19" s="105"/>
      <c r="AL19" s="105"/>
    </row>
    <row r="20" spans="1:38" s="140" customFormat="1">
      <c r="A20" s="7"/>
      <c r="B20" s="93"/>
      <c r="C20" s="93"/>
      <c r="D20" s="93"/>
      <c r="E20" s="92"/>
      <c r="F20" s="93"/>
      <c r="G20" s="95"/>
      <c r="H20" s="95"/>
      <c r="I20" s="95"/>
      <c r="J20" s="95"/>
      <c r="K20" s="95"/>
      <c r="L20" s="95"/>
      <c r="M20" s="95"/>
      <c r="N20" s="95"/>
      <c r="O20" s="96"/>
      <c r="P20" s="9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7"/>
      <c r="AK20" s="98"/>
      <c r="AL20" s="98"/>
    </row>
    <row r="21" spans="1:38" s="140" customFormat="1" ht="15.75" thickBot="1">
      <c r="A21" s="7"/>
      <c r="B21" s="634" t="s">
        <v>71</v>
      </c>
      <c r="C21" s="635"/>
      <c r="D21" s="635"/>
      <c r="E21" s="635"/>
      <c r="F21" s="636"/>
      <c r="G21" s="114">
        <f t="shared" ref="G21:AH21" si="66">SUM(G8:G20)</f>
        <v>23445</v>
      </c>
      <c r="H21" s="114">
        <f t="shared" si="66"/>
        <v>0</v>
      </c>
      <c r="I21" s="114">
        <f t="shared" si="66"/>
        <v>0</v>
      </c>
      <c r="J21" s="114">
        <f t="shared" si="66"/>
        <v>0</v>
      </c>
      <c r="K21" s="114">
        <f t="shared" si="66"/>
        <v>0</v>
      </c>
      <c r="L21" s="114">
        <f t="shared" si="66"/>
        <v>0</v>
      </c>
      <c r="M21" s="114">
        <f t="shared" si="66"/>
        <v>0</v>
      </c>
      <c r="N21" s="114">
        <f t="shared" si="66"/>
        <v>23445</v>
      </c>
      <c r="O21" s="114">
        <f t="shared" si="66"/>
        <v>0</v>
      </c>
      <c r="P21" s="114">
        <f t="shared" si="66"/>
        <v>0</v>
      </c>
      <c r="Q21" s="114">
        <f t="shared" si="66"/>
        <v>23445</v>
      </c>
      <c r="R21" s="114">
        <f t="shared" si="66"/>
        <v>20541.394999999997</v>
      </c>
      <c r="S21" s="114">
        <f t="shared" si="66"/>
        <v>2903.6049999999996</v>
      </c>
      <c r="T21" s="114">
        <f t="shared" si="66"/>
        <v>1.0304</v>
      </c>
      <c r="U21" s="114">
        <f t="shared" si="66"/>
        <v>341.52681599999994</v>
      </c>
      <c r="V21" s="114">
        <f t="shared" si="66"/>
        <v>1286.0650000000001</v>
      </c>
      <c r="W21" s="114">
        <f t="shared" si="66"/>
        <v>1627.5918160000003</v>
      </c>
      <c r="X21" s="114">
        <f t="shared" si="66"/>
        <v>1314.1599999999999</v>
      </c>
      <c r="Y21" s="114">
        <f t="shared" si="66"/>
        <v>313.43181600000003</v>
      </c>
      <c r="Z21" s="114">
        <f t="shared" si="66"/>
        <v>0</v>
      </c>
      <c r="AA21" s="114">
        <f t="shared" si="66"/>
        <v>68.40093600000003</v>
      </c>
      <c r="AB21" s="114">
        <f t="shared" si="66"/>
        <v>381.83275200000003</v>
      </c>
      <c r="AC21" s="114">
        <f t="shared" si="66"/>
        <v>0</v>
      </c>
      <c r="AD21" s="114">
        <f t="shared" si="66"/>
        <v>0</v>
      </c>
      <c r="AE21" s="114">
        <f t="shared" si="66"/>
        <v>0</v>
      </c>
      <c r="AF21" s="114">
        <f t="shared" si="66"/>
        <v>0</v>
      </c>
      <c r="AG21" s="114">
        <f t="shared" si="66"/>
        <v>381.83275200000003</v>
      </c>
      <c r="AH21" s="114">
        <f t="shared" si="66"/>
        <v>23131.568184000003</v>
      </c>
      <c r="AI21" s="114"/>
      <c r="AJ21" s="7"/>
      <c r="AK21" s="114">
        <f t="shared" ref="AK21:AL21" si="67">SUM(AK8:AK20)</f>
        <v>729.42</v>
      </c>
      <c r="AL21" s="114">
        <f t="shared" si="67"/>
        <v>-385.97864000000004</v>
      </c>
    </row>
    <row r="22" spans="1:38" s="140" customFormat="1" ht="13.5" thickTop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5" spans="1:38">
      <c r="C25" s="52"/>
      <c r="D25" s="52"/>
    </row>
    <row r="26" spans="1:38">
      <c r="C26" s="52"/>
      <c r="D26" s="52"/>
      <c r="N26" s="175"/>
    </row>
    <row r="27" spans="1:38">
      <c r="C27" s="52"/>
      <c r="D27" s="52"/>
    </row>
    <row r="29" spans="1:38">
      <c r="C29" s="144"/>
      <c r="D29" s="144"/>
    </row>
  </sheetData>
  <mergeCells count="6">
    <mergeCell ref="B21:F21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AL23"/>
  <sheetViews>
    <sheetView showGridLines="0" topLeftCell="B1" zoomScale="85" workbookViewId="0">
      <selection activeCell="C8" sqref="C8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24.140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418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397" t="s">
        <v>121</v>
      </c>
      <c r="D8" s="398" t="s">
        <v>123</v>
      </c>
      <c r="E8" s="399">
        <v>15</v>
      </c>
      <c r="F8" s="400">
        <v>132</v>
      </c>
      <c r="G8" s="117">
        <f t="shared" ref="G8:G10" si="0">E8*F8</f>
        <v>1980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:N10" si="1">SUM(G8:M8)</f>
        <v>1980</v>
      </c>
      <c r="O8" s="216"/>
      <c r="P8" s="217">
        <f t="shared" ref="P8:P10" si="2">IF(F8=47.16,0,IF(F8&gt;47.16,K8*0.5,0))</f>
        <v>0</v>
      </c>
      <c r="Q8" s="217">
        <f t="shared" ref="Q8:Q10" si="3">G8+H8+I8+L8+P8+J8</f>
        <v>1980</v>
      </c>
      <c r="R8" s="217">
        <f t="shared" ref="R8:R10" si="4">VLOOKUP(Q8,Tarifa1,1)</f>
        <v>248.04</v>
      </c>
      <c r="S8" s="217">
        <f t="shared" ref="S8:S10" si="5">Q8-R8</f>
        <v>1731.96</v>
      </c>
      <c r="T8" s="218">
        <f t="shared" ref="T8:T10" si="6">VLOOKUP(Q8,Tarifa1,3)</f>
        <v>6.4000000000000001E-2</v>
      </c>
      <c r="U8" s="217">
        <f t="shared" ref="U8:U10" si="7">S8*T8</f>
        <v>110.84544000000001</v>
      </c>
      <c r="V8" s="217">
        <f t="shared" ref="V8:V10" si="8">VLOOKUP(Q8,Tarifa1,2)</f>
        <v>4.76</v>
      </c>
      <c r="W8" s="217">
        <f t="shared" ref="W8:W10" si="9">U8+V8</f>
        <v>115.60544000000002</v>
      </c>
      <c r="X8" s="217">
        <f t="shared" ref="X8:X10" si="10">VLOOKUP(Q8,Credito1,2)</f>
        <v>191.23</v>
      </c>
      <c r="Y8" s="217">
        <f t="shared" ref="Y8:Y10" si="11">W8-X8</f>
        <v>-75.624559999999974</v>
      </c>
      <c r="Z8" s="219"/>
      <c r="AA8" s="215">
        <f t="shared" ref="AA8:AA10" si="12">-IF(Y8&gt;0,0,Y8)</f>
        <v>75.624559999999974</v>
      </c>
      <c r="AB8" s="215">
        <f t="shared" ref="AB8:AB10" si="13">IF(Y8&lt;0,0,Y8)</f>
        <v>0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:AG10" si="14">SUM(AB8:AF8)</f>
        <v>0</v>
      </c>
      <c r="AH8" s="215">
        <f t="shared" ref="AH8:AH10" si="15">N8+AA8-AG8</f>
        <v>2055.6245600000002</v>
      </c>
      <c r="AI8" s="111"/>
      <c r="AJ8" s="52"/>
      <c r="AK8" s="111">
        <v>-158</v>
      </c>
      <c r="AL8" s="111">
        <f t="shared" ref="AL8:AL12" si="16">-AK8-AA8</f>
        <v>82.375440000000026</v>
      </c>
    </row>
    <row r="9" spans="1:38" s="140" customFormat="1" ht="30" customHeight="1">
      <c r="A9" s="7"/>
      <c r="B9" s="108">
        <v>2</v>
      </c>
      <c r="C9" s="397" t="s">
        <v>419</v>
      </c>
      <c r="D9" s="398" t="s">
        <v>539</v>
      </c>
      <c r="E9" s="399">
        <v>15</v>
      </c>
      <c r="F9" s="400">
        <v>205.58</v>
      </c>
      <c r="G9" s="117">
        <f t="shared" si="0"/>
        <v>3083.7000000000003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215">
        <f t="shared" si="1"/>
        <v>3083.7000000000003</v>
      </c>
      <c r="O9" s="216"/>
      <c r="P9" s="217">
        <f t="shared" si="2"/>
        <v>0</v>
      </c>
      <c r="Q9" s="217">
        <f t="shared" si="3"/>
        <v>3083.7000000000003</v>
      </c>
      <c r="R9" s="217">
        <f t="shared" si="4"/>
        <v>2105.21</v>
      </c>
      <c r="S9" s="217">
        <f t="shared" si="5"/>
        <v>978.49000000000024</v>
      </c>
      <c r="T9" s="218">
        <f t="shared" si="6"/>
        <v>0.10879999999999999</v>
      </c>
      <c r="U9" s="217">
        <f t="shared" si="7"/>
        <v>106.45971200000002</v>
      </c>
      <c r="V9" s="217">
        <f t="shared" si="8"/>
        <v>123.62</v>
      </c>
      <c r="W9" s="217">
        <f t="shared" si="9"/>
        <v>230.07971200000003</v>
      </c>
      <c r="X9" s="217">
        <f t="shared" si="10"/>
        <v>147.315</v>
      </c>
      <c r="Y9" s="217">
        <f t="shared" si="11"/>
        <v>82.764712000000031</v>
      </c>
      <c r="Z9" s="219"/>
      <c r="AA9" s="215">
        <f t="shared" si="12"/>
        <v>0</v>
      </c>
      <c r="AB9" s="215">
        <f t="shared" si="13"/>
        <v>82.764712000000031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si="14"/>
        <v>82.764712000000031</v>
      </c>
      <c r="AH9" s="215">
        <f t="shared" si="15"/>
        <v>3000.9352880000001</v>
      </c>
      <c r="AI9" s="111"/>
      <c r="AJ9" s="52"/>
      <c r="AK9" s="111">
        <v>-158</v>
      </c>
      <c r="AL9" s="111">
        <f t="shared" si="16"/>
        <v>158</v>
      </c>
    </row>
    <row r="10" spans="1:38" s="140" customFormat="1" ht="30" customHeight="1">
      <c r="A10" s="7"/>
      <c r="B10" s="108">
        <v>3</v>
      </c>
      <c r="C10" s="397" t="s">
        <v>420</v>
      </c>
      <c r="D10" s="398" t="s">
        <v>109</v>
      </c>
      <c r="E10" s="399">
        <v>15</v>
      </c>
      <c r="F10" s="400">
        <v>155</v>
      </c>
      <c r="G10" s="117">
        <f t="shared" si="0"/>
        <v>2325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15">
        <f t="shared" si="1"/>
        <v>2325</v>
      </c>
      <c r="O10" s="216"/>
      <c r="P10" s="217">
        <f t="shared" si="2"/>
        <v>0</v>
      </c>
      <c r="Q10" s="217">
        <f t="shared" si="3"/>
        <v>2325</v>
      </c>
      <c r="R10" s="217">
        <f t="shared" si="4"/>
        <v>2105.21</v>
      </c>
      <c r="S10" s="217">
        <f t="shared" si="5"/>
        <v>219.78999999999996</v>
      </c>
      <c r="T10" s="218">
        <f t="shared" si="6"/>
        <v>0.10879999999999999</v>
      </c>
      <c r="U10" s="217">
        <f t="shared" si="7"/>
        <v>23.913151999999993</v>
      </c>
      <c r="V10" s="217">
        <f t="shared" si="8"/>
        <v>123.62</v>
      </c>
      <c r="W10" s="217">
        <f t="shared" si="9"/>
        <v>147.533152</v>
      </c>
      <c r="X10" s="217">
        <f t="shared" si="10"/>
        <v>177.11500000000001</v>
      </c>
      <c r="Y10" s="217">
        <f t="shared" si="11"/>
        <v>-29.581848000000008</v>
      </c>
      <c r="Z10" s="219"/>
      <c r="AA10" s="215">
        <f t="shared" si="12"/>
        <v>29.581848000000008</v>
      </c>
      <c r="AB10" s="215">
        <f t="shared" si="13"/>
        <v>0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14"/>
        <v>0</v>
      </c>
      <c r="AH10" s="215">
        <f t="shared" si="15"/>
        <v>2354.5818479999998</v>
      </c>
      <c r="AI10" s="111"/>
      <c r="AJ10" s="52"/>
      <c r="AK10" s="111">
        <v>-158</v>
      </c>
      <c r="AL10" s="111">
        <f t="shared" si="16"/>
        <v>128.41815199999999</v>
      </c>
    </row>
    <row r="11" spans="1:38" s="140" customFormat="1" ht="30" customHeight="1">
      <c r="A11" s="7"/>
      <c r="B11" s="108">
        <v>4</v>
      </c>
      <c r="C11" s="147" t="s">
        <v>537</v>
      </c>
      <c r="D11" s="148" t="s">
        <v>538</v>
      </c>
      <c r="E11" s="109">
        <v>15</v>
      </c>
      <c r="F11" s="142">
        <v>167</v>
      </c>
      <c r="G11" s="117">
        <f t="shared" ref="G11" si="17">E11*F11</f>
        <v>2505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215">
        <f t="shared" ref="N11" si="18">SUM(G11:M11)</f>
        <v>2505</v>
      </c>
      <c r="O11" s="216"/>
      <c r="P11" s="217">
        <f t="shared" ref="P11" si="19">IF(F11=47.16,0,IF(F11&gt;47.16,K11*0.5,0))</f>
        <v>0</v>
      </c>
      <c r="Q11" s="217">
        <f t="shared" ref="Q11" si="20">G11+H11+I11+L11+P11+J11</f>
        <v>2505</v>
      </c>
      <c r="R11" s="217">
        <f t="shared" ref="R11" si="21">VLOOKUP(Q11,Tarifa1,1)</f>
        <v>2105.21</v>
      </c>
      <c r="S11" s="217">
        <f t="shared" ref="S11" si="22">Q11-R11</f>
        <v>399.78999999999996</v>
      </c>
      <c r="T11" s="218">
        <f t="shared" ref="T11" si="23">VLOOKUP(Q11,Tarifa1,3)</f>
        <v>0.10879999999999999</v>
      </c>
      <c r="U11" s="217">
        <f t="shared" ref="U11" si="24">S11*T11</f>
        <v>43.497151999999993</v>
      </c>
      <c r="V11" s="217">
        <f t="shared" ref="V11" si="25">VLOOKUP(Q11,Tarifa1,2)</f>
        <v>123.62</v>
      </c>
      <c r="W11" s="217">
        <f t="shared" ref="W11" si="26">U11+V11</f>
        <v>167.117152</v>
      </c>
      <c r="X11" s="217">
        <f t="shared" ref="X11" si="27">VLOOKUP(Q11,Credito1,2)</f>
        <v>162.435</v>
      </c>
      <c r="Y11" s="217">
        <f t="shared" ref="Y11" si="28">W11-X11</f>
        <v>4.6821520000000021</v>
      </c>
      <c r="Z11" s="219"/>
      <c r="AA11" s="215">
        <f t="shared" ref="AA11" si="29">-IF(Y11&gt;0,0,Y11)</f>
        <v>0</v>
      </c>
      <c r="AB11" s="215">
        <f t="shared" ref="AB11" si="30">IF(Y11&lt;0,0,Y11)</f>
        <v>4.6821520000000021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ref="AG11" si="31">SUM(AB11:AF11)</f>
        <v>4.6821520000000021</v>
      </c>
      <c r="AH11" s="215">
        <f t="shared" ref="AH11" si="32">N11+AA11-AG11</f>
        <v>2500.3178480000001</v>
      </c>
      <c r="AI11" s="111"/>
      <c r="AJ11" s="52"/>
      <c r="AK11" s="111">
        <v>-158</v>
      </c>
      <c r="AL11" s="111">
        <f t="shared" si="16"/>
        <v>158</v>
      </c>
    </row>
    <row r="12" spans="1:38" s="140" customFormat="1" ht="30" customHeight="1">
      <c r="A12" s="7"/>
      <c r="B12" s="108">
        <v>5</v>
      </c>
      <c r="C12" s="147"/>
      <c r="D12" s="148"/>
      <c r="E12" s="109"/>
      <c r="F12" s="142"/>
      <c r="G12" s="117"/>
      <c r="H12" s="110"/>
      <c r="I12" s="110"/>
      <c r="J12" s="110"/>
      <c r="K12" s="110"/>
      <c r="L12" s="110"/>
      <c r="M12" s="110"/>
      <c r="N12" s="111"/>
      <c r="O12" s="134"/>
      <c r="P12" s="112"/>
      <c r="Q12" s="112"/>
      <c r="R12" s="112"/>
      <c r="S12" s="112"/>
      <c r="T12" s="113"/>
      <c r="U12" s="112"/>
      <c r="V12" s="112"/>
      <c r="W12" s="112"/>
      <c r="X12" s="112"/>
      <c r="Y12" s="112"/>
      <c r="Z12" s="131"/>
      <c r="AA12" s="111"/>
      <c r="AB12" s="111"/>
      <c r="AC12" s="111"/>
      <c r="AD12" s="110"/>
      <c r="AE12" s="110"/>
      <c r="AF12" s="139"/>
      <c r="AG12" s="111"/>
      <c r="AH12" s="111"/>
      <c r="AI12" s="111"/>
      <c r="AJ12" s="52"/>
      <c r="AK12" s="111">
        <v>-158</v>
      </c>
      <c r="AL12" s="111">
        <f t="shared" si="16"/>
        <v>158</v>
      </c>
    </row>
    <row r="13" spans="1:38" s="140" customFormat="1">
      <c r="A13" s="7"/>
      <c r="B13" s="100"/>
      <c r="C13" s="115"/>
      <c r="D13" s="115"/>
      <c r="E13" s="100"/>
      <c r="F13" s="101"/>
      <c r="G13" s="118"/>
      <c r="H13" s="102"/>
      <c r="I13" s="102"/>
      <c r="J13" s="102"/>
      <c r="K13" s="102"/>
      <c r="L13" s="102"/>
      <c r="M13" s="102"/>
      <c r="N13" s="102"/>
      <c r="O13" s="94"/>
      <c r="P13" s="103"/>
      <c r="Q13" s="104"/>
      <c r="R13" s="104"/>
      <c r="S13" s="104"/>
      <c r="T13" s="136"/>
      <c r="U13" s="104"/>
      <c r="V13" s="104"/>
      <c r="W13" s="104"/>
      <c r="X13" s="104"/>
      <c r="Y13" s="104"/>
      <c r="Z13" s="132"/>
      <c r="AA13" s="102"/>
      <c r="AB13" s="102"/>
      <c r="AC13" s="102"/>
      <c r="AD13" s="102"/>
      <c r="AE13" s="102"/>
      <c r="AF13" s="102"/>
      <c r="AG13" s="102"/>
      <c r="AH13" s="105"/>
      <c r="AI13" s="105"/>
      <c r="AJ13" s="7"/>
      <c r="AK13" s="105"/>
      <c r="AL13" s="105"/>
    </row>
    <row r="14" spans="1:38" s="140" customFormat="1">
      <c r="A14" s="7"/>
      <c r="B14" s="93"/>
      <c r="C14" s="93"/>
      <c r="D14" s="93"/>
      <c r="E14" s="92"/>
      <c r="F14" s="93"/>
      <c r="G14" s="95"/>
      <c r="H14" s="95"/>
      <c r="I14" s="95"/>
      <c r="J14" s="95"/>
      <c r="K14" s="95"/>
      <c r="L14" s="95"/>
      <c r="M14" s="95"/>
      <c r="N14" s="95"/>
      <c r="O14" s="96"/>
      <c r="P14" s="97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7"/>
      <c r="AK14" s="98"/>
      <c r="AL14" s="98"/>
    </row>
    <row r="15" spans="1:38" s="140" customFormat="1" ht="15.75" thickBot="1">
      <c r="A15" s="7"/>
      <c r="B15" s="634" t="s">
        <v>71</v>
      </c>
      <c r="C15" s="635"/>
      <c r="D15" s="635"/>
      <c r="E15" s="635"/>
      <c r="F15" s="636"/>
      <c r="G15" s="114">
        <f t="shared" ref="G15:N15" si="33">SUM(G8:G14)</f>
        <v>9893.7000000000007</v>
      </c>
      <c r="H15" s="114">
        <f t="shared" si="33"/>
        <v>0</v>
      </c>
      <c r="I15" s="114">
        <f t="shared" si="33"/>
        <v>0</v>
      </c>
      <c r="J15" s="114">
        <f t="shared" si="33"/>
        <v>0</v>
      </c>
      <c r="K15" s="114">
        <f t="shared" si="33"/>
        <v>0</v>
      </c>
      <c r="L15" s="114">
        <f t="shared" si="33"/>
        <v>0</v>
      </c>
      <c r="M15" s="114">
        <f t="shared" si="33"/>
        <v>0</v>
      </c>
      <c r="N15" s="114">
        <f t="shared" si="33"/>
        <v>9893.7000000000007</v>
      </c>
      <c r="O15" s="133"/>
      <c r="P15" s="135">
        <f t="shared" ref="P15:Y15" si="34">SUM(P8:P14)</f>
        <v>0</v>
      </c>
      <c r="Q15" s="135">
        <f t="shared" si="34"/>
        <v>9893.7000000000007</v>
      </c>
      <c r="R15" s="135">
        <f t="shared" si="34"/>
        <v>6563.67</v>
      </c>
      <c r="S15" s="135">
        <f t="shared" si="34"/>
        <v>3330.03</v>
      </c>
      <c r="T15" s="135">
        <f t="shared" si="34"/>
        <v>0.39040000000000002</v>
      </c>
      <c r="U15" s="135">
        <f t="shared" si="34"/>
        <v>284.71545600000002</v>
      </c>
      <c r="V15" s="135">
        <f t="shared" si="34"/>
        <v>375.62</v>
      </c>
      <c r="W15" s="135">
        <f t="shared" si="34"/>
        <v>660.33545600000002</v>
      </c>
      <c r="X15" s="135">
        <f t="shared" si="34"/>
        <v>678.09500000000003</v>
      </c>
      <c r="Y15" s="135">
        <f t="shared" si="34"/>
        <v>-17.759543999999948</v>
      </c>
      <c r="Z15" s="133"/>
      <c r="AA15" s="114">
        <f t="shared" ref="AA15:AH15" si="35">SUM(AA8:AA14)</f>
        <v>105.20640799999998</v>
      </c>
      <c r="AB15" s="114">
        <f t="shared" si="35"/>
        <v>87.446864000000033</v>
      </c>
      <c r="AC15" s="114">
        <f t="shared" si="35"/>
        <v>0</v>
      </c>
      <c r="AD15" s="114">
        <f t="shared" si="35"/>
        <v>0</v>
      </c>
      <c r="AE15" s="114">
        <f t="shared" si="35"/>
        <v>0</v>
      </c>
      <c r="AF15" s="114">
        <f t="shared" si="35"/>
        <v>0</v>
      </c>
      <c r="AG15" s="114">
        <f t="shared" si="35"/>
        <v>87.446864000000033</v>
      </c>
      <c r="AH15" s="114">
        <f t="shared" si="35"/>
        <v>9911.4595440000012</v>
      </c>
      <c r="AI15" s="114"/>
      <c r="AJ15" s="7"/>
      <c r="AK15" s="114">
        <f t="shared" ref="AK15:AL15" si="36">SUM(AK8:AK14)</f>
        <v>-790</v>
      </c>
      <c r="AL15" s="114">
        <f t="shared" si="36"/>
        <v>684.79359199999999</v>
      </c>
    </row>
    <row r="16" spans="1:38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9" spans="3:4">
      <c r="C19" s="52"/>
      <c r="D19" s="52"/>
    </row>
    <row r="20" spans="3:4">
      <c r="C20" s="52"/>
      <c r="D20" s="52"/>
    </row>
    <row r="21" spans="3:4" ht="24" customHeight="1">
      <c r="C21" s="52"/>
      <c r="D21" s="52"/>
    </row>
    <row r="23" spans="3:4">
      <c r="C23" s="144"/>
      <c r="D23" s="144"/>
    </row>
  </sheetData>
  <mergeCells count="6">
    <mergeCell ref="B15:F15"/>
    <mergeCell ref="B2:AH2"/>
    <mergeCell ref="B3:AH3"/>
    <mergeCell ref="G4:N4"/>
    <mergeCell ref="R4:W4"/>
    <mergeCell ref="AB4:AG4"/>
  </mergeCells>
  <pageMargins left="0.78740157480314965" right="0.51181102362204722" top="0.70866141732283472" bottom="0.98425196850393704" header="0" footer="0"/>
  <pageSetup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6"/>
  <sheetViews>
    <sheetView zoomScale="68" zoomScaleNormal="68" workbookViewId="0">
      <selection activeCell="K10" sqref="K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5.140625" style="7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42.71093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9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50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213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214</v>
      </c>
      <c r="D8" s="148" t="s">
        <v>215</v>
      </c>
      <c r="E8" s="109">
        <v>15</v>
      </c>
      <c r="F8" s="142">
        <v>167</v>
      </c>
      <c r="G8" s="117">
        <f t="shared" ref="G8" si="0">E8*F8</f>
        <v>2505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" si="1">SUM(G8:M8)</f>
        <v>2505</v>
      </c>
      <c r="O8" s="216"/>
      <c r="P8" s="217">
        <f t="shared" ref="P8" si="2">IF(F8=47.16,0,IF(F8&gt;47.16,K8*0.5,0))</f>
        <v>0</v>
      </c>
      <c r="Q8" s="217">
        <f t="shared" ref="Q8" si="3">G8+H8+I8+L8+P8+J8</f>
        <v>2505</v>
      </c>
      <c r="R8" s="217">
        <f t="shared" ref="R8" si="4">VLOOKUP(Q8,Tarifa1,1)</f>
        <v>2105.21</v>
      </c>
      <c r="S8" s="217">
        <f t="shared" ref="S8" si="5">Q8-R8</f>
        <v>399.78999999999996</v>
      </c>
      <c r="T8" s="218">
        <f t="shared" ref="T8" si="6">VLOOKUP(Q8,Tarifa1,3)</f>
        <v>0.10879999999999999</v>
      </c>
      <c r="U8" s="217">
        <f t="shared" ref="U8" si="7">S8*T8</f>
        <v>43.497151999999993</v>
      </c>
      <c r="V8" s="217">
        <f t="shared" ref="V8" si="8">VLOOKUP(Q8,Tarifa1,2)</f>
        <v>123.62</v>
      </c>
      <c r="W8" s="217">
        <f t="shared" ref="W8" si="9">U8+V8</f>
        <v>167.117152</v>
      </c>
      <c r="X8" s="217">
        <f t="shared" ref="X8" si="10">VLOOKUP(Q8,Credito1,2)</f>
        <v>162.435</v>
      </c>
      <c r="Y8" s="217">
        <f t="shared" ref="Y8" si="11">W8-X8</f>
        <v>4.6821520000000021</v>
      </c>
      <c r="Z8" s="219"/>
      <c r="AA8" s="215">
        <f t="shared" ref="AA8" si="12">-IF(Y8&gt;0,0,Y8)</f>
        <v>0</v>
      </c>
      <c r="AB8" s="215">
        <f t="shared" ref="AB8" si="13">IF(Y8&lt;0,0,Y8)</f>
        <v>4.6821520000000021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" si="14">SUM(AB8:AF8)</f>
        <v>4.6821520000000021</v>
      </c>
      <c r="AH8" s="215">
        <f t="shared" ref="AH8" si="15">N8+AA8-AG8</f>
        <v>2500.3178480000001</v>
      </c>
      <c r="AI8" s="215"/>
      <c r="AJ8" s="52"/>
      <c r="AK8" s="111">
        <v>41</v>
      </c>
      <c r="AL8" s="111">
        <f>AB8-AK8</f>
        <v>-36.317847999999998</v>
      </c>
    </row>
    <row r="9" spans="1:38" s="140" customFormat="1" ht="30" customHeight="1">
      <c r="A9" s="7"/>
      <c r="B9" s="108">
        <v>2</v>
      </c>
      <c r="C9" s="178" t="s">
        <v>216</v>
      </c>
      <c r="D9" s="148" t="s">
        <v>217</v>
      </c>
      <c r="E9" s="109">
        <v>15</v>
      </c>
      <c r="F9" s="142">
        <v>167</v>
      </c>
      <c r="G9" s="117">
        <f t="shared" ref="G9" si="16">E9*F9</f>
        <v>2505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15">
        <f t="shared" ref="N9" si="17">SUM(G9:M9)</f>
        <v>2505</v>
      </c>
      <c r="O9" s="216"/>
      <c r="P9" s="217">
        <f t="shared" ref="P9" si="18">IF(F9=47.16,0,IF(F9&gt;47.16,K9*0.5,0))</f>
        <v>0</v>
      </c>
      <c r="Q9" s="217">
        <f t="shared" ref="Q9" si="19">G9+H9+I9+L9+P9+J9</f>
        <v>2505</v>
      </c>
      <c r="R9" s="217">
        <f t="shared" ref="R9" si="20">VLOOKUP(Q9,Tarifa1,1)</f>
        <v>2105.21</v>
      </c>
      <c r="S9" s="217">
        <f t="shared" ref="S9" si="21">Q9-R9</f>
        <v>399.78999999999996</v>
      </c>
      <c r="T9" s="218">
        <f t="shared" ref="T9" si="22">VLOOKUP(Q9,Tarifa1,3)</f>
        <v>0.10879999999999999</v>
      </c>
      <c r="U9" s="217">
        <f t="shared" ref="U9" si="23">S9*T9</f>
        <v>43.497151999999993</v>
      </c>
      <c r="V9" s="217">
        <f t="shared" ref="V9" si="24">VLOOKUP(Q9,Tarifa1,2)</f>
        <v>123.62</v>
      </c>
      <c r="W9" s="217">
        <f t="shared" ref="W9" si="25">U9+V9</f>
        <v>167.117152</v>
      </c>
      <c r="X9" s="217">
        <f t="shared" ref="X9" si="26">VLOOKUP(Q9,Credito1,2)</f>
        <v>162.435</v>
      </c>
      <c r="Y9" s="217">
        <f t="shared" ref="Y9" si="27">W9-X9</f>
        <v>4.6821520000000021</v>
      </c>
      <c r="Z9" s="219"/>
      <c r="AA9" s="215">
        <f t="shared" ref="AA9" si="28">-IF(Y9&gt;0,0,Y9)</f>
        <v>0</v>
      </c>
      <c r="AB9" s="215">
        <f t="shared" ref="AB9" si="29">IF(Y9&lt;0,0,Y9)</f>
        <v>4.6821520000000021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ref="AG9" si="30">SUM(AB9:AF9)</f>
        <v>4.6821520000000021</v>
      </c>
      <c r="AH9" s="215">
        <f t="shared" ref="AH9" si="31">N9+AA9-AG9</f>
        <v>2500.3178480000001</v>
      </c>
      <c r="AI9" s="215"/>
      <c r="AJ9" s="52"/>
      <c r="AK9" s="111"/>
      <c r="AL9" s="111"/>
    </row>
    <row r="10" spans="1:38" s="140" customFormat="1" ht="30" customHeight="1">
      <c r="A10" s="7"/>
      <c r="B10" s="108">
        <v>3</v>
      </c>
      <c r="C10" s="262" t="s">
        <v>427</v>
      </c>
      <c r="D10" s="148" t="s">
        <v>109</v>
      </c>
      <c r="E10" s="109">
        <v>15</v>
      </c>
      <c r="F10" s="142">
        <v>131</v>
      </c>
      <c r="G10" s="117">
        <f t="shared" ref="G10" si="32">E10*F10</f>
        <v>1965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15">
        <f t="shared" ref="N10" si="33">SUM(G10:M10)</f>
        <v>1965</v>
      </c>
      <c r="O10" s="216"/>
      <c r="P10" s="217">
        <f t="shared" ref="P10" si="34">IF(F10=47.16,0,IF(F10&gt;47.16,K10*0.5,0))</f>
        <v>0</v>
      </c>
      <c r="Q10" s="217">
        <f t="shared" ref="Q10" si="35">G10+H10+I10+L10+P10+J10</f>
        <v>1965</v>
      </c>
      <c r="R10" s="217">
        <f t="shared" ref="R10" si="36">VLOOKUP(Q10,Tarifa1,1)</f>
        <v>248.04</v>
      </c>
      <c r="S10" s="217">
        <f t="shared" ref="S10" si="37">Q10-R10</f>
        <v>1716.96</v>
      </c>
      <c r="T10" s="218">
        <f t="shared" ref="T10" si="38">VLOOKUP(Q10,Tarifa1,3)</f>
        <v>6.4000000000000001E-2</v>
      </c>
      <c r="U10" s="217">
        <f t="shared" ref="U10" si="39">S10*T10</f>
        <v>109.88544</v>
      </c>
      <c r="V10" s="217">
        <f t="shared" ref="V10" si="40">VLOOKUP(Q10,Tarifa1,2)</f>
        <v>4.76</v>
      </c>
      <c r="W10" s="217">
        <f t="shared" ref="W10" si="41">U10+V10</f>
        <v>114.64544000000001</v>
      </c>
      <c r="X10" s="217">
        <f t="shared" ref="X10" si="42">VLOOKUP(Q10,Credito1,2)</f>
        <v>191.23</v>
      </c>
      <c r="Y10" s="217">
        <f t="shared" ref="Y10" si="43">W10-X10</f>
        <v>-76.584559999999982</v>
      </c>
      <c r="Z10" s="219"/>
      <c r="AA10" s="215">
        <f t="shared" ref="AA10" si="44">-IF(Y10&gt;0,0,Y10)</f>
        <v>76.584559999999982</v>
      </c>
      <c r="AB10" s="215">
        <f t="shared" ref="AB10" si="45">IF(Y10&lt;0,0,Y10)</f>
        <v>0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ref="AG10" si="46">SUM(AB10:AF10)</f>
        <v>0</v>
      </c>
      <c r="AH10" s="215">
        <f t="shared" ref="AH10" si="47">N10+AA10-AG10</f>
        <v>2041.58456</v>
      </c>
      <c r="AI10" s="215"/>
      <c r="AJ10" s="52"/>
      <c r="AK10" s="111"/>
      <c r="AL10" s="111"/>
    </row>
    <row r="11" spans="1:38" s="140" customFormat="1" ht="30" customHeight="1">
      <c r="A11" s="7"/>
      <c r="B11" s="108"/>
      <c r="C11" s="178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215"/>
      <c r="O11" s="216"/>
      <c r="P11" s="217"/>
      <c r="Q11" s="217"/>
      <c r="R11" s="217"/>
      <c r="S11" s="217"/>
      <c r="T11" s="218"/>
      <c r="U11" s="217"/>
      <c r="V11" s="217"/>
      <c r="W11" s="217"/>
      <c r="X11" s="217"/>
      <c r="Y11" s="217"/>
      <c r="Z11" s="219"/>
      <c r="AA11" s="215"/>
      <c r="AB11" s="215"/>
      <c r="AC11" s="215"/>
      <c r="AD11" s="220"/>
      <c r="AE11" s="220"/>
      <c r="AF11" s="220"/>
      <c r="AG11" s="215"/>
      <c r="AH11" s="215"/>
      <c r="AI11" s="215"/>
      <c r="AJ11" s="52"/>
      <c r="AK11" s="111">
        <v>41</v>
      </c>
      <c r="AL11" s="111">
        <f>AB11-AK11</f>
        <v>-41</v>
      </c>
    </row>
    <row r="12" spans="1:38" s="140" customFormat="1" ht="30" customHeight="1">
      <c r="A12" s="7"/>
      <c r="B12" s="177"/>
      <c r="C12" s="107" t="s">
        <v>421</v>
      </c>
      <c r="D12" s="107" t="s">
        <v>103</v>
      </c>
      <c r="E12" s="109"/>
      <c r="F12" s="142"/>
      <c r="G12" s="117"/>
      <c r="H12" s="110"/>
      <c r="I12" s="110"/>
      <c r="J12" s="110"/>
      <c r="K12" s="110"/>
      <c r="L12" s="110"/>
      <c r="M12" s="110"/>
      <c r="N12" s="215"/>
      <c r="O12" s="216"/>
      <c r="P12" s="217"/>
      <c r="Q12" s="217"/>
      <c r="R12" s="217"/>
      <c r="S12" s="217"/>
      <c r="T12" s="218"/>
      <c r="U12" s="217"/>
      <c r="V12" s="217"/>
      <c r="W12" s="217"/>
      <c r="X12" s="217"/>
      <c r="Y12" s="217"/>
      <c r="Z12" s="219"/>
      <c r="AA12" s="215"/>
      <c r="AB12" s="215"/>
      <c r="AC12" s="215"/>
      <c r="AD12" s="220"/>
      <c r="AE12" s="220"/>
      <c r="AF12" s="220"/>
      <c r="AG12" s="215"/>
      <c r="AH12" s="215"/>
      <c r="AI12" s="215"/>
      <c r="AJ12" s="52"/>
      <c r="AK12" s="111"/>
      <c r="AL12" s="111"/>
    </row>
    <row r="13" spans="1:38" s="140" customFormat="1" ht="30" customHeight="1">
      <c r="A13" s="7"/>
      <c r="B13" s="177">
        <v>5</v>
      </c>
      <c r="C13" s="397" t="s">
        <v>422</v>
      </c>
      <c r="D13" s="398" t="s">
        <v>478</v>
      </c>
      <c r="E13" s="399">
        <v>15</v>
      </c>
      <c r="F13" s="400">
        <v>128.1</v>
      </c>
      <c r="G13" s="405">
        <f t="shared" ref="G13:G15" si="48">E13*F13</f>
        <v>1921.5</v>
      </c>
      <c r="H13" s="406">
        <v>0</v>
      </c>
      <c r="I13" s="406">
        <f>H13</f>
        <v>0</v>
      </c>
      <c r="J13" s="406">
        <v>0</v>
      </c>
      <c r="K13" s="406">
        <v>0</v>
      </c>
      <c r="L13" s="406">
        <v>0</v>
      </c>
      <c r="M13" s="406">
        <v>0</v>
      </c>
      <c r="N13" s="401">
        <f t="shared" ref="N13:N15" si="49">SUM(G13:M13)</f>
        <v>1921.5</v>
      </c>
      <c r="O13" s="403"/>
      <c r="P13" s="401">
        <f t="shared" ref="P13:P15" si="50">IF(F13=47.16,0,IF(F13&gt;47.16,K13*0.5,0))</f>
        <v>0</v>
      </c>
      <c r="Q13" s="401">
        <f t="shared" ref="Q13:Q15" si="51">G13+H13+I13+L13+P13+J13</f>
        <v>1921.5</v>
      </c>
      <c r="R13" s="401">
        <f t="shared" ref="R13:R15" si="52">VLOOKUP(Q13,Tarifa1,1)</f>
        <v>248.04</v>
      </c>
      <c r="S13" s="401">
        <f t="shared" ref="S13:S15" si="53">Q13-R13</f>
        <v>1673.46</v>
      </c>
      <c r="T13" s="404">
        <f t="shared" ref="T13:T15" si="54">VLOOKUP(Q13,Tarifa1,3)</f>
        <v>6.4000000000000001E-2</v>
      </c>
      <c r="U13" s="401">
        <f t="shared" ref="U13:U15" si="55">S13*T13</f>
        <v>107.10144000000001</v>
      </c>
      <c r="V13" s="401">
        <f t="shared" ref="V13:V15" si="56">VLOOKUP(Q13,Tarifa1,2)</f>
        <v>4.76</v>
      </c>
      <c r="W13" s="401">
        <f t="shared" ref="W13:W15" si="57">U13+V13</f>
        <v>111.86144000000002</v>
      </c>
      <c r="X13" s="401">
        <f t="shared" ref="X13:X15" si="58">VLOOKUP(Q13,Credito1,2)</f>
        <v>191.23</v>
      </c>
      <c r="Y13" s="401">
        <f t="shared" ref="Y13:Y15" si="59">W13-X13</f>
        <v>-79.368559999999974</v>
      </c>
      <c r="Z13" s="403"/>
      <c r="AA13" s="401">
        <f t="shared" ref="AA13:AA15" si="60">-IF(Y13&gt;0,0,Y13)</f>
        <v>79.368559999999974</v>
      </c>
      <c r="AB13" s="401">
        <f t="shared" ref="AB13:AB15" si="61">IF(Y13&lt;0,0,Y13)</f>
        <v>0</v>
      </c>
      <c r="AC13" s="401">
        <v>0</v>
      </c>
      <c r="AD13" s="402">
        <v>0</v>
      </c>
      <c r="AE13" s="402">
        <v>0</v>
      </c>
      <c r="AF13" s="402">
        <v>0</v>
      </c>
      <c r="AG13" s="401">
        <f t="shared" ref="AG13:AG15" si="62">SUM(AB13:AF13)</f>
        <v>0</v>
      </c>
      <c r="AH13" s="401">
        <f t="shared" ref="AH13:AH15" si="63">N13+AA13-AG13</f>
        <v>2000.8685599999999</v>
      </c>
      <c r="AI13" s="215"/>
      <c r="AJ13" s="52"/>
      <c r="AK13" s="111"/>
      <c r="AL13" s="111"/>
    </row>
    <row r="14" spans="1:38" s="140" customFormat="1" ht="30" customHeight="1">
      <c r="A14" s="7"/>
      <c r="B14" s="177">
        <v>6</v>
      </c>
      <c r="C14" s="397" t="s">
        <v>423</v>
      </c>
      <c r="D14" s="398" t="s">
        <v>479</v>
      </c>
      <c r="E14" s="399">
        <v>15</v>
      </c>
      <c r="F14" s="400">
        <v>128.1</v>
      </c>
      <c r="G14" s="405">
        <f t="shared" si="48"/>
        <v>1921.5</v>
      </c>
      <c r="H14" s="406">
        <v>0</v>
      </c>
      <c r="I14" s="406">
        <f>H14</f>
        <v>0</v>
      </c>
      <c r="J14" s="406">
        <v>0</v>
      </c>
      <c r="K14" s="406">
        <v>0</v>
      </c>
      <c r="L14" s="406">
        <v>0</v>
      </c>
      <c r="M14" s="406">
        <v>0</v>
      </c>
      <c r="N14" s="401">
        <f t="shared" si="49"/>
        <v>1921.5</v>
      </c>
      <c r="O14" s="403"/>
      <c r="P14" s="401">
        <f t="shared" si="50"/>
        <v>0</v>
      </c>
      <c r="Q14" s="401">
        <f t="shared" si="51"/>
        <v>1921.5</v>
      </c>
      <c r="R14" s="401">
        <f t="shared" si="52"/>
        <v>248.04</v>
      </c>
      <c r="S14" s="401">
        <f t="shared" si="53"/>
        <v>1673.46</v>
      </c>
      <c r="T14" s="404">
        <f t="shared" si="54"/>
        <v>6.4000000000000001E-2</v>
      </c>
      <c r="U14" s="401">
        <f t="shared" si="55"/>
        <v>107.10144000000001</v>
      </c>
      <c r="V14" s="401">
        <f t="shared" si="56"/>
        <v>4.76</v>
      </c>
      <c r="W14" s="401">
        <f t="shared" si="57"/>
        <v>111.86144000000002</v>
      </c>
      <c r="X14" s="401">
        <f t="shared" si="58"/>
        <v>191.23</v>
      </c>
      <c r="Y14" s="401">
        <f t="shared" si="59"/>
        <v>-79.368559999999974</v>
      </c>
      <c r="Z14" s="403"/>
      <c r="AA14" s="401">
        <f t="shared" si="60"/>
        <v>79.368559999999974</v>
      </c>
      <c r="AB14" s="401">
        <f t="shared" si="61"/>
        <v>0</v>
      </c>
      <c r="AC14" s="401">
        <v>0</v>
      </c>
      <c r="AD14" s="402">
        <v>0</v>
      </c>
      <c r="AE14" s="402">
        <v>0</v>
      </c>
      <c r="AF14" s="402">
        <v>0</v>
      </c>
      <c r="AG14" s="401">
        <f t="shared" si="62"/>
        <v>0</v>
      </c>
      <c r="AH14" s="401">
        <f t="shared" si="63"/>
        <v>2000.8685599999999</v>
      </c>
      <c r="AI14" s="215"/>
      <c r="AJ14" s="52"/>
      <c r="AK14" s="111"/>
      <c r="AL14" s="111"/>
    </row>
    <row r="15" spans="1:38" s="140" customFormat="1" ht="30" customHeight="1">
      <c r="A15" s="7"/>
      <c r="B15" s="108">
        <v>7</v>
      </c>
      <c r="C15" s="397" t="s">
        <v>424</v>
      </c>
      <c r="D15" s="398" t="s">
        <v>479</v>
      </c>
      <c r="E15" s="399">
        <v>15</v>
      </c>
      <c r="F15" s="400">
        <v>128.1</v>
      </c>
      <c r="G15" s="405">
        <f t="shared" si="48"/>
        <v>1921.5</v>
      </c>
      <c r="H15" s="406">
        <v>0</v>
      </c>
      <c r="I15" s="406">
        <f>H15</f>
        <v>0</v>
      </c>
      <c r="J15" s="406">
        <v>0</v>
      </c>
      <c r="K15" s="406">
        <v>0</v>
      </c>
      <c r="L15" s="406">
        <v>0</v>
      </c>
      <c r="M15" s="406">
        <v>0</v>
      </c>
      <c r="N15" s="401">
        <f t="shared" si="49"/>
        <v>1921.5</v>
      </c>
      <c r="O15" s="403"/>
      <c r="P15" s="401">
        <f t="shared" si="50"/>
        <v>0</v>
      </c>
      <c r="Q15" s="401">
        <f t="shared" si="51"/>
        <v>1921.5</v>
      </c>
      <c r="R15" s="401">
        <f t="shared" si="52"/>
        <v>248.04</v>
      </c>
      <c r="S15" s="401">
        <f t="shared" si="53"/>
        <v>1673.46</v>
      </c>
      <c r="T15" s="404">
        <f t="shared" si="54"/>
        <v>6.4000000000000001E-2</v>
      </c>
      <c r="U15" s="401">
        <f t="shared" si="55"/>
        <v>107.10144000000001</v>
      </c>
      <c r="V15" s="401">
        <f t="shared" si="56"/>
        <v>4.76</v>
      </c>
      <c r="W15" s="401">
        <f t="shared" si="57"/>
        <v>111.86144000000002</v>
      </c>
      <c r="X15" s="401">
        <f t="shared" si="58"/>
        <v>191.23</v>
      </c>
      <c r="Y15" s="401">
        <f t="shared" si="59"/>
        <v>-79.368559999999974</v>
      </c>
      <c r="Z15" s="403"/>
      <c r="AA15" s="401">
        <f t="shared" si="60"/>
        <v>79.368559999999974</v>
      </c>
      <c r="AB15" s="401">
        <f t="shared" si="61"/>
        <v>0</v>
      </c>
      <c r="AC15" s="401">
        <v>0</v>
      </c>
      <c r="AD15" s="402">
        <v>0</v>
      </c>
      <c r="AE15" s="402">
        <v>0</v>
      </c>
      <c r="AF15" s="402">
        <v>0</v>
      </c>
      <c r="AG15" s="401">
        <f t="shared" si="62"/>
        <v>0</v>
      </c>
      <c r="AH15" s="401">
        <f t="shared" si="63"/>
        <v>2000.8685599999999</v>
      </c>
      <c r="AI15" s="215"/>
      <c r="AJ15" s="52"/>
      <c r="AK15" s="111"/>
      <c r="AL15" s="111"/>
    </row>
    <row r="16" spans="1:38" s="140" customFormat="1" ht="14.25">
      <c r="A16" s="7"/>
      <c r="B16" s="100"/>
      <c r="C16" s="115"/>
      <c r="D16" s="115"/>
      <c r="E16" s="100"/>
      <c r="F16" s="142"/>
      <c r="G16" s="117"/>
      <c r="H16" s="110"/>
      <c r="I16" s="110"/>
      <c r="J16" s="110"/>
      <c r="K16" s="110"/>
      <c r="L16" s="110"/>
      <c r="M16" s="110"/>
      <c r="N16" s="215"/>
      <c r="O16" s="216"/>
      <c r="P16" s="217"/>
      <c r="Q16" s="217"/>
      <c r="R16" s="217"/>
      <c r="S16" s="217"/>
      <c r="T16" s="218"/>
      <c r="U16" s="217"/>
      <c r="V16" s="217"/>
      <c r="W16" s="217"/>
      <c r="X16" s="217"/>
      <c r="Y16" s="217"/>
      <c r="Z16" s="219"/>
      <c r="AA16" s="215"/>
      <c r="AB16" s="215"/>
      <c r="AC16" s="215"/>
      <c r="AD16" s="220"/>
      <c r="AE16" s="220"/>
      <c r="AF16" s="220"/>
      <c r="AG16" s="215"/>
      <c r="AH16" s="215"/>
      <c r="AI16" s="226"/>
      <c r="AJ16" s="7"/>
      <c r="AK16" s="105"/>
      <c r="AL16" s="105"/>
    </row>
    <row r="17" spans="1:38" s="140" customFormat="1">
      <c r="A17" s="7"/>
      <c r="B17" s="93"/>
      <c r="C17" s="93"/>
      <c r="D17" s="93"/>
      <c r="E17" s="92"/>
      <c r="F17" s="93"/>
      <c r="G17" s="95"/>
      <c r="H17" s="95"/>
      <c r="I17" s="95"/>
      <c r="J17" s="95"/>
      <c r="K17" s="95"/>
      <c r="L17" s="95"/>
      <c r="M17" s="95"/>
      <c r="N17" s="227"/>
      <c r="O17" s="228"/>
      <c r="P17" s="229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7"/>
      <c r="AK17" s="98"/>
      <c r="AL17" s="98"/>
    </row>
    <row r="18" spans="1:38" s="140" customFormat="1" ht="15.75" thickBot="1">
      <c r="A18" s="7"/>
      <c r="B18" s="634" t="s">
        <v>71</v>
      </c>
      <c r="C18" s="635"/>
      <c r="D18" s="635"/>
      <c r="E18" s="635"/>
      <c r="F18" s="636"/>
      <c r="G18" s="114">
        <f t="shared" ref="G18:N18" si="64">SUM(G8:G17)</f>
        <v>12739.5</v>
      </c>
      <c r="H18" s="114">
        <f t="shared" si="64"/>
        <v>0</v>
      </c>
      <c r="I18" s="114">
        <f t="shared" si="64"/>
        <v>0</v>
      </c>
      <c r="J18" s="114">
        <f t="shared" si="64"/>
        <v>0</v>
      </c>
      <c r="K18" s="114">
        <f t="shared" si="64"/>
        <v>0</v>
      </c>
      <c r="L18" s="114">
        <f t="shared" si="64"/>
        <v>0</v>
      </c>
      <c r="M18" s="114">
        <f t="shared" si="64"/>
        <v>0</v>
      </c>
      <c r="N18" s="188">
        <f t="shared" si="64"/>
        <v>12739.5</v>
      </c>
      <c r="O18" s="189"/>
      <c r="P18" s="190">
        <f t="shared" ref="P18:Y18" si="65">SUM(P8:P17)</f>
        <v>0</v>
      </c>
      <c r="Q18" s="190">
        <f t="shared" si="65"/>
        <v>12739.5</v>
      </c>
      <c r="R18" s="190">
        <f t="shared" si="65"/>
        <v>5202.58</v>
      </c>
      <c r="S18" s="190">
        <f t="shared" si="65"/>
        <v>7536.92</v>
      </c>
      <c r="T18" s="190">
        <f t="shared" si="65"/>
        <v>0.47359999999999997</v>
      </c>
      <c r="U18" s="190">
        <f t="shared" si="65"/>
        <v>518.18406400000003</v>
      </c>
      <c r="V18" s="190">
        <f t="shared" si="65"/>
        <v>266.27999999999997</v>
      </c>
      <c r="W18" s="190">
        <f t="shared" si="65"/>
        <v>784.46406400000001</v>
      </c>
      <c r="X18" s="190">
        <f t="shared" si="65"/>
        <v>1089.79</v>
      </c>
      <c r="Y18" s="190">
        <f t="shared" si="65"/>
        <v>-305.3259359999999</v>
      </c>
      <c r="Z18" s="189"/>
      <c r="AA18" s="188">
        <f t="shared" ref="AA18:AH18" si="66">SUM(AA8:AA17)</f>
        <v>314.6902399999999</v>
      </c>
      <c r="AB18" s="188">
        <f t="shared" si="66"/>
        <v>9.3643040000000042</v>
      </c>
      <c r="AC18" s="188">
        <f t="shared" si="66"/>
        <v>0</v>
      </c>
      <c r="AD18" s="188">
        <f t="shared" si="66"/>
        <v>0</v>
      </c>
      <c r="AE18" s="188">
        <f t="shared" si="66"/>
        <v>0</v>
      </c>
      <c r="AF18" s="188">
        <f t="shared" si="66"/>
        <v>0</v>
      </c>
      <c r="AG18" s="188">
        <f t="shared" si="66"/>
        <v>9.3643040000000042</v>
      </c>
      <c r="AH18" s="188">
        <f t="shared" si="66"/>
        <v>13044.825935999997</v>
      </c>
      <c r="AI18" s="188"/>
      <c r="AJ18" s="7"/>
      <c r="AK18" s="114">
        <f t="shared" ref="AK18:AL18" si="67">SUM(AK8:AK17)</f>
        <v>82</v>
      </c>
      <c r="AL18" s="114">
        <f t="shared" si="67"/>
        <v>-77.317847999999998</v>
      </c>
    </row>
    <row r="19" spans="1:38" s="140" customFormat="1" ht="13.5" thickTop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2" spans="1:38">
      <c r="C22" s="52"/>
      <c r="D22" s="52"/>
    </row>
    <row r="23" spans="1:38">
      <c r="C23" s="52"/>
      <c r="D23" s="52"/>
    </row>
    <row r="24" spans="1:38">
      <c r="C24" s="52"/>
      <c r="D24" s="52"/>
    </row>
    <row r="26" spans="1:38">
      <c r="C26" s="144"/>
      <c r="D26" s="144"/>
    </row>
  </sheetData>
  <mergeCells count="6">
    <mergeCell ref="B18:F18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8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9"/>
  <sheetViews>
    <sheetView showGridLines="0" zoomScale="60" zoomScaleNormal="60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" style="7" customWidth="1"/>
    <col min="4" max="4" width="31.5703125" style="7" customWidth="1"/>
    <col min="5" max="5" width="7.140625" style="7" bestFit="1" customWidth="1"/>
    <col min="6" max="6" width="10" style="7" customWidth="1"/>
    <col min="7" max="7" width="14.7109375" style="7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26" width="8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36.28515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117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195</v>
      </c>
      <c r="D8" s="148" t="s">
        <v>130</v>
      </c>
      <c r="E8" s="109">
        <v>15</v>
      </c>
      <c r="F8" s="142">
        <v>195</v>
      </c>
      <c r="G8" s="117">
        <f>E8*F8</f>
        <v>2925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:N11" si="0">SUM(G8:M8)</f>
        <v>2925</v>
      </c>
      <c r="O8" s="216"/>
      <c r="P8" s="217">
        <f t="shared" ref="P8:P11" si="1">IF(F8=47.16,0,IF(F8&gt;47.16,K8*0.5,0))</f>
        <v>0</v>
      </c>
      <c r="Q8" s="217">
        <f t="shared" ref="Q8:Q11" si="2">G8+H8+I8+L8+P8+J8</f>
        <v>2925</v>
      </c>
      <c r="R8" s="217">
        <f t="shared" ref="R8:R11" si="3">VLOOKUP(Q8,Tarifa1,1)</f>
        <v>2105.21</v>
      </c>
      <c r="S8" s="217">
        <f t="shared" ref="S8:S11" si="4">Q8-R8</f>
        <v>819.79</v>
      </c>
      <c r="T8" s="218">
        <f t="shared" ref="T8:T11" si="5">VLOOKUP(Q8,Tarifa1,3)</f>
        <v>0.10879999999999999</v>
      </c>
      <c r="U8" s="217">
        <f t="shared" ref="U8:U11" si="6">S8*T8</f>
        <v>89.193151999999998</v>
      </c>
      <c r="V8" s="217">
        <f t="shared" ref="V8:V11" si="7">VLOOKUP(Q8,Tarifa1,2)</f>
        <v>123.62</v>
      </c>
      <c r="W8" s="217">
        <f t="shared" ref="W8:W11" si="8">U8+V8</f>
        <v>212.813152</v>
      </c>
      <c r="X8" s="217">
        <f t="shared" ref="X8:X11" si="9">VLOOKUP(Q8,Credito1,2)</f>
        <v>147.315</v>
      </c>
      <c r="Y8" s="217">
        <f t="shared" ref="Y8:Y11" si="10">W8-X8</f>
        <v>65.498152000000005</v>
      </c>
      <c r="Z8" s="219"/>
      <c r="AA8" s="215">
        <f t="shared" ref="AA8:AA13" si="11">-IF(Y8&gt;0,0,Y8)</f>
        <v>0</v>
      </c>
      <c r="AB8" s="215">
        <f t="shared" ref="AB8:AB11" si="12">IF(Y8&lt;0,0,Y8)</f>
        <v>65.498152000000005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:AG11" si="13">SUM(AB8:AF8)</f>
        <v>65.498152000000005</v>
      </c>
      <c r="AH8" s="215">
        <f t="shared" ref="AH8:AH11" si="14">N8+AA8-AG8</f>
        <v>2859.5018479999999</v>
      </c>
      <c r="AI8" s="111"/>
      <c r="AJ8" s="52"/>
      <c r="AK8" s="111">
        <v>41</v>
      </c>
      <c r="AL8" s="111">
        <f>AB8-AK8</f>
        <v>24.498152000000005</v>
      </c>
    </row>
    <row r="9" spans="1:38" s="140" customFormat="1" ht="30" customHeight="1">
      <c r="A9" s="7"/>
      <c r="B9" s="108">
        <v>2</v>
      </c>
      <c r="C9" s="147" t="s">
        <v>196</v>
      </c>
      <c r="D9" s="148" t="s">
        <v>480</v>
      </c>
      <c r="E9" s="109">
        <v>15</v>
      </c>
      <c r="F9" s="142">
        <v>153</v>
      </c>
      <c r="G9" s="117">
        <f>E9*F9</f>
        <v>2295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15">
        <f t="shared" si="0"/>
        <v>2295</v>
      </c>
      <c r="O9" s="216"/>
      <c r="P9" s="217">
        <f t="shared" si="1"/>
        <v>0</v>
      </c>
      <c r="Q9" s="217">
        <f t="shared" si="2"/>
        <v>2295</v>
      </c>
      <c r="R9" s="217">
        <f t="shared" si="3"/>
        <v>2105.21</v>
      </c>
      <c r="S9" s="217">
        <f t="shared" si="4"/>
        <v>189.78999999999996</v>
      </c>
      <c r="T9" s="218">
        <f t="shared" si="5"/>
        <v>0.10879999999999999</v>
      </c>
      <c r="U9" s="217">
        <f t="shared" si="6"/>
        <v>20.649151999999994</v>
      </c>
      <c r="V9" s="217">
        <f t="shared" si="7"/>
        <v>123.62</v>
      </c>
      <c r="W9" s="217">
        <f t="shared" si="8"/>
        <v>144.26915199999999</v>
      </c>
      <c r="X9" s="217">
        <f t="shared" si="9"/>
        <v>177.11500000000001</v>
      </c>
      <c r="Y9" s="217">
        <f t="shared" si="10"/>
        <v>-32.845848000000018</v>
      </c>
      <c r="Z9" s="219"/>
      <c r="AA9" s="233">
        <f>-IF(Y9&gt;0,0,Y9)</f>
        <v>32.845848000000018</v>
      </c>
      <c r="AB9" s="215">
        <f t="shared" si="12"/>
        <v>0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si="13"/>
        <v>0</v>
      </c>
      <c r="AH9" s="215">
        <f t="shared" si="14"/>
        <v>2327.8458479999999</v>
      </c>
      <c r="AI9" s="111"/>
      <c r="AJ9" s="52"/>
      <c r="AK9" s="111">
        <v>41</v>
      </c>
      <c r="AL9" s="111">
        <f>AB9-AK9</f>
        <v>-41</v>
      </c>
    </row>
    <row r="10" spans="1:38" s="140" customFormat="1" ht="30" customHeight="1">
      <c r="A10" s="7"/>
      <c r="B10" s="108">
        <v>3</v>
      </c>
      <c r="C10" s="147" t="s">
        <v>202</v>
      </c>
      <c r="D10" s="148" t="s">
        <v>221</v>
      </c>
      <c r="E10" s="109">
        <v>15</v>
      </c>
      <c r="F10" s="142">
        <v>143</v>
      </c>
      <c r="G10" s="117">
        <f>E10*F10</f>
        <v>2145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15">
        <f t="shared" si="0"/>
        <v>2145</v>
      </c>
      <c r="O10" s="216"/>
      <c r="P10" s="217">
        <f t="shared" si="1"/>
        <v>0</v>
      </c>
      <c r="Q10" s="217">
        <f t="shared" si="2"/>
        <v>2145</v>
      </c>
      <c r="R10" s="217">
        <f t="shared" si="3"/>
        <v>2105.21</v>
      </c>
      <c r="S10" s="217">
        <f t="shared" si="4"/>
        <v>39.789999999999964</v>
      </c>
      <c r="T10" s="218">
        <f t="shared" si="5"/>
        <v>0.10879999999999999</v>
      </c>
      <c r="U10" s="217">
        <f t="shared" si="6"/>
        <v>4.3291519999999961</v>
      </c>
      <c r="V10" s="217">
        <f t="shared" si="7"/>
        <v>123.62</v>
      </c>
      <c r="W10" s="217">
        <f t="shared" si="8"/>
        <v>127.949152</v>
      </c>
      <c r="X10" s="217">
        <f t="shared" si="9"/>
        <v>191.23</v>
      </c>
      <c r="Y10" s="217">
        <f t="shared" si="10"/>
        <v>-63.280847999999992</v>
      </c>
      <c r="Z10" s="219"/>
      <c r="AA10" s="233">
        <f t="shared" si="11"/>
        <v>63.280847999999992</v>
      </c>
      <c r="AB10" s="215">
        <f t="shared" si="12"/>
        <v>0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13"/>
        <v>0</v>
      </c>
      <c r="AH10" s="215">
        <f t="shared" si="14"/>
        <v>2208.2808479999999</v>
      </c>
      <c r="AI10" s="111"/>
      <c r="AJ10" s="52"/>
      <c r="AK10" s="111">
        <v>73</v>
      </c>
      <c r="AL10" s="111">
        <f>AB10-AK10</f>
        <v>-73</v>
      </c>
    </row>
    <row r="11" spans="1:38" s="140" customFormat="1" ht="30" customHeight="1">
      <c r="A11" s="7"/>
      <c r="B11" s="108">
        <v>4</v>
      </c>
      <c r="C11" s="178" t="s">
        <v>118</v>
      </c>
      <c r="D11" s="179" t="s">
        <v>221</v>
      </c>
      <c r="E11" s="182">
        <v>15</v>
      </c>
      <c r="F11" s="142">
        <v>143</v>
      </c>
      <c r="G11" s="117">
        <f>E11*F11</f>
        <v>2145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215">
        <f t="shared" si="0"/>
        <v>2145</v>
      </c>
      <c r="O11" s="216"/>
      <c r="P11" s="217">
        <f t="shared" si="1"/>
        <v>0</v>
      </c>
      <c r="Q11" s="217">
        <f t="shared" si="2"/>
        <v>2145</v>
      </c>
      <c r="R11" s="217">
        <f t="shared" si="3"/>
        <v>2105.21</v>
      </c>
      <c r="S11" s="217">
        <f t="shared" si="4"/>
        <v>39.789999999999964</v>
      </c>
      <c r="T11" s="218">
        <f t="shared" si="5"/>
        <v>0.10879999999999999</v>
      </c>
      <c r="U11" s="217">
        <f t="shared" si="6"/>
        <v>4.3291519999999961</v>
      </c>
      <c r="V11" s="217">
        <f t="shared" si="7"/>
        <v>123.62</v>
      </c>
      <c r="W11" s="217">
        <f t="shared" si="8"/>
        <v>127.949152</v>
      </c>
      <c r="X11" s="217">
        <f t="shared" si="9"/>
        <v>191.23</v>
      </c>
      <c r="Y11" s="217">
        <f t="shared" si="10"/>
        <v>-63.280847999999992</v>
      </c>
      <c r="Z11" s="219"/>
      <c r="AA11" s="233">
        <f t="shared" si="11"/>
        <v>63.280847999999992</v>
      </c>
      <c r="AB11" s="215">
        <f t="shared" si="12"/>
        <v>0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si="13"/>
        <v>0</v>
      </c>
      <c r="AH11" s="215">
        <f t="shared" si="14"/>
        <v>2208.2808479999999</v>
      </c>
      <c r="AI11" s="111"/>
      <c r="AJ11" s="52"/>
      <c r="AK11" s="111">
        <v>56</v>
      </c>
      <c r="AL11" s="111">
        <f t="shared" ref="AL11" si="15">-AK11-AA11</f>
        <v>-119.28084799999999</v>
      </c>
    </row>
    <row r="12" spans="1:38" s="140" customFormat="1" ht="30" customHeight="1">
      <c r="A12" s="7"/>
      <c r="B12" s="177">
        <v>5</v>
      </c>
      <c r="C12" s="185" t="s">
        <v>314</v>
      </c>
      <c r="D12" s="186" t="s">
        <v>315</v>
      </c>
      <c r="E12" s="187">
        <v>15</v>
      </c>
      <c r="F12" s="142">
        <v>180</v>
      </c>
      <c r="G12" s="117">
        <f t="shared" ref="G12:G13" si="16">E12*F12</f>
        <v>2700</v>
      </c>
      <c r="H12" s="110">
        <v>0</v>
      </c>
      <c r="I12" s="110">
        <f t="shared" ref="I12:I13" si="17">H12</f>
        <v>0</v>
      </c>
      <c r="J12" s="110">
        <v>0</v>
      </c>
      <c r="K12" s="110">
        <v>0</v>
      </c>
      <c r="L12" s="110">
        <v>0</v>
      </c>
      <c r="M12" s="110">
        <v>0</v>
      </c>
      <c r="N12" s="215">
        <f t="shared" ref="N12:N13" si="18">SUM(G12:M12)</f>
        <v>2700</v>
      </c>
      <c r="O12" s="216"/>
      <c r="P12" s="217">
        <f t="shared" ref="P12:P13" si="19">IF(F12=47.16,0,IF(F12&gt;47.16,K12*0.5,0))</f>
        <v>0</v>
      </c>
      <c r="Q12" s="217">
        <f t="shared" ref="Q12:Q13" si="20">G12+H12+I12+L12+P12+J12</f>
        <v>2700</v>
      </c>
      <c r="R12" s="217">
        <f t="shared" ref="R12:R13" si="21">VLOOKUP(Q12,Tarifa1,1)</f>
        <v>2105.21</v>
      </c>
      <c r="S12" s="217">
        <f t="shared" ref="S12:S13" si="22">Q12-R12</f>
        <v>594.79</v>
      </c>
      <c r="T12" s="218">
        <f t="shared" ref="T12:T13" si="23">VLOOKUP(Q12,Tarifa1,3)</f>
        <v>0.10879999999999999</v>
      </c>
      <c r="U12" s="217">
        <f t="shared" ref="U12:U13" si="24">S12*T12</f>
        <v>64.713151999999994</v>
      </c>
      <c r="V12" s="217">
        <f t="shared" ref="V12:V13" si="25">VLOOKUP(Q12,Tarifa1,2)</f>
        <v>123.62</v>
      </c>
      <c r="W12" s="217">
        <f t="shared" ref="W12:W13" si="26">U12+V12</f>
        <v>188.33315199999998</v>
      </c>
      <c r="X12" s="217">
        <f t="shared" ref="X12:X13" si="27">VLOOKUP(Q12,Credito1,2)</f>
        <v>147.315</v>
      </c>
      <c r="Y12" s="217">
        <f t="shared" ref="Y12:Y13" si="28">W12-X12</f>
        <v>41.018151999999986</v>
      </c>
      <c r="Z12" s="219"/>
      <c r="AA12" s="233">
        <f t="shared" si="11"/>
        <v>0</v>
      </c>
      <c r="AB12" s="215">
        <f t="shared" ref="AB12:AB13" si="29">IF(Y12&lt;0,0,Y12)</f>
        <v>41.018151999999986</v>
      </c>
      <c r="AC12" s="215">
        <v>0</v>
      </c>
      <c r="AD12" s="220">
        <v>0</v>
      </c>
      <c r="AE12" s="220">
        <v>0</v>
      </c>
      <c r="AF12" s="220">
        <v>0</v>
      </c>
      <c r="AG12" s="215">
        <f t="shared" ref="AG12:AG13" si="30">SUM(AB12:AF12)</f>
        <v>41.018151999999986</v>
      </c>
      <c r="AH12" s="215">
        <f t="shared" ref="AH12:AH13" si="31">N12+AA12-AG12</f>
        <v>2658.9818479999999</v>
      </c>
      <c r="AI12" s="111"/>
      <c r="AJ12" s="52"/>
      <c r="AK12" s="111">
        <v>57</v>
      </c>
      <c r="AL12" s="111">
        <f t="shared" ref="AL12:AL13" si="32">-AK12-AA12</f>
        <v>-57</v>
      </c>
    </row>
    <row r="13" spans="1:38" s="140" customFormat="1" ht="30" customHeight="1">
      <c r="A13" s="7"/>
      <c r="B13" s="177">
        <v>6</v>
      </c>
      <c r="C13" s="180" t="s">
        <v>316</v>
      </c>
      <c r="D13" s="181" t="s">
        <v>315</v>
      </c>
      <c r="E13" s="183">
        <v>15</v>
      </c>
      <c r="F13" s="142">
        <v>180</v>
      </c>
      <c r="G13" s="117">
        <f t="shared" si="16"/>
        <v>2700</v>
      </c>
      <c r="H13" s="110">
        <v>0</v>
      </c>
      <c r="I13" s="110">
        <f t="shared" si="17"/>
        <v>0</v>
      </c>
      <c r="J13" s="110">
        <v>0</v>
      </c>
      <c r="K13" s="110">
        <v>0</v>
      </c>
      <c r="L13" s="110">
        <v>0</v>
      </c>
      <c r="M13" s="110">
        <v>0</v>
      </c>
      <c r="N13" s="215">
        <f t="shared" si="18"/>
        <v>2700</v>
      </c>
      <c r="O13" s="216"/>
      <c r="P13" s="217">
        <f t="shared" si="19"/>
        <v>0</v>
      </c>
      <c r="Q13" s="217">
        <f t="shared" si="20"/>
        <v>2700</v>
      </c>
      <c r="R13" s="217">
        <f t="shared" si="21"/>
        <v>2105.21</v>
      </c>
      <c r="S13" s="217">
        <f t="shared" si="22"/>
        <v>594.79</v>
      </c>
      <c r="T13" s="218">
        <f t="shared" si="23"/>
        <v>0.10879999999999999</v>
      </c>
      <c r="U13" s="217">
        <f t="shared" si="24"/>
        <v>64.713151999999994</v>
      </c>
      <c r="V13" s="217">
        <f t="shared" si="25"/>
        <v>123.62</v>
      </c>
      <c r="W13" s="217">
        <f t="shared" si="26"/>
        <v>188.33315199999998</v>
      </c>
      <c r="X13" s="217">
        <f t="shared" si="27"/>
        <v>147.315</v>
      </c>
      <c r="Y13" s="217">
        <f t="shared" si="28"/>
        <v>41.018151999999986</v>
      </c>
      <c r="Z13" s="219"/>
      <c r="AA13" s="233">
        <f t="shared" si="11"/>
        <v>0</v>
      </c>
      <c r="AB13" s="215">
        <f t="shared" si="29"/>
        <v>41.018151999999986</v>
      </c>
      <c r="AC13" s="215">
        <v>0</v>
      </c>
      <c r="AD13" s="220">
        <v>0</v>
      </c>
      <c r="AE13" s="220">
        <v>0</v>
      </c>
      <c r="AF13" s="220">
        <v>0</v>
      </c>
      <c r="AG13" s="215">
        <f t="shared" si="30"/>
        <v>41.018151999999986</v>
      </c>
      <c r="AH13" s="215">
        <f t="shared" si="31"/>
        <v>2658.9818479999999</v>
      </c>
      <c r="AI13" s="111"/>
      <c r="AJ13" s="52"/>
      <c r="AK13" s="111">
        <v>58</v>
      </c>
      <c r="AL13" s="111">
        <f t="shared" si="32"/>
        <v>-58</v>
      </c>
    </row>
    <row r="14" spans="1:38" s="140" customFormat="1" ht="30" customHeight="1">
      <c r="A14" s="7"/>
      <c r="B14" s="108">
        <v>7</v>
      </c>
      <c r="C14" s="147" t="s">
        <v>317</v>
      </c>
      <c r="D14" s="148" t="s">
        <v>481</v>
      </c>
      <c r="E14" s="109">
        <v>15</v>
      </c>
      <c r="F14" s="142">
        <v>260</v>
      </c>
      <c r="G14" s="117">
        <f t="shared" ref="G14:G18" si="33">E14*F14</f>
        <v>3900</v>
      </c>
      <c r="H14" s="110">
        <v>0</v>
      </c>
      <c r="I14" s="110">
        <f t="shared" ref="I14:I18" si="34">H14</f>
        <v>0</v>
      </c>
      <c r="J14" s="110">
        <v>0</v>
      </c>
      <c r="K14" s="110">
        <v>0</v>
      </c>
      <c r="L14" s="110">
        <v>0</v>
      </c>
      <c r="M14" s="110">
        <v>0</v>
      </c>
      <c r="N14" s="215">
        <f t="shared" ref="N14:N18" si="35">SUM(G14:M14)</f>
        <v>3900</v>
      </c>
      <c r="O14" s="216"/>
      <c r="P14" s="217">
        <f t="shared" ref="P14:P18" si="36">IF(F14=47.16,0,IF(F14&gt;47.16,K14*0.5,0))</f>
        <v>0</v>
      </c>
      <c r="Q14" s="217">
        <f t="shared" ref="Q14:Q18" si="37">G14+H14+I14+L14+P14+J14</f>
        <v>3900</v>
      </c>
      <c r="R14" s="217">
        <f t="shared" ref="R14:R18" si="38">VLOOKUP(Q14,Tarifa1,1)</f>
        <v>3699.7150000000001</v>
      </c>
      <c r="S14" s="217">
        <f t="shared" ref="S14:S18" si="39">Q14-R14</f>
        <v>200.28499999999985</v>
      </c>
      <c r="T14" s="218">
        <f t="shared" ref="T14:T18" si="40">VLOOKUP(Q14,Tarifa1,3)</f>
        <v>0.16</v>
      </c>
      <c r="U14" s="217">
        <f t="shared" ref="U14:U18" si="41">S14*T14</f>
        <v>32.045599999999979</v>
      </c>
      <c r="V14" s="217">
        <f t="shared" ref="V14:V18" si="42">VLOOKUP(Q14,Tarifa1,2)</f>
        <v>297.10500000000002</v>
      </c>
      <c r="W14" s="217">
        <f t="shared" ref="W14:W18" si="43">U14+V14</f>
        <v>329.1506</v>
      </c>
      <c r="X14" s="217">
        <f t="shared" ref="X14:X18" si="44">VLOOKUP(Q14,Credito1,2)</f>
        <v>0</v>
      </c>
      <c r="Y14" s="217">
        <f t="shared" ref="Y14:Y18" si="45">W14-X14</f>
        <v>329.1506</v>
      </c>
      <c r="Z14" s="219"/>
      <c r="AA14" s="233">
        <f t="shared" ref="AA14:AA18" si="46">-IF(Y14&gt;0,0,Y14)</f>
        <v>0</v>
      </c>
      <c r="AB14" s="215">
        <f t="shared" ref="AB14:AB18" si="47">IF(Y14&lt;0,0,Y14)</f>
        <v>329.1506</v>
      </c>
      <c r="AC14" s="215">
        <v>0</v>
      </c>
      <c r="AD14" s="220">
        <v>0</v>
      </c>
      <c r="AE14" s="220">
        <v>0</v>
      </c>
      <c r="AF14" s="220">
        <v>0</v>
      </c>
      <c r="AG14" s="215">
        <f t="shared" ref="AG14:AG18" si="48">SUM(AB14:AF14)</f>
        <v>329.1506</v>
      </c>
      <c r="AH14" s="215">
        <f t="shared" ref="AH14:AH18" si="49">N14+AA14-AG14</f>
        <v>3570.8494000000001</v>
      </c>
      <c r="AI14" s="111"/>
      <c r="AJ14" s="52"/>
      <c r="AK14" s="111">
        <v>59</v>
      </c>
      <c r="AL14" s="111">
        <f t="shared" ref="AL14" si="50">-AK14-AA14</f>
        <v>-59</v>
      </c>
    </row>
    <row r="15" spans="1:38" s="140" customFormat="1" ht="30" customHeight="1">
      <c r="A15" s="7"/>
      <c r="B15" s="108">
        <v>8</v>
      </c>
      <c r="C15" s="147" t="s">
        <v>357</v>
      </c>
      <c r="D15" s="148" t="s">
        <v>221</v>
      </c>
      <c r="E15" s="109">
        <v>15</v>
      </c>
      <c r="F15" s="142">
        <v>143</v>
      </c>
      <c r="G15" s="117">
        <f t="shared" si="33"/>
        <v>2145</v>
      </c>
      <c r="H15" s="110">
        <v>0</v>
      </c>
      <c r="I15" s="110">
        <f t="shared" si="34"/>
        <v>0</v>
      </c>
      <c r="J15" s="110">
        <v>0</v>
      </c>
      <c r="K15" s="110">
        <v>0</v>
      </c>
      <c r="L15" s="110">
        <v>0</v>
      </c>
      <c r="M15" s="110">
        <v>0</v>
      </c>
      <c r="N15" s="215">
        <f t="shared" si="35"/>
        <v>2145</v>
      </c>
      <c r="O15" s="216"/>
      <c r="P15" s="217">
        <f t="shared" si="36"/>
        <v>0</v>
      </c>
      <c r="Q15" s="217">
        <f t="shared" si="37"/>
        <v>2145</v>
      </c>
      <c r="R15" s="217">
        <f t="shared" si="38"/>
        <v>2105.21</v>
      </c>
      <c r="S15" s="217">
        <f t="shared" si="39"/>
        <v>39.789999999999964</v>
      </c>
      <c r="T15" s="218">
        <f t="shared" si="40"/>
        <v>0.10879999999999999</v>
      </c>
      <c r="U15" s="217">
        <f t="shared" si="41"/>
        <v>4.3291519999999961</v>
      </c>
      <c r="V15" s="217">
        <f t="shared" si="42"/>
        <v>123.62</v>
      </c>
      <c r="W15" s="217">
        <f t="shared" si="43"/>
        <v>127.949152</v>
      </c>
      <c r="X15" s="217">
        <f t="shared" si="44"/>
        <v>191.23</v>
      </c>
      <c r="Y15" s="217">
        <f t="shared" si="45"/>
        <v>-63.280847999999992</v>
      </c>
      <c r="Z15" s="219"/>
      <c r="AA15" s="233">
        <f t="shared" si="46"/>
        <v>63.280847999999992</v>
      </c>
      <c r="AB15" s="215">
        <f t="shared" si="47"/>
        <v>0</v>
      </c>
      <c r="AC15" s="215">
        <v>0</v>
      </c>
      <c r="AD15" s="220">
        <v>0</v>
      </c>
      <c r="AE15" s="220">
        <v>0</v>
      </c>
      <c r="AF15" s="220">
        <v>0</v>
      </c>
      <c r="AG15" s="215">
        <f t="shared" si="48"/>
        <v>0</v>
      </c>
      <c r="AH15" s="215">
        <f t="shared" si="49"/>
        <v>2208.2808479999999</v>
      </c>
      <c r="AI15" s="111"/>
      <c r="AJ15" s="52"/>
      <c r="AK15" s="111"/>
      <c r="AL15" s="111"/>
    </row>
    <row r="16" spans="1:38" s="140" customFormat="1" ht="30" customHeight="1">
      <c r="A16" s="7"/>
      <c r="B16" s="108">
        <v>9</v>
      </c>
      <c r="C16" s="147" t="s">
        <v>358</v>
      </c>
      <c r="D16" s="148" t="s">
        <v>315</v>
      </c>
      <c r="E16" s="109">
        <v>15</v>
      </c>
      <c r="F16" s="142">
        <v>180</v>
      </c>
      <c r="G16" s="117">
        <f t="shared" si="33"/>
        <v>2700</v>
      </c>
      <c r="H16" s="110">
        <v>0</v>
      </c>
      <c r="I16" s="110">
        <f t="shared" si="34"/>
        <v>0</v>
      </c>
      <c r="J16" s="110">
        <v>0</v>
      </c>
      <c r="K16" s="110">
        <v>0</v>
      </c>
      <c r="L16" s="110">
        <v>0</v>
      </c>
      <c r="M16" s="110">
        <v>0</v>
      </c>
      <c r="N16" s="215">
        <f t="shared" si="35"/>
        <v>2700</v>
      </c>
      <c r="O16" s="216"/>
      <c r="P16" s="217">
        <f t="shared" si="36"/>
        <v>0</v>
      </c>
      <c r="Q16" s="217">
        <f t="shared" si="37"/>
        <v>2700</v>
      </c>
      <c r="R16" s="217">
        <f t="shared" si="38"/>
        <v>2105.21</v>
      </c>
      <c r="S16" s="217">
        <f t="shared" si="39"/>
        <v>594.79</v>
      </c>
      <c r="T16" s="218">
        <f t="shared" si="40"/>
        <v>0.10879999999999999</v>
      </c>
      <c r="U16" s="217">
        <f t="shared" si="41"/>
        <v>64.713151999999994</v>
      </c>
      <c r="V16" s="217">
        <f t="shared" si="42"/>
        <v>123.62</v>
      </c>
      <c r="W16" s="217">
        <f t="shared" si="43"/>
        <v>188.33315199999998</v>
      </c>
      <c r="X16" s="217">
        <f t="shared" si="44"/>
        <v>147.315</v>
      </c>
      <c r="Y16" s="217">
        <f t="shared" si="45"/>
        <v>41.018151999999986</v>
      </c>
      <c r="Z16" s="219"/>
      <c r="AA16" s="233">
        <f t="shared" si="46"/>
        <v>0</v>
      </c>
      <c r="AB16" s="215">
        <f t="shared" si="47"/>
        <v>41.018151999999986</v>
      </c>
      <c r="AC16" s="215">
        <v>0</v>
      </c>
      <c r="AD16" s="220">
        <v>0</v>
      </c>
      <c r="AE16" s="220">
        <v>0</v>
      </c>
      <c r="AF16" s="220">
        <v>0</v>
      </c>
      <c r="AG16" s="215">
        <f t="shared" si="48"/>
        <v>41.018151999999986</v>
      </c>
      <c r="AH16" s="215">
        <f t="shared" si="49"/>
        <v>2658.9818479999999</v>
      </c>
      <c r="AI16" s="111"/>
      <c r="AJ16" s="52"/>
      <c r="AK16" s="111"/>
      <c r="AL16" s="111"/>
    </row>
    <row r="17" spans="1:38" s="140" customFormat="1" ht="30" customHeight="1">
      <c r="A17" s="7"/>
      <c r="B17" s="108">
        <v>10</v>
      </c>
      <c r="C17" s="397" t="s">
        <v>359</v>
      </c>
      <c r="D17" s="398" t="s">
        <v>197</v>
      </c>
      <c r="E17" s="399">
        <v>15</v>
      </c>
      <c r="F17" s="400">
        <v>131</v>
      </c>
      <c r="G17" s="405">
        <f t="shared" si="33"/>
        <v>1965</v>
      </c>
      <c r="H17" s="406">
        <v>0</v>
      </c>
      <c r="I17" s="406">
        <f t="shared" si="34"/>
        <v>0</v>
      </c>
      <c r="J17" s="406">
        <v>0</v>
      </c>
      <c r="K17" s="406">
        <v>0</v>
      </c>
      <c r="L17" s="406">
        <v>0</v>
      </c>
      <c r="M17" s="406">
        <v>0</v>
      </c>
      <c r="N17" s="401">
        <f t="shared" si="35"/>
        <v>1965</v>
      </c>
      <c r="O17" s="403"/>
      <c r="P17" s="401">
        <f t="shared" si="36"/>
        <v>0</v>
      </c>
      <c r="Q17" s="401">
        <f t="shared" si="37"/>
        <v>1965</v>
      </c>
      <c r="R17" s="401">
        <f t="shared" si="38"/>
        <v>248.04</v>
      </c>
      <c r="S17" s="401">
        <f t="shared" si="39"/>
        <v>1716.96</v>
      </c>
      <c r="T17" s="404">
        <f t="shared" si="40"/>
        <v>6.4000000000000001E-2</v>
      </c>
      <c r="U17" s="401">
        <f t="shared" si="41"/>
        <v>109.88544</v>
      </c>
      <c r="V17" s="401">
        <f t="shared" si="42"/>
        <v>4.76</v>
      </c>
      <c r="W17" s="401">
        <f t="shared" si="43"/>
        <v>114.64544000000001</v>
      </c>
      <c r="X17" s="401">
        <f t="shared" si="44"/>
        <v>191.23</v>
      </c>
      <c r="Y17" s="401">
        <f t="shared" si="45"/>
        <v>-76.584559999999982</v>
      </c>
      <c r="Z17" s="403"/>
      <c r="AA17" s="407">
        <f t="shared" si="46"/>
        <v>76.584559999999982</v>
      </c>
      <c r="AB17" s="401">
        <f t="shared" si="47"/>
        <v>0</v>
      </c>
      <c r="AC17" s="401">
        <v>0</v>
      </c>
      <c r="AD17" s="402">
        <v>0</v>
      </c>
      <c r="AE17" s="402">
        <v>0</v>
      </c>
      <c r="AF17" s="402">
        <v>0</v>
      </c>
      <c r="AG17" s="401">
        <f t="shared" si="48"/>
        <v>0</v>
      </c>
      <c r="AH17" s="401">
        <f t="shared" si="49"/>
        <v>2041.58456</v>
      </c>
      <c r="AI17" s="111"/>
      <c r="AJ17" s="52"/>
      <c r="AK17" s="111"/>
      <c r="AL17" s="111"/>
    </row>
    <row r="18" spans="1:38" s="140" customFormat="1" ht="30" customHeight="1">
      <c r="A18" s="7"/>
      <c r="B18" s="108">
        <v>11</v>
      </c>
      <c r="C18" s="147" t="s">
        <v>360</v>
      </c>
      <c r="D18" s="148" t="s">
        <v>221</v>
      </c>
      <c r="E18" s="109">
        <v>15</v>
      </c>
      <c r="F18" s="142">
        <v>143</v>
      </c>
      <c r="G18" s="117">
        <f t="shared" si="33"/>
        <v>2145</v>
      </c>
      <c r="H18" s="110">
        <v>0</v>
      </c>
      <c r="I18" s="110">
        <f t="shared" si="34"/>
        <v>0</v>
      </c>
      <c r="J18" s="110">
        <v>0</v>
      </c>
      <c r="K18" s="110">
        <v>0</v>
      </c>
      <c r="L18" s="110">
        <v>0</v>
      </c>
      <c r="M18" s="110">
        <v>0</v>
      </c>
      <c r="N18" s="215">
        <f t="shared" si="35"/>
        <v>2145</v>
      </c>
      <c r="O18" s="216"/>
      <c r="P18" s="217">
        <f t="shared" si="36"/>
        <v>0</v>
      </c>
      <c r="Q18" s="217">
        <f t="shared" si="37"/>
        <v>2145</v>
      </c>
      <c r="R18" s="217">
        <f t="shared" si="38"/>
        <v>2105.21</v>
      </c>
      <c r="S18" s="217">
        <f t="shared" si="39"/>
        <v>39.789999999999964</v>
      </c>
      <c r="T18" s="218">
        <f t="shared" si="40"/>
        <v>0.10879999999999999</v>
      </c>
      <c r="U18" s="217">
        <f t="shared" si="41"/>
        <v>4.3291519999999961</v>
      </c>
      <c r="V18" s="217">
        <f t="shared" si="42"/>
        <v>123.62</v>
      </c>
      <c r="W18" s="217">
        <f t="shared" si="43"/>
        <v>127.949152</v>
      </c>
      <c r="X18" s="217">
        <f t="shared" si="44"/>
        <v>191.23</v>
      </c>
      <c r="Y18" s="217">
        <f t="shared" si="45"/>
        <v>-63.280847999999992</v>
      </c>
      <c r="Z18" s="219"/>
      <c r="AA18" s="233">
        <f t="shared" si="46"/>
        <v>63.280847999999992</v>
      </c>
      <c r="AB18" s="215">
        <f t="shared" si="47"/>
        <v>0</v>
      </c>
      <c r="AC18" s="215">
        <v>0</v>
      </c>
      <c r="AD18" s="220">
        <v>0</v>
      </c>
      <c r="AE18" s="220">
        <v>0</v>
      </c>
      <c r="AF18" s="220">
        <v>0</v>
      </c>
      <c r="AG18" s="215">
        <f t="shared" si="48"/>
        <v>0</v>
      </c>
      <c r="AH18" s="215">
        <f t="shared" si="49"/>
        <v>2208.2808479999999</v>
      </c>
      <c r="AI18" s="111"/>
      <c r="AJ18" s="52"/>
      <c r="AK18" s="111"/>
      <c r="AL18" s="111"/>
    </row>
    <row r="19" spans="1:38" s="140" customFormat="1">
      <c r="A19" s="7"/>
      <c r="B19" s="100"/>
      <c r="C19" s="115"/>
      <c r="D19" s="115"/>
      <c r="E19" s="100"/>
      <c r="F19" s="101"/>
      <c r="G19" s="118"/>
      <c r="H19" s="102"/>
      <c r="I19" s="102"/>
      <c r="J19" s="102"/>
      <c r="K19" s="102"/>
      <c r="L19" s="102"/>
      <c r="M19" s="102"/>
      <c r="N19" s="221"/>
      <c r="O19" s="222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221"/>
      <c r="AB19" s="221"/>
      <c r="AC19" s="221"/>
      <c r="AD19" s="221"/>
      <c r="AE19" s="221"/>
      <c r="AF19" s="221"/>
      <c r="AG19" s="221"/>
      <c r="AH19" s="226"/>
      <c r="AI19" s="105"/>
      <c r="AJ19" s="7"/>
      <c r="AK19" s="105"/>
      <c r="AL19" s="105"/>
    </row>
    <row r="20" spans="1:38" s="140" customFormat="1">
      <c r="A20" s="7"/>
      <c r="B20" s="93"/>
      <c r="C20" s="93"/>
      <c r="D20" s="93"/>
      <c r="E20" s="92"/>
      <c r="F20" s="93"/>
      <c r="G20" s="95"/>
      <c r="H20" s="95"/>
      <c r="I20" s="95"/>
      <c r="J20" s="95"/>
      <c r="K20" s="95"/>
      <c r="L20" s="95"/>
      <c r="M20" s="95"/>
      <c r="N20" s="227"/>
      <c r="O20" s="228"/>
      <c r="P20" s="229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98"/>
      <c r="AJ20" s="7"/>
      <c r="AK20" s="98"/>
      <c r="AL20" s="98"/>
    </row>
    <row r="21" spans="1:38" s="140" customFormat="1" ht="15.75" thickBot="1">
      <c r="A21" s="7"/>
      <c r="B21" s="634" t="s">
        <v>71</v>
      </c>
      <c r="C21" s="635"/>
      <c r="D21" s="635"/>
      <c r="E21" s="635"/>
      <c r="F21" s="636"/>
      <c r="G21" s="114">
        <f t="shared" ref="G21:N21" si="51">SUM(G8:G20)</f>
        <v>27765</v>
      </c>
      <c r="H21" s="114">
        <f t="shared" si="51"/>
        <v>0</v>
      </c>
      <c r="I21" s="114">
        <f t="shared" si="51"/>
        <v>0</v>
      </c>
      <c r="J21" s="114">
        <f t="shared" si="51"/>
        <v>0</v>
      </c>
      <c r="K21" s="114">
        <f t="shared" si="51"/>
        <v>0</v>
      </c>
      <c r="L21" s="114">
        <f t="shared" si="51"/>
        <v>0</v>
      </c>
      <c r="M21" s="114">
        <f t="shared" si="51"/>
        <v>0</v>
      </c>
      <c r="N21" s="188">
        <f t="shared" si="51"/>
        <v>27765</v>
      </c>
      <c r="O21" s="189"/>
      <c r="P21" s="190">
        <f t="shared" ref="P21:Y21" si="52">SUM(P8:P20)</f>
        <v>0</v>
      </c>
      <c r="Q21" s="190">
        <f t="shared" si="52"/>
        <v>27765</v>
      </c>
      <c r="R21" s="190">
        <f t="shared" si="52"/>
        <v>22894.644999999997</v>
      </c>
      <c r="S21" s="190">
        <f t="shared" si="52"/>
        <v>4870.3549999999996</v>
      </c>
      <c r="T21" s="190">
        <f t="shared" si="52"/>
        <v>1.2032</v>
      </c>
      <c r="U21" s="190">
        <f t="shared" si="52"/>
        <v>463.22940799999998</v>
      </c>
      <c r="V21" s="190">
        <f t="shared" si="52"/>
        <v>1414.4450000000002</v>
      </c>
      <c r="W21" s="190">
        <f t="shared" si="52"/>
        <v>1877.6744079999996</v>
      </c>
      <c r="X21" s="190">
        <f t="shared" si="52"/>
        <v>1722.5250000000001</v>
      </c>
      <c r="Y21" s="190">
        <f t="shared" si="52"/>
        <v>155.14940800000002</v>
      </c>
      <c r="Z21" s="189"/>
      <c r="AA21" s="188">
        <v>274.14999999999998</v>
      </c>
      <c r="AB21" s="188">
        <f t="shared" ref="AB21:AH21" si="53">SUM(AB8:AB20)</f>
        <v>517.7032079999999</v>
      </c>
      <c r="AC21" s="188">
        <f t="shared" si="53"/>
        <v>0</v>
      </c>
      <c r="AD21" s="188">
        <f t="shared" si="53"/>
        <v>0</v>
      </c>
      <c r="AE21" s="188">
        <f t="shared" si="53"/>
        <v>0</v>
      </c>
      <c r="AF21" s="188">
        <f t="shared" si="53"/>
        <v>0</v>
      </c>
      <c r="AG21" s="188">
        <f t="shared" si="53"/>
        <v>517.7032079999999</v>
      </c>
      <c r="AH21" s="188">
        <f t="shared" si="53"/>
        <v>27609.850591999995</v>
      </c>
      <c r="AI21" s="114"/>
      <c r="AJ21" s="7"/>
      <c r="AK21" s="114">
        <f t="shared" ref="AK21:AL21" si="54">SUM(AK8:AK20)</f>
        <v>385</v>
      </c>
      <c r="AL21" s="114">
        <f t="shared" si="54"/>
        <v>-382.78269599999999</v>
      </c>
    </row>
    <row r="22" spans="1:38" s="140" customFormat="1" ht="13.5" thickTop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231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5" spans="1:38">
      <c r="C25" s="52"/>
      <c r="D25" s="52"/>
    </row>
    <row r="26" spans="1:38">
      <c r="C26" s="52"/>
      <c r="D26" s="52"/>
    </row>
    <row r="27" spans="1:38">
      <c r="C27" s="52"/>
      <c r="D27" s="52"/>
    </row>
    <row r="29" spans="1:38">
      <c r="C29" s="144"/>
      <c r="D29" s="144"/>
    </row>
  </sheetData>
  <mergeCells count="6">
    <mergeCell ref="B21:F21"/>
    <mergeCell ref="B2:AH2"/>
    <mergeCell ref="B3:AH3"/>
    <mergeCell ref="G4:N4"/>
    <mergeCell ref="R4:W4"/>
    <mergeCell ref="AB4:AG4"/>
  </mergeCells>
  <pageMargins left="0" right="0" top="0.55118110236220474" bottom="0" header="0.31496062992125984" footer="0.31496062992125984"/>
  <pageSetup paperSize="5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0"/>
  <sheetViews>
    <sheetView showGridLines="0" zoomScale="64" zoomScaleNormal="64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5703125" style="7" bestFit="1" customWidth="1"/>
    <col min="13" max="13" width="9.2851562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9.140625" style="7" bestFit="1" customWidth="1"/>
    <col min="29" max="29" width="11.28515625" style="7" hidden="1" customWidth="1"/>
    <col min="30" max="31" width="10.42578125" style="7" hidden="1" customWidth="1"/>
    <col min="32" max="32" width="11.7109375" style="7" bestFit="1" customWidth="1"/>
    <col min="33" max="33" width="11.140625" style="7" customWidth="1"/>
    <col min="34" max="34" width="13.42578125" style="7" customWidth="1"/>
    <col min="35" max="35" width="37.5703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119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198</v>
      </c>
      <c r="D8" s="148" t="s">
        <v>120</v>
      </c>
      <c r="E8" s="109">
        <v>15</v>
      </c>
      <c r="F8" s="142">
        <v>206</v>
      </c>
      <c r="G8" s="117">
        <f t="shared" ref="G8:G10" si="0">E8*F8</f>
        <v>3090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3090</v>
      </c>
      <c r="O8" s="134"/>
      <c r="P8" s="112">
        <f t="shared" ref="P8:P10" si="2">IF(F8=47.16,0,IF(F8&gt;47.16,K8*0.5,0))</f>
        <v>0</v>
      </c>
      <c r="Q8" s="112">
        <f t="shared" ref="Q8:Q10" si="3">G8+H8+I8+L8+P8+J8</f>
        <v>3090</v>
      </c>
      <c r="R8" s="112">
        <f t="shared" ref="R8:R10" si="4">VLOOKUP(Q8,Tarifa1,1)</f>
        <v>2105.21</v>
      </c>
      <c r="S8" s="112">
        <f t="shared" ref="S8:S10" si="5">Q8-R8</f>
        <v>984.79</v>
      </c>
      <c r="T8" s="113">
        <f t="shared" ref="T8:T10" si="6">VLOOKUP(Q8,Tarifa1,3)</f>
        <v>0.10879999999999999</v>
      </c>
      <c r="U8" s="112">
        <f t="shared" ref="U8:U10" si="7">S8*T8</f>
        <v>107.145152</v>
      </c>
      <c r="V8" s="112">
        <f t="shared" ref="V8:V10" si="8">VLOOKUP(Q8,Tarifa1,2)</f>
        <v>123.62</v>
      </c>
      <c r="W8" s="112">
        <f t="shared" ref="W8:W10" si="9">U8+V8</f>
        <v>230.765152</v>
      </c>
      <c r="X8" s="112">
        <f t="shared" ref="X8:X10" si="10">VLOOKUP(Q8,Credito1,2)</f>
        <v>147.315</v>
      </c>
      <c r="Y8" s="112">
        <f t="shared" ref="Y8:Y10" si="11">W8-X8</f>
        <v>83.450152000000003</v>
      </c>
      <c r="Z8" s="131"/>
      <c r="AA8" s="111">
        <f t="shared" ref="AA8:AA10" si="12">-IF(Y8&gt;0,0,Y8)</f>
        <v>0</v>
      </c>
      <c r="AB8" s="111">
        <f t="shared" ref="AB8:AB10" si="13">IF(Y8&lt;0,0,Y8)</f>
        <v>83.450152000000003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:AG10" si="14">SUM(AB8:AF8)</f>
        <v>83.450152000000003</v>
      </c>
      <c r="AH8" s="111">
        <f t="shared" ref="AH8:AH10" si="15">N8+AA8-AG8</f>
        <v>3006.5498480000001</v>
      </c>
      <c r="AI8" s="111"/>
      <c r="AJ8" s="52"/>
      <c r="AK8" s="111">
        <v>73</v>
      </c>
      <c r="AL8" s="111">
        <f>AB8-AK8</f>
        <v>10.450152000000003</v>
      </c>
    </row>
    <row r="9" spans="1:38" s="140" customFormat="1" ht="30" customHeight="1">
      <c r="A9" s="7"/>
      <c r="B9" s="108">
        <v>2</v>
      </c>
      <c r="C9" s="147" t="s">
        <v>199</v>
      </c>
      <c r="D9" s="148" t="s">
        <v>482</v>
      </c>
      <c r="E9" s="109">
        <v>15</v>
      </c>
      <c r="F9" s="142">
        <v>167</v>
      </c>
      <c r="G9" s="117">
        <f t="shared" si="0"/>
        <v>2505</v>
      </c>
      <c r="H9" s="110">
        <v>0</v>
      </c>
      <c r="I9" s="110">
        <f t="shared" ref="I9:I18" si="16"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2505</v>
      </c>
      <c r="O9" s="134"/>
      <c r="P9" s="112">
        <f t="shared" si="2"/>
        <v>0</v>
      </c>
      <c r="Q9" s="112">
        <f t="shared" si="3"/>
        <v>2505</v>
      </c>
      <c r="R9" s="112">
        <f t="shared" si="4"/>
        <v>2105.21</v>
      </c>
      <c r="S9" s="112">
        <f t="shared" si="5"/>
        <v>399.78999999999996</v>
      </c>
      <c r="T9" s="113">
        <f t="shared" si="6"/>
        <v>0.10879999999999999</v>
      </c>
      <c r="U9" s="112">
        <f t="shared" si="7"/>
        <v>43.497151999999993</v>
      </c>
      <c r="V9" s="112">
        <f t="shared" si="8"/>
        <v>123.62</v>
      </c>
      <c r="W9" s="112">
        <f t="shared" si="9"/>
        <v>167.117152</v>
      </c>
      <c r="X9" s="112">
        <f t="shared" si="10"/>
        <v>162.435</v>
      </c>
      <c r="Y9" s="112">
        <f t="shared" si="11"/>
        <v>4.6821520000000021</v>
      </c>
      <c r="Z9" s="131"/>
      <c r="AA9" s="111">
        <f t="shared" si="12"/>
        <v>0</v>
      </c>
      <c r="AB9" s="111">
        <f t="shared" si="13"/>
        <v>4.6821520000000021</v>
      </c>
      <c r="AC9" s="111">
        <v>0</v>
      </c>
      <c r="AD9" s="110">
        <v>0</v>
      </c>
      <c r="AE9" s="110">
        <v>0</v>
      </c>
      <c r="AF9" s="139">
        <v>0</v>
      </c>
      <c r="AG9" s="111">
        <f t="shared" si="14"/>
        <v>4.6821520000000021</v>
      </c>
      <c r="AH9" s="111">
        <f t="shared" si="15"/>
        <v>2500.3178480000001</v>
      </c>
      <c r="AI9" s="111"/>
      <c r="AJ9" s="52"/>
      <c r="AK9" s="111">
        <v>-7</v>
      </c>
      <c r="AL9" s="111">
        <f t="shared" ref="AL9:AL10" si="17">-AK9-AA9</f>
        <v>7</v>
      </c>
    </row>
    <row r="10" spans="1:38" s="140" customFormat="1" ht="30" customHeight="1">
      <c r="A10" s="7"/>
      <c r="B10" s="108">
        <v>3</v>
      </c>
      <c r="C10" s="147" t="s">
        <v>200</v>
      </c>
      <c r="D10" s="148" t="s">
        <v>201</v>
      </c>
      <c r="E10" s="109">
        <v>15</v>
      </c>
      <c r="F10" s="142">
        <v>131</v>
      </c>
      <c r="G10" s="117">
        <f t="shared" si="0"/>
        <v>1965</v>
      </c>
      <c r="H10" s="110">
        <v>0</v>
      </c>
      <c r="I10" s="110">
        <f t="shared" si="16"/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1965</v>
      </c>
      <c r="O10" s="134"/>
      <c r="P10" s="112">
        <f t="shared" si="2"/>
        <v>0</v>
      </c>
      <c r="Q10" s="112">
        <f t="shared" si="3"/>
        <v>1965</v>
      </c>
      <c r="R10" s="112">
        <f t="shared" si="4"/>
        <v>248.04</v>
      </c>
      <c r="S10" s="112">
        <f t="shared" si="5"/>
        <v>1716.96</v>
      </c>
      <c r="T10" s="113">
        <f t="shared" si="6"/>
        <v>6.4000000000000001E-2</v>
      </c>
      <c r="U10" s="112">
        <f t="shared" si="7"/>
        <v>109.88544</v>
      </c>
      <c r="V10" s="112">
        <f t="shared" si="8"/>
        <v>4.76</v>
      </c>
      <c r="W10" s="112">
        <f t="shared" si="9"/>
        <v>114.64544000000001</v>
      </c>
      <c r="X10" s="112">
        <f t="shared" si="10"/>
        <v>191.23</v>
      </c>
      <c r="Y10" s="112">
        <f t="shared" si="11"/>
        <v>-76.584559999999982</v>
      </c>
      <c r="Z10" s="131"/>
      <c r="AA10" s="111">
        <f t="shared" si="12"/>
        <v>76.584559999999982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si="14"/>
        <v>0</v>
      </c>
      <c r="AH10" s="111">
        <f t="shared" si="15"/>
        <v>2041.58456</v>
      </c>
      <c r="AI10" s="111"/>
      <c r="AJ10" s="52"/>
      <c r="AK10" s="111">
        <v>56</v>
      </c>
      <c r="AL10" s="111">
        <f t="shared" si="17"/>
        <v>-132.58455999999998</v>
      </c>
    </row>
    <row r="11" spans="1:38" s="140" customFormat="1" ht="30" hidden="1" customHeight="1">
      <c r="A11" s="7"/>
      <c r="B11" s="276">
        <v>4</v>
      </c>
      <c r="C11" s="263"/>
      <c r="D11" s="268"/>
      <c r="E11" s="264"/>
      <c r="F11" s="265"/>
      <c r="G11" s="266"/>
      <c r="H11" s="267"/>
      <c r="I11" s="267"/>
      <c r="J11" s="267"/>
      <c r="K11" s="267"/>
      <c r="L11" s="267"/>
      <c r="M11" s="267"/>
      <c r="N11" s="266"/>
      <c r="O11" s="273"/>
      <c r="P11" s="266"/>
      <c r="Q11" s="266"/>
      <c r="R11" s="266"/>
      <c r="S11" s="266"/>
      <c r="T11" s="274"/>
      <c r="U11" s="266"/>
      <c r="V11" s="266"/>
      <c r="W11" s="266"/>
      <c r="X11" s="266"/>
      <c r="Y11" s="266"/>
      <c r="Z11" s="269"/>
      <c r="AA11" s="266"/>
      <c r="AB11" s="266"/>
      <c r="AC11" s="266"/>
      <c r="AD11" s="267"/>
      <c r="AE11" s="267"/>
      <c r="AF11" s="275"/>
      <c r="AG11" s="266"/>
      <c r="AH11" s="266"/>
      <c r="AI11" s="111"/>
      <c r="AJ11" s="52"/>
      <c r="AK11" s="111"/>
      <c r="AL11" s="111"/>
    </row>
    <row r="12" spans="1:38" s="140" customFormat="1" ht="30" customHeight="1">
      <c r="A12" s="7"/>
      <c r="B12" s="440">
        <v>4</v>
      </c>
      <c r="C12" s="397" t="s">
        <v>361</v>
      </c>
      <c r="D12" s="398" t="s">
        <v>431</v>
      </c>
      <c r="E12" s="399">
        <v>15</v>
      </c>
      <c r="F12" s="400">
        <v>131</v>
      </c>
      <c r="G12" s="405">
        <f t="shared" ref="G12:G13" si="18">E12*F12</f>
        <v>1965</v>
      </c>
      <c r="H12" s="406">
        <v>0</v>
      </c>
      <c r="I12" s="406">
        <f t="shared" ref="I12:I13" si="19">H12</f>
        <v>0</v>
      </c>
      <c r="J12" s="406">
        <v>0</v>
      </c>
      <c r="K12" s="406">
        <v>0</v>
      </c>
      <c r="L12" s="406">
        <v>0</v>
      </c>
      <c r="M12" s="406">
        <v>0</v>
      </c>
      <c r="N12" s="405">
        <f t="shared" ref="N12:N13" si="20">SUM(G12:M12)</f>
        <v>1965</v>
      </c>
      <c r="O12" s="413"/>
      <c r="P12" s="405">
        <f t="shared" ref="P12:P13" si="21">IF(F12=47.16,0,IF(F12&gt;47.16,K12*0.5,0))</f>
        <v>0</v>
      </c>
      <c r="Q12" s="405">
        <f t="shared" ref="Q12:Q13" si="22">G12+H12+I12+L12+P12+J12</f>
        <v>1965</v>
      </c>
      <c r="R12" s="405">
        <f t="shared" ref="R12:R13" si="23">VLOOKUP(Q12,Tarifa1,1)</f>
        <v>248.04</v>
      </c>
      <c r="S12" s="405">
        <f t="shared" ref="S12:S13" si="24">Q12-R12</f>
        <v>1716.96</v>
      </c>
      <c r="T12" s="414">
        <f t="shared" ref="T12:T13" si="25">VLOOKUP(Q12,Tarifa1,3)</f>
        <v>6.4000000000000001E-2</v>
      </c>
      <c r="U12" s="405">
        <f t="shared" ref="U12:U13" si="26">S12*T12</f>
        <v>109.88544</v>
      </c>
      <c r="V12" s="405">
        <f t="shared" ref="V12:V13" si="27">VLOOKUP(Q12,Tarifa1,2)</f>
        <v>4.76</v>
      </c>
      <c r="W12" s="405">
        <f t="shared" ref="W12:W13" si="28">U12+V12</f>
        <v>114.64544000000001</v>
      </c>
      <c r="X12" s="405">
        <f t="shared" ref="X12:X13" si="29">VLOOKUP(Q12,Credito1,2)</f>
        <v>191.23</v>
      </c>
      <c r="Y12" s="405">
        <f t="shared" ref="Y12:Y13" si="30">W12-X12</f>
        <v>-76.584559999999982</v>
      </c>
      <c r="Z12" s="410"/>
      <c r="AA12" s="405">
        <f t="shared" ref="AA12:AA13" si="31">-IF(Y12&gt;0,0,Y12)</f>
        <v>76.584559999999982</v>
      </c>
      <c r="AB12" s="405">
        <f t="shared" ref="AB12:AB13" si="32">IF(Y12&lt;0,0,Y12)</f>
        <v>0</v>
      </c>
      <c r="AC12" s="405">
        <v>0</v>
      </c>
      <c r="AD12" s="406">
        <v>0</v>
      </c>
      <c r="AE12" s="406">
        <v>0</v>
      </c>
      <c r="AF12" s="415">
        <v>0</v>
      </c>
      <c r="AG12" s="405">
        <f t="shared" ref="AG12:AG13" si="33">SUM(AB12:AF12)</f>
        <v>0</v>
      </c>
      <c r="AH12" s="405">
        <f t="shared" ref="AH12:AH13" si="34">N12+AA12-AG12</f>
        <v>2041.58456</v>
      </c>
      <c r="AI12" s="111"/>
      <c r="AJ12" s="52"/>
      <c r="AK12" s="111"/>
      <c r="AL12" s="111"/>
    </row>
    <row r="13" spans="1:38" s="140" customFormat="1" ht="30" customHeight="1">
      <c r="A13" s="7"/>
      <c r="B13" s="440">
        <v>5</v>
      </c>
      <c r="C13" s="397" t="s">
        <v>362</v>
      </c>
      <c r="D13" s="398" t="s">
        <v>431</v>
      </c>
      <c r="E13" s="399">
        <v>15</v>
      </c>
      <c r="F13" s="400">
        <v>131</v>
      </c>
      <c r="G13" s="405">
        <f t="shared" si="18"/>
        <v>1965</v>
      </c>
      <c r="H13" s="406">
        <v>0</v>
      </c>
      <c r="I13" s="406">
        <f t="shared" si="19"/>
        <v>0</v>
      </c>
      <c r="J13" s="406">
        <v>0</v>
      </c>
      <c r="K13" s="406">
        <v>0</v>
      </c>
      <c r="L13" s="406">
        <v>0</v>
      </c>
      <c r="M13" s="406">
        <v>0</v>
      </c>
      <c r="N13" s="405">
        <f t="shared" si="20"/>
        <v>1965</v>
      </c>
      <c r="O13" s="413"/>
      <c r="P13" s="405">
        <f t="shared" si="21"/>
        <v>0</v>
      </c>
      <c r="Q13" s="405">
        <f t="shared" si="22"/>
        <v>1965</v>
      </c>
      <c r="R13" s="405">
        <f t="shared" si="23"/>
        <v>248.04</v>
      </c>
      <c r="S13" s="405">
        <f t="shared" si="24"/>
        <v>1716.96</v>
      </c>
      <c r="T13" s="414">
        <f t="shared" si="25"/>
        <v>6.4000000000000001E-2</v>
      </c>
      <c r="U13" s="405">
        <f t="shared" si="26"/>
        <v>109.88544</v>
      </c>
      <c r="V13" s="405">
        <f t="shared" si="27"/>
        <v>4.76</v>
      </c>
      <c r="W13" s="405">
        <f t="shared" si="28"/>
        <v>114.64544000000001</v>
      </c>
      <c r="X13" s="405">
        <f t="shared" si="29"/>
        <v>191.23</v>
      </c>
      <c r="Y13" s="405">
        <f t="shared" si="30"/>
        <v>-76.584559999999982</v>
      </c>
      <c r="Z13" s="410"/>
      <c r="AA13" s="405">
        <f t="shared" si="31"/>
        <v>76.584559999999982</v>
      </c>
      <c r="AB13" s="405">
        <f t="shared" si="32"/>
        <v>0</v>
      </c>
      <c r="AC13" s="405">
        <v>0</v>
      </c>
      <c r="AD13" s="406">
        <v>0</v>
      </c>
      <c r="AE13" s="406">
        <v>0</v>
      </c>
      <c r="AF13" s="415">
        <v>0</v>
      </c>
      <c r="AG13" s="405">
        <f t="shared" si="33"/>
        <v>0</v>
      </c>
      <c r="AH13" s="405">
        <f t="shared" si="34"/>
        <v>2041.58456</v>
      </c>
      <c r="AI13" s="111"/>
      <c r="AJ13" s="52"/>
      <c r="AK13" s="111"/>
      <c r="AL13" s="111"/>
    </row>
    <row r="14" spans="1:38" s="140" customFormat="1" ht="30" customHeight="1">
      <c r="A14" s="7"/>
      <c r="B14" s="440">
        <v>6</v>
      </c>
      <c r="C14" s="397" t="s">
        <v>364</v>
      </c>
      <c r="D14" s="398" t="s">
        <v>363</v>
      </c>
      <c r="E14" s="399">
        <v>15</v>
      </c>
      <c r="F14" s="400">
        <v>121</v>
      </c>
      <c r="G14" s="405">
        <f t="shared" ref="G14:G18" si="35">E14*F14</f>
        <v>1815</v>
      </c>
      <c r="H14" s="406">
        <v>1</v>
      </c>
      <c r="I14" s="406">
        <f t="shared" si="16"/>
        <v>1</v>
      </c>
      <c r="J14" s="406">
        <v>0</v>
      </c>
      <c r="K14" s="406">
        <v>0</v>
      </c>
      <c r="L14" s="406">
        <v>0</v>
      </c>
      <c r="M14" s="406">
        <v>0</v>
      </c>
      <c r="N14" s="405">
        <f t="shared" ref="N14:N18" si="36">SUM(G14:M14)</f>
        <v>1817</v>
      </c>
      <c r="O14" s="413"/>
      <c r="P14" s="405">
        <f t="shared" ref="P14:P18" si="37">IF(F14=47.16,0,IF(F14&gt;47.16,K14*0.5,0))</f>
        <v>0</v>
      </c>
      <c r="Q14" s="405">
        <f t="shared" ref="Q14:Q18" si="38">G14+H14+I14+L14+P14+J14</f>
        <v>1817</v>
      </c>
      <c r="R14" s="405">
        <f t="shared" ref="R14:R18" si="39">VLOOKUP(Q14,Tarifa1,1)</f>
        <v>248.04</v>
      </c>
      <c r="S14" s="405">
        <f t="shared" ref="S14:S18" si="40">Q14-R14</f>
        <v>1568.96</v>
      </c>
      <c r="T14" s="414">
        <f t="shared" ref="T14:T18" si="41">VLOOKUP(Q14,Tarifa1,3)</f>
        <v>6.4000000000000001E-2</v>
      </c>
      <c r="U14" s="405">
        <f t="shared" ref="U14:U18" si="42">S14*T14</f>
        <v>100.41344000000001</v>
      </c>
      <c r="V14" s="405">
        <f t="shared" ref="V14:V18" si="43">VLOOKUP(Q14,Tarifa1,2)</f>
        <v>4.76</v>
      </c>
      <c r="W14" s="405">
        <f t="shared" ref="W14:W18" si="44">U14+V14</f>
        <v>105.17344000000001</v>
      </c>
      <c r="X14" s="405">
        <f t="shared" ref="X14:X18" si="45">VLOOKUP(Q14,Credito1,2)</f>
        <v>191.23</v>
      </c>
      <c r="Y14" s="405">
        <f t="shared" ref="Y14:Y18" si="46">W14-X14</f>
        <v>-86.056559999999976</v>
      </c>
      <c r="Z14" s="410"/>
      <c r="AA14" s="405">
        <f t="shared" ref="AA14:AA18" si="47">-IF(Y14&gt;0,0,Y14)</f>
        <v>86.056559999999976</v>
      </c>
      <c r="AB14" s="405">
        <f t="shared" ref="AB14:AB18" si="48">IF(Y14&lt;0,0,Y14)</f>
        <v>0</v>
      </c>
      <c r="AC14" s="405">
        <v>0</v>
      </c>
      <c r="AD14" s="406">
        <v>0</v>
      </c>
      <c r="AE14" s="406">
        <v>0</v>
      </c>
      <c r="AF14" s="415">
        <v>0</v>
      </c>
      <c r="AG14" s="405">
        <f t="shared" ref="AG14:AG18" si="49">SUM(AB14:AF14)</f>
        <v>0</v>
      </c>
      <c r="AH14" s="405">
        <f t="shared" ref="AH14:AH18" si="50">N14+AA14-AG14</f>
        <v>1903.05656</v>
      </c>
      <c r="AI14" s="111"/>
      <c r="AJ14" s="52"/>
      <c r="AK14" s="111"/>
      <c r="AL14" s="111"/>
    </row>
    <row r="15" spans="1:38" s="140" customFormat="1" ht="30" customHeight="1">
      <c r="A15" s="7"/>
      <c r="B15" s="440">
        <v>7</v>
      </c>
      <c r="C15" s="397" t="s">
        <v>452</v>
      </c>
      <c r="D15" s="398" t="s">
        <v>429</v>
      </c>
      <c r="E15" s="399">
        <v>15</v>
      </c>
      <c r="F15" s="400">
        <v>131</v>
      </c>
      <c r="G15" s="405">
        <f t="shared" si="35"/>
        <v>1965</v>
      </c>
      <c r="H15" s="406">
        <v>0</v>
      </c>
      <c r="I15" s="406">
        <f t="shared" ref="I15" si="51">H15</f>
        <v>0</v>
      </c>
      <c r="J15" s="406">
        <v>0</v>
      </c>
      <c r="K15" s="406">
        <v>0</v>
      </c>
      <c r="L15" s="406">
        <v>0</v>
      </c>
      <c r="M15" s="406">
        <v>0</v>
      </c>
      <c r="N15" s="405">
        <f t="shared" ref="N15" si="52">SUM(G15:M15)</f>
        <v>1965</v>
      </c>
      <c r="O15" s="413"/>
      <c r="P15" s="405">
        <f t="shared" si="37"/>
        <v>0</v>
      </c>
      <c r="Q15" s="405">
        <f t="shared" si="38"/>
        <v>1965</v>
      </c>
      <c r="R15" s="405">
        <f t="shared" si="39"/>
        <v>248.04</v>
      </c>
      <c r="S15" s="405">
        <f t="shared" si="40"/>
        <v>1716.96</v>
      </c>
      <c r="T15" s="414">
        <f t="shared" si="41"/>
        <v>6.4000000000000001E-2</v>
      </c>
      <c r="U15" s="405">
        <f t="shared" si="42"/>
        <v>109.88544</v>
      </c>
      <c r="V15" s="405">
        <f t="shared" si="43"/>
        <v>4.76</v>
      </c>
      <c r="W15" s="405">
        <f t="shared" si="44"/>
        <v>114.64544000000001</v>
      </c>
      <c r="X15" s="405">
        <f t="shared" si="45"/>
        <v>191.23</v>
      </c>
      <c r="Y15" s="405">
        <f t="shared" si="46"/>
        <v>-76.584559999999982</v>
      </c>
      <c r="Z15" s="410"/>
      <c r="AA15" s="405">
        <f t="shared" si="47"/>
        <v>76.584559999999982</v>
      </c>
      <c r="AB15" s="405">
        <f t="shared" si="48"/>
        <v>0</v>
      </c>
      <c r="AC15" s="405">
        <v>0</v>
      </c>
      <c r="AD15" s="406">
        <v>0</v>
      </c>
      <c r="AE15" s="406">
        <v>0</v>
      </c>
      <c r="AF15" s="415">
        <v>0</v>
      </c>
      <c r="AG15" s="405">
        <f t="shared" si="49"/>
        <v>0</v>
      </c>
      <c r="AH15" s="405">
        <f t="shared" si="50"/>
        <v>2041.58456</v>
      </c>
      <c r="AI15" s="111"/>
      <c r="AJ15" s="52"/>
      <c r="AK15" s="111"/>
      <c r="AL15" s="111"/>
    </row>
    <row r="16" spans="1:38" s="140" customFormat="1" ht="30" customHeight="1">
      <c r="A16" s="7"/>
      <c r="B16" s="440">
        <v>8</v>
      </c>
      <c r="C16" s="397" t="s">
        <v>365</v>
      </c>
      <c r="D16" s="398" t="s">
        <v>363</v>
      </c>
      <c r="E16" s="399">
        <v>15</v>
      </c>
      <c r="F16" s="400">
        <v>121</v>
      </c>
      <c r="G16" s="405">
        <f t="shared" si="35"/>
        <v>1815</v>
      </c>
      <c r="H16" s="406">
        <v>1</v>
      </c>
      <c r="I16" s="406">
        <f t="shared" si="16"/>
        <v>1</v>
      </c>
      <c r="J16" s="406">
        <v>0</v>
      </c>
      <c r="K16" s="406">
        <v>0</v>
      </c>
      <c r="L16" s="406">
        <v>0</v>
      </c>
      <c r="M16" s="406">
        <v>0</v>
      </c>
      <c r="N16" s="405">
        <f t="shared" si="36"/>
        <v>1817</v>
      </c>
      <c r="O16" s="413"/>
      <c r="P16" s="405">
        <f t="shared" si="37"/>
        <v>0</v>
      </c>
      <c r="Q16" s="405">
        <f t="shared" si="38"/>
        <v>1817</v>
      </c>
      <c r="R16" s="405">
        <f t="shared" si="39"/>
        <v>248.04</v>
      </c>
      <c r="S16" s="405">
        <f t="shared" si="40"/>
        <v>1568.96</v>
      </c>
      <c r="T16" s="414">
        <f t="shared" si="41"/>
        <v>6.4000000000000001E-2</v>
      </c>
      <c r="U16" s="405">
        <f t="shared" si="42"/>
        <v>100.41344000000001</v>
      </c>
      <c r="V16" s="405">
        <f t="shared" si="43"/>
        <v>4.76</v>
      </c>
      <c r="W16" s="405">
        <f t="shared" si="44"/>
        <v>105.17344000000001</v>
      </c>
      <c r="X16" s="405">
        <f t="shared" si="45"/>
        <v>191.23</v>
      </c>
      <c r="Y16" s="405">
        <f t="shared" si="46"/>
        <v>-86.056559999999976</v>
      </c>
      <c r="Z16" s="410"/>
      <c r="AA16" s="405">
        <f t="shared" si="47"/>
        <v>86.056559999999976</v>
      </c>
      <c r="AB16" s="405">
        <f t="shared" si="48"/>
        <v>0</v>
      </c>
      <c r="AC16" s="405">
        <v>0</v>
      </c>
      <c r="AD16" s="406">
        <v>0</v>
      </c>
      <c r="AE16" s="406">
        <v>0</v>
      </c>
      <c r="AF16" s="415">
        <v>0</v>
      </c>
      <c r="AG16" s="405">
        <f t="shared" si="49"/>
        <v>0</v>
      </c>
      <c r="AH16" s="405">
        <f t="shared" si="50"/>
        <v>1903.05656</v>
      </c>
      <c r="AI16" s="111"/>
      <c r="AJ16" s="52"/>
      <c r="AK16" s="111"/>
      <c r="AL16" s="111"/>
    </row>
    <row r="17" spans="1:38" s="140" customFormat="1" ht="30" hidden="1" customHeight="1">
      <c r="A17" s="7"/>
      <c r="B17" s="440">
        <v>10</v>
      </c>
      <c r="C17" s="397"/>
      <c r="D17" s="398"/>
      <c r="E17" s="399"/>
      <c r="F17" s="400"/>
      <c r="G17" s="405"/>
      <c r="H17" s="406"/>
      <c r="I17" s="406"/>
      <c r="J17" s="406"/>
      <c r="K17" s="406"/>
      <c r="L17" s="406"/>
      <c r="M17" s="406"/>
      <c r="N17" s="405"/>
      <c r="O17" s="413"/>
      <c r="P17" s="405"/>
      <c r="Q17" s="405"/>
      <c r="R17" s="405"/>
      <c r="S17" s="405"/>
      <c r="T17" s="414"/>
      <c r="U17" s="405"/>
      <c r="V17" s="405"/>
      <c r="W17" s="405"/>
      <c r="X17" s="405"/>
      <c r="Y17" s="405"/>
      <c r="Z17" s="410"/>
      <c r="AA17" s="405"/>
      <c r="AB17" s="405"/>
      <c r="AC17" s="405"/>
      <c r="AD17" s="406"/>
      <c r="AE17" s="406"/>
      <c r="AF17" s="415"/>
      <c r="AG17" s="405"/>
      <c r="AH17" s="405"/>
      <c r="AI17" s="111"/>
      <c r="AJ17" s="52"/>
      <c r="AK17" s="111"/>
      <c r="AL17" s="111"/>
    </row>
    <row r="18" spans="1:38" s="140" customFormat="1" ht="30" customHeight="1">
      <c r="A18" s="7"/>
      <c r="B18" s="440">
        <v>9</v>
      </c>
      <c r="C18" s="397" t="s">
        <v>368</v>
      </c>
      <c r="D18" s="398" t="s">
        <v>369</v>
      </c>
      <c r="E18" s="399">
        <v>15</v>
      </c>
      <c r="F18" s="400">
        <v>129</v>
      </c>
      <c r="G18" s="405">
        <f t="shared" si="35"/>
        <v>1935</v>
      </c>
      <c r="H18" s="406">
        <v>1</v>
      </c>
      <c r="I18" s="406">
        <f t="shared" si="16"/>
        <v>1</v>
      </c>
      <c r="J18" s="406">
        <v>0</v>
      </c>
      <c r="K18" s="406">
        <v>0</v>
      </c>
      <c r="L18" s="406">
        <v>0</v>
      </c>
      <c r="M18" s="406">
        <v>0</v>
      </c>
      <c r="N18" s="405">
        <f t="shared" si="36"/>
        <v>1937</v>
      </c>
      <c r="O18" s="413"/>
      <c r="P18" s="405">
        <f t="shared" si="37"/>
        <v>0</v>
      </c>
      <c r="Q18" s="405">
        <f t="shared" si="38"/>
        <v>1937</v>
      </c>
      <c r="R18" s="405">
        <f t="shared" si="39"/>
        <v>248.04</v>
      </c>
      <c r="S18" s="405">
        <f t="shared" si="40"/>
        <v>1688.96</v>
      </c>
      <c r="T18" s="414">
        <f t="shared" si="41"/>
        <v>6.4000000000000001E-2</v>
      </c>
      <c r="U18" s="405">
        <f t="shared" si="42"/>
        <v>108.09344</v>
      </c>
      <c r="V18" s="405">
        <f t="shared" si="43"/>
        <v>4.76</v>
      </c>
      <c r="W18" s="405">
        <f t="shared" si="44"/>
        <v>112.85344000000001</v>
      </c>
      <c r="X18" s="405">
        <f t="shared" si="45"/>
        <v>191.23</v>
      </c>
      <c r="Y18" s="405">
        <f t="shared" si="46"/>
        <v>-78.376559999999984</v>
      </c>
      <c r="Z18" s="410"/>
      <c r="AA18" s="405">
        <f t="shared" si="47"/>
        <v>78.376559999999984</v>
      </c>
      <c r="AB18" s="405">
        <f t="shared" si="48"/>
        <v>0</v>
      </c>
      <c r="AC18" s="405">
        <v>0</v>
      </c>
      <c r="AD18" s="406">
        <v>0</v>
      </c>
      <c r="AE18" s="406">
        <v>0</v>
      </c>
      <c r="AF18" s="415">
        <v>0</v>
      </c>
      <c r="AG18" s="405">
        <f t="shared" si="49"/>
        <v>0</v>
      </c>
      <c r="AH18" s="405">
        <f t="shared" si="50"/>
        <v>2015.3765599999999</v>
      </c>
      <c r="AI18" s="111"/>
      <c r="AJ18" s="52"/>
      <c r="AK18" s="111"/>
      <c r="AL18" s="111"/>
    </row>
    <row r="19" spans="1:38" s="140" customFormat="1" ht="30" customHeight="1">
      <c r="A19" s="7"/>
      <c r="B19" s="108"/>
      <c r="C19" s="147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111"/>
      <c r="O19" s="134"/>
      <c r="P19" s="112"/>
      <c r="Q19" s="112"/>
      <c r="R19" s="112"/>
      <c r="S19" s="112"/>
      <c r="T19" s="113"/>
      <c r="U19" s="112"/>
      <c r="V19" s="112"/>
      <c r="W19" s="112"/>
      <c r="X19" s="112"/>
      <c r="Y19" s="112"/>
      <c r="Z19" s="131"/>
      <c r="AA19" s="111"/>
      <c r="AB19" s="111"/>
      <c r="AC19" s="111"/>
      <c r="AD19" s="110"/>
      <c r="AE19" s="110"/>
      <c r="AF19" s="139"/>
      <c r="AG19" s="111"/>
      <c r="AH19" s="111"/>
      <c r="AI19" s="111"/>
      <c r="AJ19" s="52"/>
      <c r="AK19" s="111"/>
      <c r="AL19" s="111"/>
    </row>
    <row r="20" spans="1:38" s="140" customFormat="1">
      <c r="A20" s="7"/>
      <c r="B20" s="100"/>
      <c r="C20" s="115"/>
      <c r="D20" s="115"/>
      <c r="E20" s="100"/>
      <c r="F20" s="101"/>
      <c r="G20" s="118"/>
      <c r="H20" s="102"/>
      <c r="I20" s="102"/>
      <c r="J20" s="102"/>
      <c r="K20" s="102"/>
      <c r="L20" s="102"/>
      <c r="M20" s="102"/>
      <c r="N20" s="102"/>
      <c r="O20" s="94"/>
      <c r="P20" s="103"/>
      <c r="Q20" s="104"/>
      <c r="R20" s="104"/>
      <c r="S20" s="104"/>
      <c r="T20" s="136"/>
      <c r="U20" s="104"/>
      <c r="V20" s="104"/>
      <c r="W20" s="104"/>
      <c r="X20" s="104"/>
      <c r="Y20" s="104"/>
      <c r="Z20" s="132"/>
      <c r="AA20" s="102"/>
      <c r="AB20" s="102"/>
      <c r="AC20" s="102"/>
      <c r="AD20" s="102"/>
      <c r="AE20" s="102"/>
      <c r="AF20" s="102"/>
      <c r="AG20" s="102"/>
      <c r="AH20" s="105"/>
      <c r="AI20" s="105"/>
      <c r="AJ20" s="7"/>
      <c r="AK20" s="105"/>
      <c r="AL20" s="105"/>
    </row>
    <row r="21" spans="1:38" s="140" customFormat="1">
      <c r="A21" s="7"/>
      <c r="B21" s="93"/>
      <c r="C21" s="93"/>
      <c r="D21" s="93"/>
      <c r="E21" s="92"/>
      <c r="F21" s="93"/>
      <c r="G21" s="95"/>
      <c r="H21" s="95"/>
      <c r="I21" s="95"/>
      <c r="J21" s="95"/>
      <c r="K21" s="95"/>
      <c r="L21" s="95"/>
      <c r="M21" s="95"/>
      <c r="N21" s="95"/>
      <c r="O21" s="96"/>
      <c r="P21" s="97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7"/>
      <c r="AK21" s="98"/>
      <c r="AL21" s="98"/>
    </row>
    <row r="22" spans="1:38" s="140" customFormat="1" ht="15.75" thickBot="1">
      <c r="A22" s="7"/>
      <c r="B22" s="634" t="s">
        <v>71</v>
      </c>
      <c r="C22" s="635"/>
      <c r="D22" s="635"/>
      <c r="E22" s="635"/>
      <c r="F22" s="636"/>
      <c r="G22" s="114">
        <f t="shared" ref="G22:N22" si="53">SUM(G8:G21)</f>
        <v>19020</v>
      </c>
      <c r="H22" s="114">
        <f t="shared" si="53"/>
        <v>3</v>
      </c>
      <c r="I22" s="114">
        <f t="shared" si="53"/>
        <v>3</v>
      </c>
      <c r="J22" s="114">
        <f t="shared" si="53"/>
        <v>0</v>
      </c>
      <c r="K22" s="114">
        <f t="shared" si="53"/>
        <v>0</v>
      </c>
      <c r="L22" s="114">
        <f t="shared" si="53"/>
        <v>0</v>
      </c>
      <c r="M22" s="114">
        <f t="shared" si="53"/>
        <v>0</v>
      </c>
      <c r="N22" s="114">
        <f t="shared" si="53"/>
        <v>19026</v>
      </c>
      <c r="O22" s="133"/>
      <c r="P22" s="135">
        <f t="shared" ref="P22:Y22" si="54">SUM(P8:P21)</f>
        <v>0</v>
      </c>
      <c r="Q22" s="135">
        <f t="shared" si="54"/>
        <v>19026</v>
      </c>
      <c r="R22" s="135">
        <f t="shared" si="54"/>
        <v>5946.7</v>
      </c>
      <c r="S22" s="135">
        <f t="shared" si="54"/>
        <v>13079.3</v>
      </c>
      <c r="T22" s="135">
        <f t="shared" si="54"/>
        <v>0.66559999999999997</v>
      </c>
      <c r="U22" s="135">
        <f t="shared" si="54"/>
        <v>899.1043840000001</v>
      </c>
      <c r="V22" s="135">
        <f t="shared" si="54"/>
        <v>280.55999999999995</v>
      </c>
      <c r="W22" s="135">
        <f t="shared" si="54"/>
        <v>1179.6643840000002</v>
      </c>
      <c r="X22" s="135">
        <f t="shared" si="54"/>
        <v>1648.3600000000001</v>
      </c>
      <c r="Y22" s="135">
        <f t="shared" si="54"/>
        <v>-468.69561599999992</v>
      </c>
      <c r="Z22" s="133"/>
      <c r="AA22" s="114">
        <f t="shared" ref="AA22:AH22" si="55">SUM(AA8:AA21)</f>
        <v>556.82791999999995</v>
      </c>
      <c r="AB22" s="114">
        <f t="shared" si="55"/>
        <v>88.132304000000005</v>
      </c>
      <c r="AC22" s="114">
        <f t="shared" si="55"/>
        <v>0</v>
      </c>
      <c r="AD22" s="114">
        <f t="shared" si="55"/>
        <v>0</v>
      </c>
      <c r="AE22" s="114">
        <f t="shared" si="55"/>
        <v>0</v>
      </c>
      <c r="AF22" s="114">
        <f t="shared" si="55"/>
        <v>0</v>
      </c>
      <c r="AG22" s="114">
        <f t="shared" si="55"/>
        <v>88.132304000000005</v>
      </c>
      <c r="AH22" s="114">
        <f t="shared" si="55"/>
        <v>19494.695616000001</v>
      </c>
      <c r="AI22" s="114"/>
      <c r="AJ22" s="7"/>
      <c r="AK22" s="114">
        <f t="shared" ref="AK22:AL22" si="56">SUM(AK8:AK21)</f>
        <v>122</v>
      </c>
      <c r="AL22" s="114">
        <f t="shared" si="56"/>
        <v>-115.13440799999998</v>
      </c>
    </row>
    <row r="23" spans="1:38" s="140" customFormat="1" ht="13.5" thickTop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6" spans="1:38">
      <c r="C26" s="52"/>
      <c r="D26" s="52"/>
    </row>
    <row r="27" spans="1:38">
      <c r="C27" s="52"/>
      <c r="D27" s="52"/>
    </row>
    <row r="28" spans="1:38">
      <c r="C28" s="52"/>
      <c r="D28" s="52"/>
    </row>
    <row r="30" spans="1:38">
      <c r="C30" s="144"/>
      <c r="D30" s="144"/>
    </row>
  </sheetData>
  <mergeCells count="6">
    <mergeCell ref="B22:F22"/>
    <mergeCell ref="B2:AH2"/>
    <mergeCell ref="B3:AH3"/>
    <mergeCell ref="G4:N4"/>
    <mergeCell ref="R4:W4"/>
    <mergeCell ref="AB4:AG4"/>
  </mergeCells>
  <pageMargins left="0" right="0" top="0.35433070866141736" bottom="0" header="0.31496062992125984" footer="0.31496062992125984"/>
  <pageSetup paperSize="5" scale="7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9"/>
  <sheetViews>
    <sheetView showGridLines="0" zoomScale="68" zoomScaleNormal="68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6.5703125" style="7" customWidth="1"/>
    <col min="8" max="8" width="11.85546875" style="7" hidden="1" customWidth="1"/>
    <col min="9" max="9" width="12.140625" style="7" hidden="1" customWidth="1"/>
    <col min="10" max="10" width="11.7109375" style="7" bestFit="1" customWidth="1"/>
    <col min="11" max="11" width="7.7109375" style="7" bestFit="1" customWidth="1"/>
    <col min="12" max="12" width="12.7109375" style="7" hidden="1" customWidth="1"/>
    <col min="13" max="13" width="10.85546875" style="7" hidden="1" customWidth="1"/>
    <col min="14" max="14" width="14.570312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3.14062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" style="7" bestFit="1" customWidth="1"/>
    <col min="33" max="33" width="9.140625" style="7" bestFit="1" customWidth="1"/>
    <col min="34" max="34" width="13.140625" style="7" bestFit="1" customWidth="1"/>
    <col min="35" max="35" width="38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124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286</v>
      </c>
      <c r="D8" s="148" t="s">
        <v>287</v>
      </c>
      <c r="E8" s="109">
        <v>15</v>
      </c>
      <c r="F8" s="142">
        <v>182</v>
      </c>
      <c r="G8" s="117">
        <f t="shared" ref="G8:G10" si="0">E8*F8</f>
        <v>2730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2730</v>
      </c>
      <c r="O8" s="134"/>
      <c r="P8" s="112">
        <f t="shared" ref="P8:P9" si="2">IF(F8=47.16,0,IF(F8&gt;47.16,K8*0.5,0))</f>
        <v>0</v>
      </c>
      <c r="Q8" s="112">
        <f t="shared" ref="Q8:Q9" si="3">G8+H8+I8+L8+P8+J8</f>
        <v>2730</v>
      </c>
      <c r="R8" s="112">
        <f t="shared" ref="R8:R9" si="4">VLOOKUP(Q8,Tarifa1,1)</f>
        <v>2105.21</v>
      </c>
      <c r="S8" s="112">
        <f t="shared" ref="S8:S9" si="5">Q8-R8</f>
        <v>624.79</v>
      </c>
      <c r="T8" s="113">
        <f t="shared" ref="T8:T9" si="6">VLOOKUP(Q8,Tarifa1,3)</f>
        <v>0.10879999999999999</v>
      </c>
      <c r="U8" s="112">
        <f t="shared" ref="U8:U9" si="7">S8*T8</f>
        <v>67.97715199999999</v>
      </c>
      <c r="V8" s="112">
        <f t="shared" ref="V8:V9" si="8">VLOOKUP(Q8,Tarifa1,2)</f>
        <v>123.62</v>
      </c>
      <c r="W8" s="112">
        <f t="shared" ref="W8:W9" si="9">U8+V8</f>
        <v>191.59715199999999</v>
      </c>
      <c r="X8" s="112">
        <f t="shared" ref="X8:X9" si="10">VLOOKUP(Q8,Credito1,2)</f>
        <v>147.315</v>
      </c>
      <c r="Y8" s="112">
        <f t="shared" ref="Y8:Y9" si="11">W8-X8</f>
        <v>44.282151999999996</v>
      </c>
      <c r="Z8" s="131"/>
      <c r="AA8" s="235">
        <f t="shared" ref="AA8:AA10" si="12">-IF(Y8&gt;0,0,Y8)</f>
        <v>0</v>
      </c>
      <c r="AB8" s="111">
        <f t="shared" ref="AB8:AB9" si="13">IF(Y8&lt;0,0,Y8)</f>
        <v>44.282151999999996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:AG9" si="14">SUM(AB8:AF8)</f>
        <v>44.282151999999996</v>
      </c>
      <c r="AH8" s="111">
        <f t="shared" ref="AH8:AH9" si="15">N8+AA8-AG8</f>
        <v>2685.7178480000002</v>
      </c>
      <c r="AI8" s="111"/>
      <c r="AJ8" s="52"/>
      <c r="AK8" s="111">
        <v>41</v>
      </c>
      <c r="AL8" s="111">
        <f>AB8-AK8</f>
        <v>3.2821519999999964</v>
      </c>
    </row>
    <row r="9" spans="1:38" s="140" customFormat="1" ht="30" customHeight="1">
      <c r="A9" s="7"/>
      <c r="B9" s="108">
        <v>2</v>
      </c>
      <c r="C9" s="147" t="s">
        <v>161</v>
      </c>
      <c r="D9" s="148" t="s">
        <v>288</v>
      </c>
      <c r="E9" s="109">
        <v>15</v>
      </c>
      <c r="F9" s="142">
        <v>131</v>
      </c>
      <c r="G9" s="117">
        <f t="shared" si="0"/>
        <v>1965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1965</v>
      </c>
      <c r="O9" s="134"/>
      <c r="P9" s="112">
        <f t="shared" si="2"/>
        <v>0</v>
      </c>
      <c r="Q9" s="112">
        <f t="shared" si="3"/>
        <v>1965</v>
      </c>
      <c r="R9" s="112">
        <f t="shared" si="4"/>
        <v>248.04</v>
      </c>
      <c r="S9" s="112">
        <f t="shared" si="5"/>
        <v>1716.96</v>
      </c>
      <c r="T9" s="113">
        <f t="shared" si="6"/>
        <v>6.4000000000000001E-2</v>
      </c>
      <c r="U9" s="112">
        <f t="shared" si="7"/>
        <v>109.88544</v>
      </c>
      <c r="V9" s="112">
        <f t="shared" si="8"/>
        <v>4.76</v>
      </c>
      <c r="W9" s="112">
        <f t="shared" si="9"/>
        <v>114.64544000000001</v>
      </c>
      <c r="X9" s="112">
        <f t="shared" si="10"/>
        <v>191.23</v>
      </c>
      <c r="Y9" s="112">
        <f t="shared" si="11"/>
        <v>-76.584559999999982</v>
      </c>
      <c r="Z9" s="131"/>
      <c r="AA9" s="235">
        <f t="shared" si="12"/>
        <v>76.584559999999982</v>
      </c>
      <c r="AB9" s="111">
        <f t="shared" si="13"/>
        <v>0</v>
      </c>
      <c r="AC9" s="111">
        <v>0</v>
      </c>
      <c r="AD9" s="110">
        <v>0</v>
      </c>
      <c r="AE9" s="110">
        <v>0</v>
      </c>
      <c r="AF9" s="139">
        <v>0</v>
      </c>
      <c r="AG9" s="111">
        <f t="shared" si="14"/>
        <v>0</v>
      </c>
      <c r="AH9" s="111">
        <f t="shared" si="15"/>
        <v>2041.58456</v>
      </c>
      <c r="AI9" s="111"/>
      <c r="AJ9" s="52"/>
      <c r="AK9" s="111">
        <v>56</v>
      </c>
      <c r="AL9" s="111">
        <f t="shared" ref="AL9" si="16">-AK9-AA9</f>
        <v>-132.58455999999998</v>
      </c>
    </row>
    <row r="10" spans="1:38" s="140" customFormat="1" ht="30" customHeight="1">
      <c r="A10" s="7"/>
      <c r="B10" s="108">
        <v>3</v>
      </c>
      <c r="C10" s="147" t="s">
        <v>289</v>
      </c>
      <c r="D10" s="148" t="s">
        <v>290</v>
      </c>
      <c r="E10" s="109">
        <v>15</v>
      </c>
      <c r="F10" s="142">
        <v>115</v>
      </c>
      <c r="G10" s="117">
        <f t="shared" si="0"/>
        <v>1725</v>
      </c>
      <c r="H10" s="110"/>
      <c r="I10" s="110"/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1725</v>
      </c>
      <c r="O10" s="134"/>
      <c r="P10" s="112">
        <f t="shared" ref="P10" si="17">IF(F10=47.16,0,IF(F10&gt;47.16,K10*0.5,0))</f>
        <v>0</v>
      </c>
      <c r="Q10" s="112">
        <f t="shared" ref="Q10" si="18">G10+H10+I10+L10+P10+J10</f>
        <v>1725</v>
      </c>
      <c r="R10" s="112">
        <f t="shared" ref="R10" si="19">VLOOKUP(Q10,Tarifa1,1)</f>
        <v>248.04</v>
      </c>
      <c r="S10" s="112">
        <f t="shared" ref="S10" si="20">Q10-R10</f>
        <v>1476.96</v>
      </c>
      <c r="T10" s="113">
        <f t="shared" ref="T10" si="21">VLOOKUP(Q10,Tarifa1,3)</f>
        <v>6.4000000000000001E-2</v>
      </c>
      <c r="U10" s="112">
        <f t="shared" ref="U10" si="22">S10*T10</f>
        <v>94.525440000000003</v>
      </c>
      <c r="V10" s="112">
        <f t="shared" ref="V10" si="23">VLOOKUP(Q10,Tarifa1,2)</f>
        <v>4.76</v>
      </c>
      <c r="W10" s="112">
        <f t="shared" ref="W10" si="24">U10+V10</f>
        <v>99.285440000000008</v>
      </c>
      <c r="X10" s="112">
        <f t="shared" ref="X10" si="25">VLOOKUP(Q10,Credito1,2)</f>
        <v>203.31</v>
      </c>
      <c r="Y10" s="112">
        <f t="shared" ref="Y10" si="26">W10-X10</f>
        <v>-104.02455999999999</v>
      </c>
      <c r="Z10" s="131"/>
      <c r="AA10" s="235">
        <f t="shared" si="12"/>
        <v>104.02455999999999</v>
      </c>
      <c r="AB10" s="111">
        <f t="shared" ref="AB10" si="27">IF(Y10&lt;0,0,Y10)</f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ref="AG10" si="28">SUM(AB10:AF10)</f>
        <v>0</v>
      </c>
      <c r="AH10" s="111">
        <f t="shared" ref="AH10" si="29">N10+AA10-AG10</f>
        <v>1829.0245600000001</v>
      </c>
      <c r="AI10" s="111"/>
      <c r="AJ10" s="52"/>
      <c r="AK10" s="111">
        <v>57</v>
      </c>
      <c r="AL10" s="111">
        <f t="shared" ref="AL10:AL11" si="30">-AK10-AA10</f>
        <v>-161.02456000000001</v>
      </c>
    </row>
    <row r="11" spans="1:38" s="140" customFormat="1" ht="30" hidden="1" customHeight="1">
      <c r="A11" s="7"/>
      <c r="B11" s="108">
        <v>4</v>
      </c>
      <c r="C11" s="147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111"/>
      <c r="O11" s="134"/>
      <c r="P11" s="112"/>
      <c r="Q11" s="112"/>
      <c r="R11" s="112"/>
      <c r="S11" s="112"/>
      <c r="T11" s="113"/>
      <c r="U11" s="112"/>
      <c r="V11" s="112"/>
      <c r="W11" s="112"/>
      <c r="X11" s="112"/>
      <c r="Y11" s="112"/>
      <c r="Z11" s="131"/>
      <c r="AA11" s="235"/>
      <c r="AB11" s="111"/>
      <c r="AC11" s="111"/>
      <c r="AD11" s="110"/>
      <c r="AE11" s="110"/>
      <c r="AF11" s="139"/>
      <c r="AG11" s="111"/>
      <c r="AH11" s="111"/>
      <c r="AI11" s="111"/>
      <c r="AJ11" s="52"/>
      <c r="AK11" s="111">
        <v>58</v>
      </c>
      <c r="AL11" s="111">
        <f t="shared" si="30"/>
        <v>-58</v>
      </c>
    </row>
    <row r="12" spans="1:38" s="140" customFormat="1" ht="30" hidden="1" customHeight="1">
      <c r="A12" s="7"/>
      <c r="B12" s="108">
        <v>5</v>
      </c>
      <c r="C12" s="263"/>
      <c r="D12" s="268"/>
      <c r="E12" s="264"/>
      <c r="F12" s="265"/>
      <c r="G12" s="266"/>
      <c r="H12" s="267"/>
      <c r="I12" s="267"/>
      <c r="J12" s="267"/>
      <c r="K12" s="267"/>
      <c r="L12" s="267"/>
      <c r="M12" s="267"/>
      <c r="N12" s="266"/>
      <c r="O12" s="273"/>
      <c r="P12" s="266"/>
      <c r="Q12" s="266"/>
      <c r="R12" s="266"/>
      <c r="S12" s="266"/>
      <c r="T12" s="274"/>
      <c r="U12" s="266"/>
      <c r="V12" s="266"/>
      <c r="W12" s="266"/>
      <c r="X12" s="266"/>
      <c r="Y12" s="266"/>
      <c r="Z12" s="269"/>
      <c r="AA12" s="277"/>
      <c r="AB12" s="266"/>
      <c r="AC12" s="266"/>
      <c r="AD12" s="267"/>
      <c r="AE12" s="267"/>
      <c r="AF12" s="275"/>
      <c r="AG12" s="266"/>
      <c r="AH12" s="266"/>
      <c r="AI12" s="266"/>
      <c r="AJ12" s="52"/>
      <c r="AK12" s="257"/>
      <c r="AL12" s="257"/>
    </row>
    <row r="13" spans="1:38" s="140" customFormat="1" ht="30" hidden="1" customHeight="1">
      <c r="A13" s="7"/>
      <c r="B13" s="108">
        <v>6</v>
      </c>
      <c r="C13" s="263"/>
      <c r="D13" s="268"/>
      <c r="E13" s="264"/>
      <c r="F13" s="265"/>
      <c r="G13" s="266"/>
      <c r="H13" s="267"/>
      <c r="I13" s="267"/>
      <c r="J13" s="267"/>
      <c r="K13" s="267"/>
      <c r="L13" s="267"/>
      <c r="M13" s="267"/>
      <c r="N13" s="266"/>
      <c r="O13" s="273"/>
      <c r="P13" s="266"/>
      <c r="Q13" s="266"/>
      <c r="R13" s="266"/>
      <c r="S13" s="266"/>
      <c r="T13" s="274"/>
      <c r="U13" s="266"/>
      <c r="V13" s="266"/>
      <c r="W13" s="266"/>
      <c r="X13" s="266"/>
      <c r="Y13" s="266"/>
      <c r="Z13" s="269"/>
      <c r="AA13" s="277"/>
      <c r="AB13" s="266"/>
      <c r="AC13" s="266"/>
      <c r="AD13" s="267"/>
      <c r="AE13" s="267"/>
      <c r="AF13" s="275"/>
      <c r="AG13" s="266"/>
      <c r="AH13" s="266"/>
      <c r="AI13" s="111"/>
      <c r="AJ13" s="52"/>
      <c r="AK13" s="257"/>
      <c r="AL13" s="257"/>
    </row>
    <row r="14" spans="1:38" s="140" customFormat="1" ht="30" customHeight="1">
      <c r="A14" s="7"/>
      <c r="B14" s="108">
        <v>4</v>
      </c>
      <c r="C14" s="397" t="s">
        <v>413</v>
      </c>
      <c r="D14" s="398" t="s">
        <v>414</v>
      </c>
      <c r="E14" s="399">
        <v>15</v>
      </c>
      <c r="F14" s="400">
        <v>121</v>
      </c>
      <c r="G14" s="405">
        <f t="shared" ref="G14" si="31">E14*F14</f>
        <v>1815</v>
      </c>
      <c r="H14" s="406"/>
      <c r="I14" s="406"/>
      <c r="J14" s="406">
        <v>0</v>
      </c>
      <c r="K14" s="406">
        <v>0</v>
      </c>
      <c r="L14" s="406">
        <v>0</v>
      </c>
      <c r="M14" s="406">
        <v>0</v>
      </c>
      <c r="N14" s="405">
        <f t="shared" ref="N14" si="32">SUM(G14:M14)</f>
        <v>1815</v>
      </c>
      <c r="O14" s="413"/>
      <c r="P14" s="405">
        <f t="shared" ref="P14" si="33">IF(F14=47.16,0,IF(F14&gt;47.16,K14*0.5,0))</f>
        <v>0</v>
      </c>
      <c r="Q14" s="405">
        <f t="shared" ref="Q14" si="34">G14+H14+I14+L14+P14+J14</f>
        <v>1815</v>
      </c>
      <c r="R14" s="405">
        <f t="shared" ref="R14" si="35">VLOOKUP(Q14,Tarifa1,1)</f>
        <v>248.04</v>
      </c>
      <c r="S14" s="405">
        <f t="shared" ref="S14" si="36">Q14-R14</f>
        <v>1566.96</v>
      </c>
      <c r="T14" s="414">
        <f t="shared" ref="T14" si="37">VLOOKUP(Q14,Tarifa1,3)</f>
        <v>6.4000000000000001E-2</v>
      </c>
      <c r="U14" s="405">
        <f t="shared" ref="U14" si="38">S14*T14</f>
        <v>100.28544000000001</v>
      </c>
      <c r="V14" s="405">
        <f t="shared" ref="V14" si="39">VLOOKUP(Q14,Tarifa1,2)</f>
        <v>4.76</v>
      </c>
      <c r="W14" s="405">
        <f t="shared" ref="W14" si="40">U14+V14</f>
        <v>105.04544000000001</v>
      </c>
      <c r="X14" s="405">
        <f t="shared" ref="X14" si="41">VLOOKUP(Q14,Credito1,2)</f>
        <v>191.23</v>
      </c>
      <c r="Y14" s="405">
        <f t="shared" ref="Y14" si="42">W14-X14</f>
        <v>-86.184559999999976</v>
      </c>
      <c r="Z14" s="410"/>
      <c r="AA14" s="441">
        <f t="shared" ref="AA14" si="43">-IF(Y14&gt;0,0,Y14)</f>
        <v>86.184559999999976</v>
      </c>
      <c r="AB14" s="405">
        <f t="shared" ref="AB14" si="44">IF(Y14&lt;0,0,Y14)</f>
        <v>0</v>
      </c>
      <c r="AC14" s="405">
        <v>0</v>
      </c>
      <c r="AD14" s="406">
        <v>0</v>
      </c>
      <c r="AE14" s="406">
        <v>0</v>
      </c>
      <c r="AF14" s="415">
        <v>0</v>
      </c>
      <c r="AG14" s="405">
        <f t="shared" ref="AG14" si="45">SUM(AB14:AF14)</f>
        <v>0</v>
      </c>
      <c r="AH14" s="405">
        <f t="shared" ref="AH14" si="46">N14+AA14-AG14</f>
        <v>1901.1845599999999</v>
      </c>
      <c r="AI14" s="405"/>
      <c r="AJ14" s="52"/>
      <c r="AK14" s="257"/>
      <c r="AL14" s="257"/>
    </row>
    <row r="15" spans="1:38" s="140" customFormat="1" ht="30" customHeight="1">
      <c r="A15" s="7"/>
      <c r="B15" s="108">
        <v>5</v>
      </c>
      <c r="C15" s="397" t="s">
        <v>415</v>
      </c>
      <c r="D15" s="398" t="s">
        <v>220</v>
      </c>
      <c r="E15" s="399">
        <v>15</v>
      </c>
      <c r="F15" s="400">
        <v>130</v>
      </c>
      <c r="G15" s="405">
        <f t="shared" ref="G15" si="47">E15*F15</f>
        <v>1950</v>
      </c>
      <c r="H15" s="406"/>
      <c r="I15" s="406"/>
      <c r="J15" s="406">
        <v>0</v>
      </c>
      <c r="K15" s="406">
        <v>0</v>
      </c>
      <c r="L15" s="406">
        <v>0</v>
      </c>
      <c r="M15" s="406">
        <v>0</v>
      </c>
      <c r="N15" s="405">
        <f t="shared" ref="N15" si="48">SUM(G15:M15)</f>
        <v>1950</v>
      </c>
      <c r="O15" s="413"/>
      <c r="P15" s="405">
        <f t="shared" ref="P15" si="49">IF(F15=47.16,0,IF(F15&gt;47.16,K15*0.5,0))</f>
        <v>0</v>
      </c>
      <c r="Q15" s="405">
        <f t="shared" ref="Q15" si="50">G15+H15+I15+L15+P15+J15</f>
        <v>1950</v>
      </c>
      <c r="R15" s="405">
        <f t="shared" ref="R15" si="51">VLOOKUP(Q15,Tarifa1,1)</f>
        <v>248.04</v>
      </c>
      <c r="S15" s="405">
        <f t="shared" ref="S15" si="52">Q15-R15</f>
        <v>1701.96</v>
      </c>
      <c r="T15" s="414">
        <f t="shared" ref="T15" si="53">VLOOKUP(Q15,Tarifa1,3)</f>
        <v>6.4000000000000001E-2</v>
      </c>
      <c r="U15" s="405">
        <f t="shared" ref="U15" si="54">S15*T15</f>
        <v>108.92544000000001</v>
      </c>
      <c r="V15" s="405">
        <f t="shared" ref="V15" si="55">VLOOKUP(Q15,Tarifa1,2)</f>
        <v>4.76</v>
      </c>
      <c r="W15" s="405">
        <f t="shared" ref="W15" si="56">U15+V15</f>
        <v>113.68544000000001</v>
      </c>
      <c r="X15" s="405">
        <f t="shared" ref="X15" si="57">VLOOKUP(Q15,Credito1,2)</f>
        <v>191.23</v>
      </c>
      <c r="Y15" s="405">
        <f t="shared" ref="Y15" si="58">W15-X15</f>
        <v>-77.544559999999976</v>
      </c>
      <c r="Z15" s="410"/>
      <c r="AA15" s="441">
        <f t="shared" ref="AA15" si="59">-IF(Y15&gt;0,0,Y15)</f>
        <v>77.544559999999976</v>
      </c>
      <c r="AB15" s="405">
        <f t="shared" ref="AB15" si="60">IF(Y15&lt;0,0,Y15)</f>
        <v>0</v>
      </c>
      <c r="AC15" s="405">
        <v>0</v>
      </c>
      <c r="AD15" s="406">
        <v>0</v>
      </c>
      <c r="AE15" s="406">
        <v>0</v>
      </c>
      <c r="AF15" s="415">
        <v>0</v>
      </c>
      <c r="AG15" s="405">
        <f t="shared" ref="AG15" si="61">SUM(AB15:AF15)</f>
        <v>0</v>
      </c>
      <c r="AH15" s="405">
        <f t="shared" ref="AH15" si="62">N15+AA15-AG15</f>
        <v>2027.54456</v>
      </c>
      <c r="AI15" s="405"/>
      <c r="AJ15" s="52"/>
      <c r="AK15" s="257"/>
      <c r="AL15" s="257"/>
    </row>
    <row r="16" spans="1:38" s="140" customFormat="1" ht="30" hidden="1" customHeight="1">
      <c r="A16" s="7"/>
      <c r="B16" s="108">
        <v>9</v>
      </c>
      <c r="C16" s="397"/>
      <c r="D16" s="398"/>
      <c r="E16" s="399"/>
      <c r="F16" s="400"/>
      <c r="G16" s="405"/>
      <c r="H16" s="406"/>
      <c r="I16" s="406"/>
      <c r="J16" s="406"/>
      <c r="K16" s="406"/>
      <c r="L16" s="406"/>
      <c r="M16" s="406"/>
      <c r="N16" s="405"/>
      <c r="O16" s="413"/>
      <c r="P16" s="405"/>
      <c r="Q16" s="405"/>
      <c r="R16" s="405"/>
      <c r="S16" s="405"/>
      <c r="T16" s="414"/>
      <c r="U16" s="405"/>
      <c r="V16" s="405"/>
      <c r="W16" s="405"/>
      <c r="X16" s="405"/>
      <c r="Y16" s="405"/>
      <c r="Z16" s="410"/>
      <c r="AA16" s="441"/>
      <c r="AB16" s="405"/>
      <c r="AC16" s="405"/>
      <c r="AD16" s="406"/>
      <c r="AE16" s="406"/>
      <c r="AF16" s="415"/>
      <c r="AG16" s="405"/>
      <c r="AH16" s="405"/>
      <c r="AI16" s="405"/>
      <c r="AJ16" s="52"/>
      <c r="AK16" s="257"/>
      <c r="AL16" s="257"/>
    </row>
    <row r="17" spans="1:38" s="140" customFormat="1" ht="30" hidden="1" customHeight="1">
      <c r="A17" s="7"/>
      <c r="B17" s="108">
        <v>10</v>
      </c>
      <c r="C17" s="397"/>
      <c r="D17" s="398"/>
      <c r="E17" s="399"/>
      <c r="F17" s="400"/>
      <c r="G17" s="405"/>
      <c r="H17" s="406"/>
      <c r="I17" s="406"/>
      <c r="J17" s="406"/>
      <c r="K17" s="406"/>
      <c r="L17" s="406"/>
      <c r="M17" s="406"/>
      <c r="N17" s="405"/>
      <c r="O17" s="413"/>
      <c r="P17" s="405"/>
      <c r="Q17" s="405"/>
      <c r="R17" s="405"/>
      <c r="S17" s="405"/>
      <c r="T17" s="414"/>
      <c r="U17" s="405"/>
      <c r="V17" s="405"/>
      <c r="W17" s="405"/>
      <c r="X17" s="405"/>
      <c r="Y17" s="405"/>
      <c r="Z17" s="410"/>
      <c r="AA17" s="441"/>
      <c r="AB17" s="405"/>
      <c r="AC17" s="405"/>
      <c r="AD17" s="406"/>
      <c r="AE17" s="406"/>
      <c r="AF17" s="415"/>
      <c r="AG17" s="405"/>
      <c r="AH17" s="405"/>
      <c r="AI17" s="405"/>
      <c r="AJ17" s="52"/>
      <c r="AK17" s="257"/>
      <c r="AL17" s="257"/>
    </row>
    <row r="18" spans="1:38" s="140" customFormat="1" ht="30" customHeight="1">
      <c r="A18" s="7"/>
      <c r="B18" s="253">
        <v>6</v>
      </c>
      <c r="C18" s="442" t="s">
        <v>417</v>
      </c>
      <c r="D18" s="443" t="s">
        <v>484</v>
      </c>
      <c r="E18" s="444">
        <v>15</v>
      </c>
      <c r="F18" s="400">
        <v>183</v>
      </c>
      <c r="G18" s="405">
        <f t="shared" ref="G18" si="63">E18*F18</f>
        <v>2745</v>
      </c>
      <c r="H18" s="406"/>
      <c r="I18" s="406"/>
      <c r="J18" s="406">
        <v>0</v>
      </c>
      <c r="K18" s="406">
        <v>0</v>
      </c>
      <c r="L18" s="406">
        <v>0</v>
      </c>
      <c r="M18" s="406">
        <v>0</v>
      </c>
      <c r="N18" s="405">
        <f t="shared" ref="N18" si="64">SUM(G18:M18)</f>
        <v>2745</v>
      </c>
      <c r="O18" s="413"/>
      <c r="P18" s="405">
        <f t="shared" ref="P18" si="65">IF(F18=47.16,0,IF(F18&gt;47.16,K18*0.5,0))</f>
        <v>0</v>
      </c>
      <c r="Q18" s="405">
        <f t="shared" ref="Q18" si="66">G18+H18+I18+L18+P18+J18</f>
        <v>2745</v>
      </c>
      <c r="R18" s="405">
        <f t="shared" ref="R18" si="67">VLOOKUP(Q18,Tarifa1,1)</f>
        <v>2105.21</v>
      </c>
      <c r="S18" s="405">
        <f t="shared" ref="S18" si="68">Q18-R18</f>
        <v>639.79</v>
      </c>
      <c r="T18" s="414">
        <f t="shared" ref="T18" si="69">VLOOKUP(Q18,Tarifa1,3)</f>
        <v>0.10879999999999999</v>
      </c>
      <c r="U18" s="405">
        <f t="shared" ref="U18" si="70">S18*T18</f>
        <v>69.609151999999995</v>
      </c>
      <c r="V18" s="405">
        <f t="shared" ref="V18" si="71">VLOOKUP(Q18,Tarifa1,2)</f>
        <v>123.62</v>
      </c>
      <c r="W18" s="405">
        <f t="shared" ref="W18" si="72">U18+V18</f>
        <v>193.229152</v>
      </c>
      <c r="X18" s="405">
        <f t="shared" ref="X18" si="73">VLOOKUP(Q18,Credito1,2)</f>
        <v>147.315</v>
      </c>
      <c r="Y18" s="405">
        <f t="shared" ref="Y18" si="74">W18-X18</f>
        <v>45.914152000000001</v>
      </c>
      <c r="Z18" s="410"/>
      <c r="AA18" s="441">
        <f t="shared" ref="AA18" si="75">-IF(Y18&gt;0,0,Y18)</f>
        <v>0</v>
      </c>
      <c r="AB18" s="405">
        <f t="shared" ref="AB18" si="76">IF(Y18&lt;0,0,Y18)</f>
        <v>45.914152000000001</v>
      </c>
      <c r="AC18" s="405">
        <v>0</v>
      </c>
      <c r="AD18" s="406">
        <v>0</v>
      </c>
      <c r="AE18" s="406">
        <v>0</v>
      </c>
      <c r="AF18" s="415">
        <v>0</v>
      </c>
      <c r="AG18" s="405">
        <f t="shared" ref="AG18" si="77">SUM(AB18:AF18)</f>
        <v>45.914152000000001</v>
      </c>
      <c r="AH18" s="405">
        <f t="shared" ref="AH18" si="78">N18+AA18-AG18</f>
        <v>2699.0858480000002</v>
      </c>
      <c r="AI18" s="445"/>
      <c r="AJ18" s="52"/>
      <c r="AK18" s="257"/>
      <c r="AL18" s="257"/>
    </row>
    <row r="19" spans="1:38" s="140" customFormat="1">
      <c r="A19" s="7"/>
      <c r="B19" s="100"/>
      <c r="C19" s="115"/>
      <c r="D19" s="115"/>
      <c r="E19" s="100"/>
      <c r="F19" s="101"/>
      <c r="G19" s="118"/>
      <c r="H19" s="102"/>
      <c r="I19" s="102"/>
      <c r="J19" s="102"/>
      <c r="K19" s="102"/>
      <c r="L19" s="102"/>
      <c r="M19" s="102"/>
      <c r="N19" s="102"/>
      <c r="O19" s="94"/>
      <c r="P19" s="103"/>
      <c r="Q19" s="104"/>
      <c r="R19" s="104"/>
      <c r="S19" s="104"/>
      <c r="T19" s="136"/>
      <c r="U19" s="104"/>
      <c r="V19" s="104"/>
      <c r="W19" s="104"/>
      <c r="X19" s="104"/>
      <c r="Y19" s="104"/>
      <c r="Z19" s="132"/>
      <c r="AA19" s="102"/>
      <c r="AB19" s="102"/>
      <c r="AC19" s="102"/>
      <c r="AD19" s="102"/>
      <c r="AE19" s="102"/>
      <c r="AF19" s="102"/>
      <c r="AG19" s="102"/>
      <c r="AH19" s="105"/>
      <c r="AI19" s="105"/>
      <c r="AJ19" s="7"/>
      <c r="AK19" s="105"/>
      <c r="AL19" s="105"/>
    </row>
    <row r="20" spans="1:38" s="140" customFormat="1">
      <c r="A20" s="7"/>
      <c r="B20" s="93"/>
      <c r="C20" s="93"/>
      <c r="D20" s="93"/>
      <c r="E20" s="92"/>
      <c r="F20" s="93"/>
      <c r="G20" s="95"/>
      <c r="H20" s="95"/>
      <c r="I20" s="95"/>
      <c r="J20" s="95"/>
      <c r="K20" s="95"/>
      <c r="L20" s="95"/>
      <c r="M20" s="95"/>
      <c r="N20" s="95"/>
      <c r="O20" s="96"/>
      <c r="P20" s="9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7"/>
      <c r="AK20" s="98"/>
      <c r="AL20" s="98"/>
    </row>
    <row r="21" spans="1:38" s="140" customFormat="1" ht="15.75" thickBot="1">
      <c r="A21" s="7"/>
      <c r="B21" s="634" t="s">
        <v>71</v>
      </c>
      <c r="C21" s="635"/>
      <c r="D21" s="635"/>
      <c r="E21" s="635"/>
      <c r="F21" s="636"/>
      <c r="G21" s="114">
        <f t="shared" ref="G21:N21" si="79">SUM(G8:G20)</f>
        <v>12930</v>
      </c>
      <c r="H21" s="114">
        <f t="shared" si="79"/>
        <v>0</v>
      </c>
      <c r="I21" s="114">
        <f t="shared" si="79"/>
        <v>0</v>
      </c>
      <c r="J21" s="114">
        <f t="shared" si="79"/>
        <v>0</v>
      </c>
      <c r="K21" s="114">
        <f t="shared" si="79"/>
        <v>0</v>
      </c>
      <c r="L21" s="114">
        <f t="shared" si="79"/>
        <v>0</v>
      </c>
      <c r="M21" s="114">
        <f t="shared" si="79"/>
        <v>0</v>
      </c>
      <c r="N21" s="114">
        <f t="shared" si="79"/>
        <v>12930</v>
      </c>
      <c r="O21" s="133"/>
      <c r="P21" s="135">
        <f t="shared" ref="P21:Y21" si="80">SUM(P8:P20)</f>
        <v>0</v>
      </c>
      <c r="Q21" s="135">
        <f t="shared" si="80"/>
        <v>12930</v>
      </c>
      <c r="R21" s="135">
        <f t="shared" si="80"/>
        <v>5202.58</v>
      </c>
      <c r="S21" s="135">
        <f t="shared" si="80"/>
        <v>7727.42</v>
      </c>
      <c r="T21" s="135">
        <f t="shared" si="80"/>
        <v>0.47360000000000002</v>
      </c>
      <c r="U21" s="135">
        <f t="shared" si="80"/>
        <v>551.20806400000004</v>
      </c>
      <c r="V21" s="135">
        <f t="shared" si="80"/>
        <v>266.27999999999997</v>
      </c>
      <c r="W21" s="135">
        <f t="shared" si="80"/>
        <v>817.48806400000001</v>
      </c>
      <c r="X21" s="135">
        <f t="shared" si="80"/>
        <v>1071.6300000000001</v>
      </c>
      <c r="Y21" s="135">
        <f t="shared" si="80"/>
        <v>-254.14193599999993</v>
      </c>
      <c r="Z21" s="133"/>
      <c r="AA21" s="114">
        <v>355.5</v>
      </c>
      <c r="AB21" s="114">
        <f t="shared" ref="AB21:AH21" si="81">SUM(AB8:AB20)</f>
        <v>90.196303999999998</v>
      </c>
      <c r="AC21" s="114">
        <f t="shared" si="81"/>
        <v>0</v>
      </c>
      <c r="AD21" s="114">
        <f t="shared" si="81"/>
        <v>0</v>
      </c>
      <c r="AE21" s="114">
        <f t="shared" si="81"/>
        <v>0</v>
      </c>
      <c r="AF21" s="114">
        <f t="shared" si="81"/>
        <v>0</v>
      </c>
      <c r="AG21" s="114">
        <f t="shared" si="81"/>
        <v>90.196303999999998</v>
      </c>
      <c r="AH21" s="114">
        <f t="shared" si="81"/>
        <v>13184.141936000002</v>
      </c>
      <c r="AI21" s="114"/>
      <c r="AJ21" s="7"/>
      <c r="AK21" s="114">
        <f t="shared" ref="AK21:AL21" si="82">SUM(AK8:AK20)</f>
        <v>212</v>
      </c>
      <c r="AL21" s="114">
        <f t="shared" si="82"/>
        <v>-348.32696799999997</v>
      </c>
    </row>
    <row r="22" spans="1:38" s="140" customFormat="1" ht="13.5" thickTop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5" spans="1:38">
      <c r="C25" s="52"/>
      <c r="D25" s="52"/>
    </row>
    <row r="26" spans="1:38">
      <c r="C26" s="52"/>
      <c r="D26" s="52"/>
    </row>
    <row r="27" spans="1:38">
      <c r="C27" s="52"/>
      <c r="D27" s="52"/>
    </row>
    <row r="29" spans="1:38">
      <c r="C29" s="144"/>
      <c r="D29" s="144"/>
    </row>
  </sheetData>
  <mergeCells count="6">
    <mergeCell ref="B21:F21"/>
    <mergeCell ref="B2:AH2"/>
    <mergeCell ref="B3:AH3"/>
    <mergeCell ref="G4:N4"/>
    <mergeCell ref="R4:W4"/>
    <mergeCell ref="AB4:AG4"/>
  </mergeCells>
  <pageMargins left="0" right="0" top="0.35433070866141736" bottom="0.15748031496062992" header="0.31496062992125984" footer="0.11811023622047245"/>
  <pageSetup paperSize="5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45"/>
  <sheetViews>
    <sheetView showGridLines="0" zoomScale="69" zoomScaleNormal="69" workbookViewId="0">
      <selection activeCell="D25" sqref="D25"/>
    </sheetView>
  </sheetViews>
  <sheetFormatPr baseColWidth="10" defaultColWidth="11.42578125" defaultRowHeight="12.75"/>
  <cols>
    <col min="1" max="1" width="1.85546875" style="7" customWidth="1"/>
    <col min="2" max="2" width="5.5703125" style="7" customWidth="1"/>
    <col min="3" max="3" width="41.285156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1.140625" style="159" customWidth="1"/>
    <col min="34" max="34" width="13.42578125" style="159" customWidth="1"/>
    <col min="35" max="35" width="57.5703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37" t="s">
        <v>113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145"/>
      <c r="AJ2" s="7"/>
    </row>
    <row r="3" spans="1:38" s="140" customFormat="1">
      <c r="A3" s="7"/>
      <c r="B3" s="638" t="s">
        <v>529</v>
      </c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8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153" t="s">
        <v>91</v>
      </c>
      <c r="AB4" s="645" t="s">
        <v>3</v>
      </c>
      <c r="AC4" s="646"/>
      <c r="AD4" s="646"/>
      <c r="AE4" s="646"/>
      <c r="AF4" s="646"/>
      <c r="AG4" s="647"/>
      <c r="AH4" s="153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154" t="s">
        <v>57</v>
      </c>
      <c r="AB5" s="153" t="s">
        <v>4</v>
      </c>
      <c r="AC5" s="153" t="s">
        <v>5</v>
      </c>
      <c r="AD5" s="153" t="s">
        <v>56</v>
      </c>
      <c r="AE5" s="153" t="s">
        <v>77</v>
      </c>
      <c r="AF5" s="153"/>
      <c r="AG5" s="153" t="s">
        <v>10</v>
      </c>
      <c r="AH5" s="154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155" t="s">
        <v>90</v>
      </c>
      <c r="AB6" s="155"/>
      <c r="AC6" s="155"/>
      <c r="AD6" s="155" t="s">
        <v>75</v>
      </c>
      <c r="AE6" s="155" t="s">
        <v>78</v>
      </c>
      <c r="AF6" s="155" t="s">
        <v>101</v>
      </c>
      <c r="AG6" s="155" t="s">
        <v>70</v>
      </c>
      <c r="AH6" s="155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125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140</v>
      </c>
      <c r="D8" s="148" t="s">
        <v>130</v>
      </c>
      <c r="E8" s="109">
        <v>15</v>
      </c>
      <c r="F8" s="142">
        <v>290</v>
      </c>
      <c r="G8" s="117">
        <f t="shared" ref="G8" si="0">E8*F8</f>
        <v>4350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92">
        <f t="shared" ref="N8" si="1">SUM(G8:M8)</f>
        <v>4350</v>
      </c>
      <c r="O8" s="193"/>
      <c r="P8" s="194">
        <f t="shared" ref="P8" si="2">IF(F8=47.16,0,IF(F8&gt;47.16,K8*0.5,0))</f>
        <v>0</v>
      </c>
      <c r="Q8" s="194">
        <f t="shared" ref="Q8" si="3">G8+H8+I8+L8+P8+J8</f>
        <v>4350</v>
      </c>
      <c r="R8" s="194">
        <f t="shared" ref="R8" si="4">VLOOKUP(Q8,Tarifa1,1)</f>
        <v>4300.7550000000001</v>
      </c>
      <c r="S8" s="194">
        <f t="shared" ref="S8" si="5">Q8-R8</f>
        <v>49.244999999999891</v>
      </c>
      <c r="T8" s="195">
        <f t="shared" ref="T8" si="6">VLOOKUP(Q8,Tarifa1,3)</f>
        <v>0.1792</v>
      </c>
      <c r="U8" s="194">
        <f t="shared" ref="U8" si="7">S8*T8</f>
        <v>8.824703999999981</v>
      </c>
      <c r="V8" s="194">
        <f t="shared" ref="V8" si="8">VLOOKUP(Q8,Tarifa1,2)</f>
        <v>393.27</v>
      </c>
      <c r="W8" s="194">
        <f t="shared" ref="W8" si="9">U8+V8</f>
        <v>402.09470399999998</v>
      </c>
      <c r="X8" s="194">
        <f t="shared" ref="X8" si="10">VLOOKUP(Q8,Credito1,2)</f>
        <v>0</v>
      </c>
      <c r="Y8" s="194">
        <f t="shared" ref="Y8" si="11">W8-X8</f>
        <v>402.09470399999998</v>
      </c>
      <c r="Z8" s="131"/>
      <c r="AA8" s="192">
        <f t="shared" ref="AA8:AA12" si="12">-IF(Y8&gt;0,0,Y8)</f>
        <v>0</v>
      </c>
      <c r="AB8" s="192">
        <f t="shared" ref="AB8" si="13">IF(Y8&lt;0,0,Y8)</f>
        <v>402.09470399999998</v>
      </c>
      <c r="AC8" s="192">
        <v>0</v>
      </c>
      <c r="AD8" s="196">
        <v>0</v>
      </c>
      <c r="AE8" s="196">
        <v>0</v>
      </c>
      <c r="AF8" s="196">
        <v>0</v>
      </c>
      <c r="AG8" s="192">
        <f t="shared" ref="AG8" si="14">SUM(AB8:AF8)</f>
        <v>402.09470399999998</v>
      </c>
      <c r="AH8" s="192">
        <f t="shared" ref="AH8" si="15">N8+AA8-AG8</f>
        <v>3947.9052959999999</v>
      </c>
      <c r="AI8" s="111"/>
      <c r="AJ8" s="52"/>
      <c r="AK8" s="111">
        <v>73</v>
      </c>
      <c r="AL8" s="111">
        <f>AB8-AK8</f>
        <v>329.09470399999998</v>
      </c>
    </row>
    <row r="9" spans="1:38" s="140" customFormat="1" ht="30" customHeight="1">
      <c r="A9" s="7"/>
      <c r="B9" s="108">
        <v>2</v>
      </c>
      <c r="C9" s="147" t="s">
        <v>142</v>
      </c>
      <c r="D9" s="148" t="s">
        <v>223</v>
      </c>
      <c r="E9" s="109">
        <v>15</v>
      </c>
      <c r="F9" s="142">
        <v>260</v>
      </c>
      <c r="G9" s="117">
        <f t="shared" ref="G9:G30" si="16">E9*F9</f>
        <v>3900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92">
        <f t="shared" ref="N9:N30" si="17">SUM(G9:M9)</f>
        <v>3900</v>
      </c>
      <c r="O9" s="193"/>
      <c r="P9" s="194">
        <f t="shared" ref="P9:P30" si="18">IF(F9=47.16,0,IF(F9&gt;47.16,K9*0.5,0))</f>
        <v>0</v>
      </c>
      <c r="Q9" s="194">
        <f t="shared" ref="Q9:Q30" si="19">G9+H9+I9+L9+P9+J9</f>
        <v>3900</v>
      </c>
      <c r="R9" s="194">
        <f t="shared" ref="R9:R30" si="20">VLOOKUP(Q9,Tarifa1,1)</f>
        <v>3699.7150000000001</v>
      </c>
      <c r="S9" s="194">
        <f t="shared" ref="S9:S30" si="21">Q9-R9</f>
        <v>200.28499999999985</v>
      </c>
      <c r="T9" s="195">
        <f t="shared" ref="T9:T30" si="22">VLOOKUP(Q9,Tarifa1,3)</f>
        <v>0.16</v>
      </c>
      <c r="U9" s="194">
        <f t="shared" ref="U9:U30" si="23">S9*T9</f>
        <v>32.045599999999979</v>
      </c>
      <c r="V9" s="194">
        <f t="shared" ref="V9:V30" si="24">VLOOKUP(Q9,Tarifa1,2)</f>
        <v>297.10500000000002</v>
      </c>
      <c r="W9" s="194">
        <f t="shared" ref="W9:W30" si="25">U9+V9</f>
        <v>329.1506</v>
      </c>
      <c r="X9" s="194">
        <f t="shared" ref="X9:X30" si="26">VLOOKUP(Q9,Credito1,2)</f>
        <v>0</v>
      </c>
      <c r="Y9" s="194">
        <f t="shared" ref="Y9:Y30" si="27">W9-X9</f>
        <v>329.1506</v>
      </c>
      <c r="Z9" s="131"/>
      <c r="AA9" s="192">
        <f t="shared" si="12"/>
        <v>0</v>
      </c>
      <c r="AB9" s="192">
        <f t="shared" ref="AB9:AB30" si="28">IF(Y9&lt;0,0,Y9)</f>
        <v>329.1506</v>
      </c>
      <c r="AC9" s="192">
        <v>0</v>
      </c>
      <c r="AD9" s="196">
        <v>0</v>
      </c>
      <c r="AE9" s="196">
        <v>0</v>
      </c>
      <c r="AF9" s="196">
        <v>0</v>
      </c>
      <c r="AG9" s="192">
        <f t="shared" ref="AG9:AG30" si="29">SUM(AB9:AF9)</f>
        <v>329.1506</v>
      </c>
      <c r="AH9" s="192">
        <f t="shared" ref="AH9:AH30" si="30">N9+AA9-AG9</f>
        <v>3570.8494000000001</v>
      </c>
      <c r="AI9" s="111"/>
      <c r="AJ9" s="52"/>
      <c r="AK9" s="111">
        <v>74</v>
      </c>
      <c r="AL9" s="111">
        <f t="shared" ref="AL9:AL30" si="31">AB9-AK9</f>
        <v>255.1506</v>
      </c>
    </row>
    <row r="10" spans="1:38" s="140" customFormat="1" ht="30" customHeight="1">
      <c r="A10" s="7"/>
      <c r="B10" s="108">
        <v>3</v>
      </c>
      <c r="C10" s="397" t="s">
        <v>150</v>
      </c>
      <c r="D10" s="148" t="s">
        <v>223</v>
      </c>
      <c r="E10" s="109">
        <v>15</v>
      </c>
      <c r="F10" s="142">
        <v>260</v>
      </c>
      <c r="G10" s="117">
        <f t="shared" si="16"/>
        <v>3900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92">
        <f t="shared" si="17"/>
        <v>3900</v>
      </c>
      <c r="O10" s="193"/>
      <c r="P10" s="194">
        <f t="shared" si="18"/>
        <v>0</v>
      </c>
      <c r="Q10" s="194">
        <f t="shared" si="19"/>
        <v>3900</v>
      </c>
      <c r="R10" s="194">
        <f t="shared" si="20"/>
        <v>3699.7150000000001</v>
      </c>
      <c r="S10" s="194">
        <f t="shared" si="21"/>
        <v>200.28499999999985</v>
      </c>
      <c r="T10" s="195">
        <f t="shared" si="22"/>
        <v>0.16</v>
      </c>
      <c r="U10" s="194">
        <f t="shared" si="23"/>
        <v>32.045599999999979</v>
      </c>
      <c r="V10" s="194">
        <f t="shared" si="24"/>
        <v>297.10500000000002</v>
      </c>
      <c r="W10" s="194">
        <f t="shared" si="25"/>
        <v>329.1506</v>
      </c>
      <c r="X10" s="194">
        <f t="shared" si="26"/>
        <v>0</v>
      </c>
      <c r="Y10" s="194">
        <f t="shared" si="27"/>
        <v>329.1506</v>
      </c>
      <c r="Z10" s="131"/>
      <c r="AA10" s="192">
        <f t="shared" si="12"/>
        <v>0</v>
      </c>
      <c r="AB10" s="192">
        <f t="shared" si="28"/>
        <v>329.1506</v>
      </c>
      <c r="AC10" s="192">
        <v>0</v>
      </c>
      <c r="AD10" s="196">
        <v>0</v>
      </c>
      <c r="AE10" s="196">
        <v>0</v>
      </c>
      <c r="AF10" s="196">
        <v>0</v>
      </c>
      <c r="AG10" s="192">
        <f t="shared" si="29"/>
        <v>329.1506</v>
      </c>
      <c r="AH10" s="409">
        <f t="shared" si="30"/>
        <v>3570.8494000000001</v>
      </c>
      <c r="AI10" s="454"/>
      <c r="AJ10" s="52"/>
      <c r="AK10" s="111">
        <v>75</v>
      </c>
      <c r="AL10" s="111">
        <f t="shared" si="31"/>
        <v>254.1506</v>
      </c>
    </row>
    <row r="11" spans="1:38" s="140" customFormat="1" ht="30" customHeight="1">
      <c r="A11" s="7"/>
      <c r="B11" s="108">
        <v>4</v>
      </c>
      <c r="C11" s="147" t="s">
        <v>141</v>
      </c>
      <c r="D11" s="148" t="s">
        <v>129</v>
      </c>
      <c r="E11" s="109">
        <v>15</v>
      </c>
      <c r="F11" s="142">
        <v>231</v>
      </c>
      <c r="G11" s="117">
        <f t="shared" si="16"/>
        <v>3465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92">
        <f t="shared" si="17"/>
        <v>3465</v>
      </c>
      <c r="O11" s="193"/>
      <c r="P11" s="194">
        <f t="shared" si="18"/>
        <v>0</v>
      </c>
      <c r="Q11" s="194">
        <f t="shared" si="19"/>
        <v>3465</v>
      </c>
      <c r="R11" s="194">
        <f t="shared" si="20"/>
        <v>2105.21</v>
      </c>
      <c r="S11" s="194">
        <f t="shared" si="21"/>
        <v>1359.79</v>
      </c>
      <c r="T11" s="195">
        <f t="shared" si="22"/>
        <v>0.10879999999999999</v>
      </c>
      <c r="U11" s="194">
        <f t="shared" si="23"/>
        <v>147.94515199999998</v>
      </c>
      <c r="V11" s="194">
        <f t="shared" si="24"/>
        <v>123.62</v>
      </c>
      <c r="W11" s="194">
        <f t="shared" si="25"/>
        <v>271.56515200000001</v>
      </c>
      <c r="X11" s="194">
        <f t="shared" si="26"/>
        <v>126.77</v>
      </c>
      <c r="Y11" s="194">
        <f t="shared" si="27"/>
        <v>144.79515200000003</v>
      </c>
      <c r="Z11" s="131"/>
      <c r="AA11" s="192">
        <f t="shared" si="12"/>
        <v>0</v>
      </c>
      <c r="AB11" s="192">
        <f t="shared" si="28"/>
        <v>144.79515200000003</v>
      </c>
      <c r="AC11" s="192">
        <v>0</v>
      </c>
      <c r="AD11" s="196">
        <v>0</v>
      </c>
      <c r="AE11" s="196">
        <v>0</v>
      </c>
      <c r="AF11" s="196">
        <v>0</v>
      </c>
      <c r="AG11" s="192">
        <f t="shared" si="29"/>
        <v>144.79515200000003</v>
      </c>
      <c r="AH11" s="192">
        <f t="shared" si="30"/>
        <v>3320.2048479999999</v>
      </c>
      <c r="AI11" s="111"/>
      <c r="AJ11" s="52"/>
      <c r="AK11" s="111">
        <v>76</v>
      </c>
      <c r="AL11" s="111">
        <f t="shared" si="31"/>
        <v>68.79515200000003</v>
      </c>
    </row>
    <row r="12" spans="1:38" s="140" customFormat="1" ht="30" customHeight="1">
      <c r="A12" s="7"/>
      <c r="B12" s="108">
        <v>5</v>
      </c>
      <c r="C12" s="147" t="s">
        <v>143</v>
      </c>
      <c r="D12" s="148" t="s">
        <v>129</v>
      </c>
      <c r="E12" s="109">
        <v>15</v>
      </c>
      <c r="F12" s="142">
        <v>231</v>
      </c>
      <c r="G12" s="117">
        <f t="shared" si="16"/>
        <v>3465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92">
        <f t="shared" si="17"/>
        <v>3465</v>
      </c>
      <c r="O12" s="193"/>
      <c r="P12" s="194">
        <f t="shared" si="18"/>
        <v>0</v>
      </c>
      <c r="Q12" s="194">
        <f t="shared" si="19"/>
        <v>3465</v>
      </c>
      <c r="R12" s="194">
        <f t="shared" si="20"/>
        <v>2105.21</v>
      </c>
      <c r="S12" s="194">
        <f t="shared" si="21"/>
        <v>1359.79</v>
      </c>
      <c r="T12" s="195">
        <f t="shared" si="22"/>
        <v>0.10879999999999999</v>
      </c>
      <c r="U12" s="194">
        <f t="shared" si="23"/>
        <v>147.94515199999998</v>
      </c>
      <c r="V12" s="194">
        <f t="shared" si="24"/>
        <v>123.62</v>
      </c>
      <c r="W12" s="194">
        <f t="shared" si="25"/>
        <v>271.56515200000001</v>
      </c>
      <c r="X12" s="194">
        <f t="shared" si="26"/>
        <v>126.77</v>
      </c>
      <c r="Y12" s="194">
        <f t="shared" si="27"/>
        <v>144.79515200000003</v>
      </c>
      <c r="Z12" s="131"/>
      <c r="AA12" s="192">
        <f t="shared" si="12"/>
        <v>0</v>
      </c>
      <c r="AB12" s="192">
        <f t="shared" si="28"/>
        <v>144.79515200000003</v>
      </c>
      <c r="AC12" s="192">
        <v>0</v>
      </c>
      <c r="AD12" s="196">
        <v>0</v>
      </c>
      <c r="AE12" s="196">
        <v>0</v>
      </c>
      <c r="AF12" s="196">
        <v>0</v>
      </c>
      <c r="AG12" s="192">
        <f t="shared" si="29"/>
        <v>144.79515200000003</v>
      </c>
      <c r="AH12" s="192">
        <f t="shared" si="30"/>
        <v>3320.2048479999999</v>
      </c>
      <c r="AI12" s="111"/>
      <c r="AJ12" s="52"/>
      <c r="AK12" s="111">
        <v>77</v>
      </c>
      <c r="AL12" s="111">
        <f t="shared" si="31"/>
        <v>67.79515200000003</v>
      </c>
    </row>
    <row r="13" spans="1:38" s="140" customFormat="1" ht="30" customHeight="1">
      <c r="A13" s="7"/>
      <c r="B13" s="108">
        <v>6</v>
      </c>
      <c r="C13" s="147" t="s">
        <v>144</v>
      </c>
      <c r="D13" s="148" t="s">
        <v>129</v>
      </c>
      <c r="E13" s="109">
        <v>15</v>
      </c>
      <c r="F13" s="142">
        <v>231</v>
      </c>
      <c r="G13" s="117">
        <f t="shared" si="16"/>
        <v>3465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92">
        <f t="shared" si="17"/>
        <v>3465</v>
      </c>
      <c r="O13" s="193"/>
      <c r="P13" s="194">
        <f t="shared" si="18"/>
        <v>0</v>
      </c>
      <c r="Q13" s="194">
        <f t="shared" si="19"/>
        <v>3465</v>
      </c>
      <c r="R13" s="194">
        <f t="shared" si="20"/>
        <v>2105.21</v>
      </c>
      <c r="S13" s="194">
        <f t="shared" si="21"/>
        <v>1359.79</v>
      </c>
      <c r="T13" s="195">
        <f t="shared" si="22"/>
        <v>0.10879999999999999</v>
      </c>
      <c r="U13" s="194">
        <f t="shared" si="23"/>
        <v>147.94515199999998</v>
      </c>
      <c r="V13" s="194">
        <f t="shared" si="24"/>
        <v>123.62</v>
      </c>
      <c r="W13" s="194">
        <f t="shared" si="25"/>
        <v>271.56515200000001</v>
      </c>
      <c r="X13" s="194">
        <f t="shared" si="26"/>
        <v>126.77</v>
      </c>
      <c r="Y13" s="194">
        <f t="shared" si="27"/>
        <v>144.79515200000003</v>
      </c>
      <c r="Z13" s="131"/>
      <c r="AA13" s="192">
        <f t="shared" ref="AA13:AA30" si="32">-IF(Y13&gt;0,0,Y13)</f>
        <v>0</v>
      </c>
      <c r="AB13" s="192">
        <f t="shared" si="28"/>
        <v>144.79515200000003</v>
      </c>
      <c r="AC13" s="192">
        <v>0</v>
      </c>
      <c r="AD13" s="196">
        <v>0</v>
      </c>
      <c r="AE13" s="196">
        <v>0</v>
      </c>
      <c r="AF13" s="196">
        <v>0</v>
      </c>
      <c r="AG13" s="192">
        <f t="shared" si="29"/>
        <v>144.79515200000003</v>
      </c>
      <c r="AH13" s="192">
        <f t="shared" si="30"/>
        <v>3320.2048479999999</v>
      </c>
      <c r="AI13" s="111"/>
      <c r="AJ13" s="52"/>
      <c r="AK13" s="111">
        <v>78</v>
      </c>
      <c r="AL13" s="111">
        <f t="shared" si="31"/>
        <v>66.79515200000003</v>
      </c>
    </row>
    <row r="14" spans="1:38" s="140" customFormat="1" ht="30" customHeight="1">
      <c r="A14" s="7"/>
      <c r="B14" s="108">
        <v>7</v>
      </c>
      <c r="C14" s="147" t="s">
        <v>145</v>
      </c>
      <c r="D14" s="148" t="s">
        <v>129</v>
      </c>
      <c r="E14" s="109">
        <v>15</v>
      </c>
      <c r="F14" s="142">
        <v>231</v>
      </c>
      <c r="G14" s="117">
        <f t="shared" si="16"/>
        <v>3465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92">
        <f t="shared" si="17"/>
        <v>3465</v>
      </c>
      <c r="O14" s="193"/>
      <c r="P14" s="194">
        <f t="shared" si="18"/>
        <v>0</v>
      </c>
      <c r="Q14" s="194">
        <f t="shared" si="19"/>
        <v>3465</v>
      </c>
      <c r="R14" s="194">
        <f t="shared" si="20"/>
        <v>2105.21</v>
      </c>
      <c r="S14" s="194">
        <f t="shared" si="21"/>
        <v>1359.79</v>
      </c>
      <c r="T14" s="195">
        <f t="shared" si="22"/>
        <v>0.10879999999999999</v>
      </c>
      <c r="U14" s="194">
        <f t="shared" si="23"/>
        <v>147.94515199999998</v>
      </c>
      <c r="V14" s="194">
        <f t="shared" si="24"/>
        <v>123.62</v>
      </c>
      <c r="W14" s="194">
        <f t="shared" si="25"/>
        <v>271.56515200000001</v>
      </c>
      <c r="X14" s="194">
        <f t="shared" si="26"/>
        <v>126.77</v>
      </c>
      <c r="Y14" s="194">
        <f t="shared" si="27"/>
        <v>144.79515200000003</v>
      </c>
      <c r="Z14" s="131"/>
      <c r="AA14" s="192">
        <f t="shared" si="32"/>
        <v>0</v>
      </c>
      <c r="AB14" s="192">
        <f t="shared" si="28"/>
        <v>144.79515200000003</v>
      </c>
      <c r="AC14" s="192">
        <v>0</v>
      </c>
      <c r="AD14" s="196">
        <v>0</v>
      </c>
      <c r="AE14" s="196">
        <v>0</v>
      </c>
      <c r="AF14" s="196">
        <v>0</v>
      </c>
      <c r="AG14" s="192">
        <f t="shared" si="29"/>
        <v>144.79515200000003</v>
      </c>
      <c r="AH14" s="192">
        <f t="shared" si="30"/>
        <v>3320.2048479999999</v>
      </c>
      <c r="AI14" s="111"/>
      <c r="AJ14" s="52"/>
      <c r="AK14" s="111">
        <v>79</v>
      </c>
      <c r="AL14" s="111">
        <f t="shared" si="31"/>
        <v>65.79515200000003</v>
      </c>
    </row>
    <row r="15" spans="1:38" s="140" customFormat="1" ht="30" customHeight="1">
      <c r="A15" s="7"/>
      <c r="B15" s="108">
        <v>8</v>
      </c>
      <c r="C15" s="147" t="s">
        <v>146</v>
      </c>
      <c r="D15" s="148" t="s">
        <v>129</v>
      </c>
      <c r="E15" s="109">
        <v>15</v>
      </c>
      <c r="F15" s="142">
        <v>231</v>
      </c>
      <c r="G15" s="117">
        <f t="shared" si="16"/>
        <v>3465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92">
        <f t="shared" si="17"/>
        <v>3465</v>
      </c>
      <c r="O15" s="193"/>
      <c r="P15" s="194">
        <f t="shared" si="18"/>
        <v>0</v>
      </c>
      <c r="Q15" s="194">
        <f t="shared" si="19"/>
        <v>3465</v>
      </c>
      <c r="R15" s="194">
        <f t="shared" si="20"/>
        <v>2105.21</v>
      </c>
      <c r="S15" s="194">
        <f t="shared" si="21"/>
        <v>1359.79</v>
      </c>
      <c r="T15" s="195">
        <f t="shared" si="22"/>
        <v>0.10879999999999999</v>
      </c>
      <c r="U15" s="194">
        <f t="shared" si="23"/>
        <v>147.94515199999998</v>
      </c>
      <c r="V15" s="194">
        <f t="shared" si="24"/>
        <v>123.62</v>
      </c>
      <c r="W15" s="194">
        <f t="shared" si="25"/>
        <v>271.56515200000001</v>
      </c>
      <c r="X15" s="194">
        <f t="shared" si="26"/>
        <v>126.77</v>
      </c>
      <c r="Y15" s="194">
        <f t="shared" si="27"/>
        <v>144.79515200000003</v>
      </c>
      <c r="Z15" s="131"/>
      <c r="AA15" s="192">
        <f t="shared" si="32"/>
        <v>0</v>
      </c>
      <c r="AB15" s="192">
        <f t="shared" si="28"/>
        <v>144.79515200000003</v>
      </c>
      <c r="AC15" s="192">
        <v>0</v>
      </c>
      <c r="AD15" s="196">
        <v>0</v>
      </c>
      <c r="AE15" s="196">
        <v>0</v>
      </c>
      <c r="AF15" s="196">
        <v>0</v>
      </c>
      <c r="AG15" s="192">
        <f t="shared" si="29"/>
        <v>144.79515200000003</v>
      </c>
      <c r="AH15" s="192">
        <f t="shared" si="30"/>
        <v>3320.2048479999999</v>
      </c>
      <c r="AI15" s="111"/>
      <c r="AJ15" s="52"/>
      <c r="AK15" s="111">
        <v>80</v>
      </c>
      <c r="AL15" s="111">
        <f t="shared" si="31"/>
        <v>64.79515200000003</v>
      </c>
    </row>
    <row r="16" spans="1:38" s="140" customFormat="1" ht="30" customHeight="1">
      <c r="A16" s="7"/>
      <c r="B16" s="108">
        <v>9</v>
      </c>
      <c r="C16" s="147" t="s">
        <v>147</v>
      </c>
      <c r="D16" s="148" t="s">
        <v>129</v>
      </c>
      <c r="E16" s="109">
        <v>15</v>
      </c>
      <c r="F16" s="142">
        <v>231</v>
      </c>
      <c r="G16" s="117">
        <f t="shared" si="16"/>
        <v>3465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92">
        <f t="shared" si="17"/>
        <v>3465</v>
      </c>
      <c r="O16" s="193"/>
      <c r="P16" s="194">
        <f t="shared" si="18"/>
        <v>0</v>
      </c>
      <c r="Q16" s="194">
        <f t="shared" si="19"/>
        <v>3465</v>
      </c>
      <c r="R16" s="194">
        <f t="shared" si="20"/>
        <v>2105.21</v>
      </c>
      <c r="S16" s="194">
        <f t="shared" si="21"/>
        <v>1359.79</v>
      </c>
      <c r="T16" s="195">
        <f t="shared" si="22"/>
        <v>0.10879999999999999</v>
      </c>
      <c r="U16" s="194">
        <f t="shared" si="23"/>
        <v>147.94515199999998</v>
      </c>
      <c r="V16" s="194">
        <f t="shared" si="24"/>
        <v>123.62</v>
      </c>
      <c r="W16" s="194">
        <f t="shared" si="25"/>
        <v>271.56515200000001</v>
      </c>
      <c r="X16" s="194">
        <f t="shared" si="26"/>
        <v>126.77</v>
      </c>
      <c r="Y16" s="194">
        <f t="shared" si="27"/>
        <v>144.79515200000003</v>
      </c>
      <c r="Z16" s="131"/>
      <c r="AA16" s="192">
        <f t="shared" si="32"/>
        <v>0</v>
      </c>
      <c r="AB16" s="192">
        <f t="shared" si="28"/>
        <v>144.79515200000003</v>
      </c>
      <c r="AC16" s="192">
        <v>0</v>
      </c>
      <c r="AD16" s="196">
        <v>0</v>
      </c>
      <c r="AE16" s="196">
        <v>0</v>
      </c>
      <c r="AF16" s="196">
        <v>0</v>
      </c>
      <c r="AG16" s="192">
        <f t="shared" si="29"/>
        <v>144.79515200000003</v>
      </c>
      <c r="AH16" s="192">
        <f t="shared" si="30"/>
        <v>3320.2048479999999</v>
      </c>
      <c r="AI16" s="111"/>
      <c r="AJ16" s="52"/>
      <c r="AK16" s="111">
        <v>81</v>
      </c>
      <c r="AL16" s="111">
        <f t="shared" si="31"/>
        <v>63.79515200000003</v>
      </c>
    </row>
    <row r="17" spans="1:38" s="140" customFormat="1" ht="30" customHeight="1">
      <c r="A17" s="7"/>
      <c r="B17" s="108">
        <v>10</v>
      </c>
      <c r="C17" s="147" t="s">
        <v>148</v>
      </c>
      <c r="D17" s="148" t="s">
        <v>129</v>
      </c>
      <c r="E17" s="109">
        <v>15</v>
      </c>
      <c r="F17" s="142">
        <v>231</v>
      </c>
      <c r="G17" s="117">
        <f t="shared" si="16"/>
        <v>3465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92">
        <f t="shared" si="17"/>
        <v>3465</v>
      </c>
      <c r="O17" s="193"/>
      <c r="P17" s="194">
        <f t="shared" si="18"/>
        <v>0</v>
      </c>
      <c r="Q17" s="194">
        <f t="shared" si="19"/>
        <v>3465</v>
      </c>
      <c r="R17" s="194">
        <f t="shared" si="20"/>
        <v>2105.21</v>
      </c>
      <c r="S17" s="194">
        <f t="shared" si="21"/>
        <v>1359.79</v>
      </c>
      <c r="T17" s="195">
        <f t="shared" si="22"/>
        <v>0.10879999999999999</v>
      </c>
      <c r="U17" s="194">
        <f t="shared" si="23"/>
        <v>147.94515199999998</v>
      </c>
      <c r="V17" s="194">
        <f t="shared" si="24"/>
        <v>123.62</v>
      </c>
      <c r="W17" s="194">
        <f t="shared" si="25"/>
        <v>271.56515200000001</v>
      </c>
      <c r="X17" s="194">
        <f t="shared" si="26"/>
        <v>126.77</v>
      </c>
      <c r="Y17" s="194">
        <f t="shared" si="27"/>
        <v>144.79515200000003</v>
      </c>
      <c r="Z17" s="131"/>
      <c r="AA17" s="192">
        <f t="shared" si="32"/>
        <v>0</v>
      </c>
      <c r="AB17" s="192">
        <f t="shared" si="28"/>
        <v>144.79515200000003</v>
      </c>
      <c r="AC17" s="192">
        <v>0</v>
      </c>
      <c r="AD17" s="196">
        <v>0</v>
      </c>
      <c r="AE17" s="196">
        <v>0</v>
      </c>
      <c r="AF17" s="196">
        <v>0</v>
      </c>
      <c r="AG17" s="192">
        <f t="shared" si="29"/>
        <v>144.79515200000003</v>
      </c>
      <c r="AH17" s="192">
        <f t="shared" si="30"/>
        <v>3320.2048479999999</v>
      </c>
      <c r="AI17" s="111"/>
      <c r="AJ17" s="52"/>
      <c r="AK17" s="111">
        <v>82</v>
      </c>
      <c r="AL17" s="111">
        <f t="shared" si="31"/>
        <v>62.79515200000003</v>
      </c>
    </row>
    <row r="18" spans="1:38" s="140" customFormat="1" ht="30" customHeight="1">
      <c r="A18" s="7"/>
      <c r="B18" s="108">
        <v>11</v>
      </c>
      <c r="C18" s="147" t="s">
        <v>149</v>
      </c>
      <c r="D18" s="148" t="s">
        <v>129</v>
      </c>
      <c r="E18" s="109">
        <v>15</v>
      </c>
      <c r="F18" s="142">
        <v>231</v>
      </c>
      <c r="G18" s="117">
        <f t="shared" si="16"/>
        <v>3465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92">
        <f t="shared" si="17"/>
        <v>3465</v>
      </c>
      <c r="O18" s="193"/>
      <c r="P18" s="194">
        <f t="shared" si="18"/>
        <v>0</v>
      </c>
      <c r="Q18" s="194">
        <f t="shared" si="19"/>
        <v>3465</v>
      </c>
      <c r="R18" s="194">
        <f t="shared" si="20"/>
        <v>2105.21</v>
      </c>
      <c r="S18" s="194">
        <f t="shared" si="21"/>
        <v>1359.79</v>
      </c>
      <c r="T18" s="195">
        <f t="shared" si="22"/>
        <v>0.10879999999999999</v>
      </c>
      <c r="U18" s="194">
        <f t="shared" si="23"/>
        <v>147.94515199999998</v>
      </c>
      <c r="V18" s="194">
        <f t="shared" si="24"/>
        <v>123.62</v>
      </c>
      <c r="W18" s="194">
        <f t="shared" si="25"/>
        <v>271.56515200000001</v>
      </c>
      <c r="X18" s="194">
        <f t="shared" si="26"/>
        <v>126.77</v>
      </c>
      <c r="Y18" s="194">
        <f t="shared" si="27"/>
        <v>144.79515200000003</v>
      </c>
      <c r="Z18" s="131"/>
      <c r="AA18" s="192">
        <f t="shared" si="32"/>
        <v>0</v>
      </c>
      <c r="AB18" s="192">
        <f t="shared" si="28"/>
        <v>144.79515200000003</v>
      </c>
      <c r="AC18" s="192">
        <v>0</v>
      </c>
      <c r="AD18" s="196">
        <v>0</v>
      </c>
      <c r="AE18" s="196">
        <v>0</v>
      </c>
      <c r="AF18" s="196">
        <v>0</v>
      </c>
      <c r="AG18" s="192">
        <f t="shared" si="29"/>
        <v>144.79515200000003</v>
      </c>
      <c r="AH18" s="192">
        <f t="shared" si="30"/>
        <v>3320.2048479999999</v>
      </c>
      <c r="AI18" s="111"/>
      <c r="AJ18" s="52"/>
      <c r="AK18" s="111">
        <v>83</v>
      </c>
      <c r="AL18" s="111">
        <f t="shared" si="31"/>
        <v>61.79515200000003</v>
      </c>
    </row>
    <row r="19" spans="1:38" s="140" customFormat="1" ht="30" customHeight="1">
      <c r="A19" s="7"/>
      <c r="B19" s="108">
        <v>12</v>
      </c>
      <c r="C19" s="147" t="s">
        <v>127</v>
      </c>
      <c r="D19" s="148" t="s">
        <v>129</v>
      </c>
      <c r="E19" s="109">
        <v>15</v>
      </c>
      <c r="F19" s="142">
        <v>231</v>
      </c>
      <c r="G19" s="117">
        <f t="shared" si="16"/>
        <v>3465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92">
        <f t="shared" si="17"/>
        <v>3465</v>
      </c>
      <c r="O19" s="193"/>
      <c r="P19" s="194">
        <f t="shared" si="18"/>
        <v>0</v>
      </c>
      <c r="Q19" s="194">
        <f t="shared" si="19"/>
        <v>3465</v>
      </c>
      <c r="R19" s="194">
        <f t="shared" si="20"/>
        <v>2105.21</v>
      </c>
      <c r="S19" s="194">
        <f t="shared" si="21"/>
        <v>1359.79</v>
      </c>
      <c r="T19" s="195">
        <f t="shared" si="22"/>
        <v>0.10879999999999999</v>
      </c>
      <c r="U19" s="194">
        <f t="shared" si="23"/>
        <v>147.94515199999998</v>
      </c>
      <c r="V19" s="194">
        <f t="shared" si="24"/>
        <v>123.62</v>
      </c>
      <c r="W19" s="194">
        <f t="shared" si="25"/>
        <v>271.56515200000001</v>
      </c>
      <c r="X19" s="194">
        <f t="shared" si="26"/>
        <v>126.77</v>
      </c>
      <c r="Y19" s="194">
        <f t="shared" si="27"/>
        <v>144.79515200000003</v>
      </c>
      <c r="Z19" s="131"/>
      <c r="AA19" s="192">
        <f t="shared" si="32"/>
        <v>0</v>
      </c>
      <c r="AB19" s="192">
        <f t="shared" si="28"/>
        <v>144.79515200000003</v>
      </c>
      <c r="AC19" s="192">
        <v>0</v>
      </c>
      <c r="AD19" s="196">
        <v>0</v>
      </c>
      <c r="AE19" s="196">
        <v>0</v>
      </c>
      <c r="AF19" s="196">
        <v>0</v>
      </c>
      <c r="AG19" s="192">
        <f t="shared" si="29"/>
        <v>144.79515200000003</v>
      </c>
      <c r="AH19" s="192">
        <f t="shared" si="30"/>
        <v>3320.2048479999999</v>
      </c>
      <c r="AI19" s="111"/>
      <c r="AJ19" s="52"/>
      <c r="AK19" s="111">
        <v>84</v>
      </c>
      <c r="AL19" s="111">
        <f t="shared" si="31"/>
        <v>60.79515200000003</v>
      </c>
    </row>
    <row r="20" spans="1:38" s="140" customFormat="1" ht="30" customHeight="1">
      <c r="A20" s="7"/>
      <c r="B20" s="108">
        <v>13</v>
      </c>
      <c r="C20" s="147" t="s">
        <v>428</v>
      </c>
      <c r="D20" s="148" t="s">
        <v>129</v>
      </c>
      <c r="E20" s="109">
        <v>15</v>
      </c>
      <c r="F20" s="142">
        <v>231</v>
      </c>
      <c r="G20" s="117">
        <f t="shared" si="16"/>
        <v>3465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92">
        <f t="shared" si="17"/>
        <v>3465</v>
      </c>
      <c r="O20" s="193"/>
      <c r="P20" s="194">
        <f t="shared" si="18"/>
        <v>0</v>
      </c>
      <c r="Q20" s="194">
        <f t="shared" si="19"/>
        <v>3465</v>
      </c>
      <c r="R20" s="194">
        <f t="shared" si="20"/>
        <v>2105.21</v>
      </c>
      <c r="S20" s="194">
        <f t="shared" si="21"/>
        <v>1359.79</v>
      </c>
      <c r="T20" s="195">
        <f t="shared" si="22"/>
        <v>0.10879999999999999</v>
      </c>
      <c r="U20" s="194">
        <f t="shared" si="23"/>
        <v>147.94515199999998</v>
      </c>
      <c r="V20" s="194">
        <f t="shared" si="24"/>
        <v>123.62</v>
      </c>
      <c r="W20" s="194">
        <f t="shared" si="25"/>
        <v>271.56515200000001</v>
      </c>
      <c r="X20" s="194">
        <f t="shared" si="26"/>
        <v>126.77</v>
      </c>
      <c r="Y20" s="194">
        <f t="shared" si="27"/>
        <v>144.79515200000003</v>
      </c>
      <c r="Z20" s="131"/>
      <c r="AA20" s="192">
        <f t="shared" si="32"/>
        <v>0</v>
      </c>
      <c r="AB20" s="192">
        <f t="shared" si="28"/>
        <v>144.79515200000003</v>
      </c>
      <c r="AC20" s="192">
        <v>0</v>
      </c>
      <c r="AD20" s="196">
        <v>0</v>
      </c>
      <c r="AE20" s="196">
        <v>0</v>
      </c>
      <c r="AF20" s="196">
        <v>0</v>
      </c>
      <c r="AG20" s="192">
        <f t="shared" si="29"/>
        <v>144.79515200000003</v>
      </c>
      <c r="AH20" s="192">
        <f t="shared" si="30"/>
        <v>3320.2048479999999</v>
      </c>
      <c r="AI20" s="111"/>
      <c r="AJ20" s="52"/>
      <c r="AK20" s="111">
        <v>85</v>
      </c>
      <c r="AL20" s="111">
        <f t="shared" si="31"/>
        <v>59.79515200000003</v>
      </c>
    </row>
    <row r="21" spans="1:38" s="140" customFormat="1" ht="30" customHeight="1">
      <c r="A21" s="7"/>
      <c r="B21" s="108">
        <v>14</v>
      </c>
      <c r="C21" s="147" t="s">
        <v>128</v>
      </c>
      <c r="D21" s="148" t="s">
        <v>129</v>
      </c>
      <c r="E21" s="109">
        <v>15</v>
      </c>
      <c r="F21" s="142">
        <v>231</v>
      </c>
      <c r="G21" s="117">
        <f t="shared" si="16"/>
        <v>3465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92">
        <f t="shared" si="17"/>
        <v>3465</v>
      </c>
      <c r="O21" s="193"/>
      <c r="P21" s="194">
        <f t="shared" si="18"/>
        <v>0</v>
      </c>
      <c r="Q21" s="194">
        <f t="shared" si="19"/>
        <v>3465</v>
      </c>
      <c r="R21" s="194">
        <f t="shared" si="20"/>
        <v>2105.21</v>
      </c>
      <c r="S21" s="194">
        <f t="shared" si="21"/>
        <v>1359.79</v>
      </c>
      <c r="T21" s="195">
        <f t="shared" si="22"/>
        <v>0.10879999999999999</v>
      </c>
      <c r="U21" s="194">
        <f t="shared" si="23"/>
        <v>147.94515199999998</v>
      </c>
      <c r="V21" s="194">
        <f t="shared" si="24"/>
        <v>123.62</v>
      </c>
      <c r="W21" s="194">
        <f t="shared" si="25"/>
        <v>271.56515200000001</v>
      </c>
      <c r="X21" s="194">
        <f t="shared" si="26"/>
        <v>126.77</v>
      </c>
      <c r="Y21" s="194">
        <f t="shared" si="27"/>
        <v>144.79515200000003</v>
      </c>
      <c r="Z21" s="131"/>
      <c r="AA21" s="192">
        <f t="shared" si="32"/>
        <v>0</v>
      </c>
      <c r="AB21" s="192">
        <f t="shared" si="28"/>
        <v>144.79515200000003</v>
      </c>
      <c r="AC21" s="192">
        <v>0</v>
      </c>
      <c r="AD21" s="196">
        <v>0</v>
      </c>
      <c r="AE21" s="196">
        <v>0</v>
      </c>
      <c r="AF21" s="196">
        <v>0</v>
      </c>
      <c r="AG21" s="192">
        <f t="shared" si="29"/>
        <v>144.79515200000003</v>
      </c>
      <c r="AH21" s="192">
        <f t="shared" si="30"/>
        <v>3320.2048479999999</v>
      </c>
      <c r="AI21" s="111"/>
      <c r="AJ21" s="52"/>
      <c r="AK21" s="111">
        <v>86</v>
      </c>
      <c r="AL21" s="111">
        <f t="shared" si="31"/>
        <v>58.79515200000003</v>
      </c>
    </row>
    <row r="22" spans="1:38" s="140" customFormat="1" ht="30" customHeight="1">
      <c r="A22" s="7"/>
      <c r="B22" s="108">
        <v>15</v>
      </c>
      <c r="C22" s="147" t="s">
        <v>126</v>
      </c>
      <c r="D22" s="148" t="s">
        <v>129</v>
      </c>
      <c r="E22" s="109">
        <v>15</v>
      </c>
      <c r="F22" s="142">
        <v>231</v>
      </c>
      <c r="G22" s="117">
        <f t="shared" si="16"/>
        <v>3465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92">
        <f t="shared" si="17"/>
        <v>3465</v>
      </c>
      <c r="O22" s="193"/>
      <c r="P22" s="194">
        <f t="shared" si="18"/>
        <v>0</v>
      </c>
      <c r="Q22" s="194">
        <f t="shared" si="19"/>
        <v>3465</v>
      </c>
      <c r="R22" s="194">
        <f t="shared" si="20"/>
        <v>2105.21</v>
      </c>
      <c r="S22" s="194">
        <f t="shared" si="21"/>
        <v>1359.79</v>
      </c>
      <c r="T22" s="195">
        <f t="shared" si="22"/>
        <v>0.10879999999999999</v>
      </c>
      <c r="U22" s="194">
        <f t="shared" si="23"/>
        <v>147.94515199999998</v>
      </c>
      <c r="V22" s="194">
        <f t="shared" si="24"/>
        <v>123.62</v>
      </c>
      <c r="W22" s="194">
        <f t="shared" si="25"/>
        <v>271.56515200000001</v>
      </c>
      <c r="X22" s="194">
        <f t="shared" si="26"/>
        <v>126.77</v>
      </c>
      <c r="Y22" s="194">
        <f t="shared" si="27"/>
        <v>144.79515200000003</v>
      </c>
      <c r="Z22" s="131"/>
      <c r="AA22" s="192">
        <f t="shared" si="32"/>
        <v>0</v>
      </c>
      <c r="AB22" s="192">
        <f t="shared" si="28"/>
        <v>144.79515200000003</v>
      </c>
      <c r="AC22" s="192">
        <v>0</v>
      </c>
      <c r="AD22" s="196">
        <v>0</v>
      </c>
      <c r="AE22" s="196">
        <v>0</v>
      </c>
      <c r="AF22" s="196">
        <v>0</v>
      </c>
      <c r="AG22" s="192">
        <f t="shared" si="29"/>
        <v>144.79515200000003</v>
      </c>
      <c r="AH22" s="192">
        <f t="shared" si="30"/>
        <v>3320.2048479999999</v>
      </c>
      <c r="AI22" s="111"/>
      <c r="AJ22" s="52"/>
      <c r="AK22" s="111">
        <v>87</v>
      </c>
      <c r="AL22" s="111">
        <f t="shared" si="31"/>
        <v>57.79515200000003</v>
      </c>
    </row>
    <row r="23" spans="1:38" s="140" customFormat="1" ht="30" customHeight="1">
      <c r="A23" s="7"/>
      <c r="B23" s="108">
        <v>16</v>
      </c>
      <c r="C23" s="147" t="s">
        <v>151</v>
      </c>
      <c r="D23" s="148" t="s">
        <v>129</v>
      </c>
      <c r="E23" s="109">
        <v>15</v>
      </c>
      <c r="F23" s="142">
        <v>231</v>
      </c>
      <c r="G23" s="117">
        <f t="shared" si="16"/>
        <v>3465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92">
        <f t="shared" si="17"/>
        <v>3465</v>
      </c>
      <c r="O23" s="193"/>
      <c r="P23" s="194">
        <f t="shared" si="18"/>
        <v>0</v>
      </c>
      <c r="Q23" s="194">
        <f t="shared" si="19"/>
        <v>3465</v>
      </c>
      <c r="R23" s="194">
        <f t="shared" si="20"/>
        <v>2105.21</v>
      </c>
      <c r="S23" s="194">
        <f t="shared" si="21"/>
        <v>1359.79</v>
      </c>
      <c r="T23" s="195">
        <f t="shared" si="22"/>
        <v>0.10879999999999999</v>
      </c>
      <c r="U23" s="194">
        <f t="shared" si="23"/>
        <v>147.94515199999998</v>
      </c>
      <c r="V23" s="194">
        <f t="shared" si="24"/>
        <v>123.62</v>
      </c>
      <c r="W23" s="194">
        <f t="shared" si="25"/>
        <v>271.56515200000001</v>
      </c>
      <c r="X23" s="194">
        <f t="shared" si="26"/>
        <v>126.77</v>
      </c>
      <c r="Y23" s="194">
        <f t="shared" si="27"/>
        <v>144.79515200000003</v>
      </c>
      <c r="Z23" s="131"/>
      <c r="AA23" s="192">
        <f t="shared" si="32"/>
        <v>0</v>
      </c>
      <c r="AB23" s="192">
        <f t="shared" si="28"/>
        <v>144.79515200000003</v>
      </c>
      <c r="AC23" s="192">
        <v>0</v>
      </c>
      <c r="AD23" s="196">
        <v>0</v>
      </c>
      <c r="AE23" s="196">
        <v>0</v>
      </c>
      <c r="AF23" s="196">
        <v>0</v>
      </c>
      <c r="AG23" s="192">
        <f t="shared" si="29"/>
        <v>144.79515200000003</v>
      </c>
      <c r="AH23" s="192">
        <f t="shared" si="30"/>
        <v>3320.2048479999999</v>
      </c>
      <c r="AI23" s="111"/>
      <c r="AJ23" s="52"/>
      <c r="AK23" s="111">
        <v>88</v>
      </c>
      <c r="AL23" s="111">
        <f t="shared" si="31"/>
        <v>56.79515200000003</v>
      </c>
    </row>
    <row r="24" spans="1:38" s="140" customFormat="1" ht="30" customHeight="1">
      <c r="A24" s="7"/>
      <c r="B24" s="108">
        <v>17</v>
      </c>
      <c r="C24" s="147" t="s">
        <v>152</v>
      </c>
      <c r="D24" s="148" t="s">
        <v>129</v>
      </c>
      <c r="E24" s="109">
        <v>15</v>
      </c>
      <c r="F24" s="142">
        <v>231</v>
      </c>
      <c r="G24" s="117">
        <f t="shared" si="16"/>
        <v>3465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92">
        <f t="shared" si="17"/>
        <v>3465</v>
      </c>
      <c r="O24" s="193"/>
      <c r="P24" s="194">
        <f t="shared" si="18"/>
        <v>0</v>
      </c>
      <c r="Q24" s="194">
        <f t="shared" si="19"/>
        <v>3465</v>
      </c>
      <c r="R24" s="194">
        <f t="shared" si="20"/>
        <v>2105.21</v>
      </c>
      <c r="S24" s="194">
        <f t="shared" si="21"/>
        <v>1359.79</v>
      </c>
      <c r="T24" s="195">
        <f t="shared" si="22"/>
        <v>0.10879999999999999</v>
      </c>
      <c r="U24" s="194">
        <f t="shared" si="23"/>
        <v>147.94515199999998</v>
      </c>
      <c r="V24" s="194">
        <f t="shared" si="24"/>
        <v>123.62</v>
      </c>
      <c r="W24" s="194">
        <f t="shared" si="25"/>
        <v>271.56515200000001</v>
      </c>
      <c r="X24" s="194">
        <f t="shared" si="26"/>
        <v>126.77</v>
      </c>
      <c r="Y24" s="194">
        <f t="shared" si="27"/>
        <v>144.79515200000003</v>
      </c>
      <c r="Z24" s="131"/>
      <c r="AA24" s="192">
        <f t="shared" si="32"/>
        <v>0</v>
      </c>
      <c r="AB24" s="192">
        <f t="shared" si="28"/>
        <v>144.79515200000003</v>
      </c>
      <c r="AC24" s="192">
        <v>0</v>
      </c>
      <c r="AD24" s="196">
        <v>0</v>
      </c>
      <c r="AE24" s="196">
        <v>0</v>
      </c>
      <c r="AF24" s="196">
        <v>0</v>
      </c>
      <c r="AG24" s="192">
        <f t="shared" si="29"/>
        <v>144.79515200000003</v>
      </c>
      <c r="AH24" s="192">
        <f t="shared" si="30"/>
        <v>3320.2048479999999</v>
      </c>
      <c r="AI24" s="111"/>
      <c r="AJ24" s="52"/>
      <c r="AK24" s="111">
        <v>89</v>
      </c>
      <c r="AL24" s="111">
        <f t="shared" si="31"/>
        <v>55.79515200000003</v>
      </c>
    </row>
    <row r="25" spans="1:38" s="140" customFormat="1" ht="30" customHeight="1">
      <c r="A25" s="7"/>
      <c r="B25" s="108">
        <v>18</v>
      </c>
      <c r="C25" s="147" t="s">
        <v>153</v>
      </c>
      <c r="D25" s="148" t="s">
        <v>129</v>
      </c>
      <c r="E25" s="109">
        <v>15</v>
      </c>
      <c r="F25" s="142">
        <v>231</v>
      </c>
      <c r="G25" s="117">
        <f t="shared" si="16"/>
        <v>3465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92">
        <f t="shared" si="17"/>
        <v>3465</v>
      </c>
      <c r="O25" s="193"/>
      <c r="P25" s="194">
        <f t="shared" si="18"/>
        <v>0</v>
      </c>
      <c r="Q25" s="194">
        <f t="shared" si="19"/>
        <v>3465</v>
      </c>
      <c r="R25" s="194">
        <f t="shared" si="20"/>
        <v>2105.21</v>
      </c>
      <c r="S25" s="194">
        <f t="shared" si="21"/>
        <v>1359.79</v>
      </c>
      <c r="T25" s="195">
        <f t="shared" si="22"/>
        <v>0.10879999999999999</v>
      </c>
      <c r="U25" s="194">
        <f t="shared" si="23"/>
        <v>147.94515199999998</v>
      </c>
      <c r="V25" s="194">
        <f t="shared" si="24"/>
        <v>123.62</v>
      </c>
      <c r="W25" s="194">
        <f t="shared" si="25"/>
        <v>271.56515200000001</v>
      </c>
      <c r="X25" s="194">
        <f t="shared" si="26"/>
        <v>126.77</v>
      </c>
      <c r="Y25" s="194">
        <f t="shared" si="27"/>
        <v>144.79515200000003</v>
      </c>
      <c r="Z25" s="131"/>
      <c r="AA25" s="192">
        <f t="shared" si="32"/>
        <v>0</v>
      </c>
      <c r="AB25" s="192">
        <f t="shared" si="28"/>
        <v>144.79515200000003</v>
      </c>
      <c r="AC25" s="192">
        <v>0</v>
      </c>
      <c r="AD25" s="196">
        <v>0</v>
      </c>
      <c r="AE25" s="196">
        <v>0</v>
      </c>
      <c r="AF25" s="196">
        <v>0</v>
      </c>
      <c r="AG25" s="192">
        <f t="shared" si="29"/>
        <v>144.79515200000003</v>
      </c>
      <c r="AH25" s="192">
        <f t="shared" si="30"/>
        <v>3320.2048479999999</v>
      </c>
      <c r="AI25" s="111"/>
      <c r="AJ25" s="52"/>
      <c r="AK25" s="111">
        <v>90</v>
      </c>
      <c r="AL25" s="111">
        <f t="shared" si="31"/>
        <v>54.79515200000003</v>
      </c>
    </row>
    <row r="26" spans="1:38" s="140" customFormat="1" ht="30" customHeight="1">
      <c r="A26" s="7"/>
      <c r="B26" s="108">
        <v>19</v>
      </c>
      <c r="C26" s="147" t="s">
        <v>154</v>
      </c>
      <c r="D26" s="148" t="s">
        <v>129</v>
      </c>
      <c r="E26" s="109">
        <v>15</v>
      </c>
      <c r="F26" s="142">
        <v>231</v>
      </c>
      <c r="G26" s="117">
        <f t="shared" si="16"/>
        <v>3465</v>
      </c>
      <c r="H26" s="110">
        <v>0</v>
      </c>
      <c r="I26" s="110">
        <v>0</v>
      </c>
      <c r="J26" s="110">
        <v>0</v>
      </c>
      <c r="K26" s="110">
        <v>231</v>
      </c>
      <c r="L26" s="110">
        <v>0</v>
      </c>
      <c r="M26" s="110">
        <v>0</v>
      </c>
      <c r="N26" s="192">
        <f t="shared" si="17"/>
        <v>3696</v>
      </c>
      <c r="O26" s="193"/>
      <c r="P26" s="194">
        <f t="shared" si="18"/>
        <v>115.5</v>
      </c>
      <c r="Q26" s="194">
        <f t="shared" si="19"/>
        <v>3580.5</v>
      </c>
      <c r="R26" s="194">
        <f t="shared" si="20"/>
        <v>2105.21</v>
      </c>
      <c r="S26" s="194">
        <f t="shared" si="21"/>
        <v>1475.29</v>
      </c>
      <c r="T26" s="195">
        <f t="shared" si="22"/>
        <v>0.10879999999999999</v>
      </c>
      <c r="U26" s="194">
        <f t="shared" si="23"/>
        <v>160.51155199999999</v>
      </c>
      <c r="V26" s="194">
        <f t="shared" si="24"/>
        <v>123.62</v>
      </c>
      <c r="W26" s="194">
        <f t="shared" si="25"/>
        <v>284.131552</v>
      </c>
      <c r="X26" s="194">
        <f t="shared" si="26"/>
        <v>108.80500000000001</v>
      </c>
      <c r="Y26" s="194">
        <f t="shared" si="27"/>
        <v>175.32655199999999</v>
      </c>
      <c r="Z26" s="131"/>
      <c r="AA26" s="192">
        <f t="shared" si="32"/>
        <v>0</v>
      </c>
      <c r="AB26" s="192">
        <f t="shared" si="28"/>
        <v>175.32655199999999</v>
      </c>
      <c r="AC26" s="192">
        <v>0</v>
      </c>
      <c r="AD26" s="196">
        <v>0</v>
      </c>
      <c r="AE26" s="196">
        <v>0</v>
      </c>
      <c r="AF26" s="196">
        <v>0</v>
      </c>
      <c r="AG26" s="192">
        <f t="shared" si="29"/>
        <v>175.32655199999999</v>
      </c>
      <c r="AH26" s="192">
        <f t="shared" si="30"/>
        <v>3520.673448</v>
      </c>
      <c r="AI26" s="111"/>
      <c r="AJ26" s="52"/>
      <c r="AK26" s="111">
        <v>91</v>
      </c>
      <c r="AL26" s="111">
        <f t="shared" si="31"/>
        <v>84.326551999999992</v>
      </c>
    </row>
    <row r="27" spans="1:38" s="140" customFormat="1" ht="30" customHeight="1">
      <c r="A27" s="7"/>
      <c r="B27" s="108">
        <v>20</v>
      </c>
      <c r="C27" s="397" t="s">
        <v>530</v>
      </c>
      <c r="D27" s="148" t="s">
        <v>129</v>
      </c>
      <c r="E27" s="109">
        <v>15</v>
      </c>
      <c r="F27" s="142">
        <v>231</v>
      </c>
      <c r="G27" s="117">
        <f t="shared" si="16"/>
        <v>3465</v>
      </c>
      <c r="H27" s="110">
        <v>0</v>
      </c>
      <c r="I27" s="110">
        <v>0</v>
      </c>
      <c r="J27" s="110">
        <v>0</v>
      </c>
      <c r="K27" s="110">
        <v>693</v>
      </c>
      <c r="L27" s="110">
        <v>0</v>
      </c>
      <c r="M27" s="110">
        <v>0</v>
      </c>
      <c r="N27" s="192">
        <f t="shared" si="17"/>
        <v>4158</v>
      </c>
      <c r="O27" s="193"/>
      <c r="P27" s="194">
        <f t="shared" si="18"/>
        <v>346.5</v>
      </c>
      <c r="Q27" s="194">
        <f t="shared" si="19"/>
        <v>3811.5</v>
      </c>
      <c r="R27" s="194">
        <f t="shared" si="20"/>
        <v>3699.7150000000001</v>
      </c>
      <c r="S27" s="194">
        <f t="shared" si="21"/>
        <v>111.78499999999985</v>
      </c>
      <c r="T27" s="195">
        <f t="shared" si="22"/>
        <v>0.16</v>
      </c>
      <c r="U27" s="194">
        <f t="shared" si="23"/>
        <v>17.885599999999979</v>
      </c>
      <c r="V27" s="194">
        <f t="shared" si="24"/>
        <v>297.10500000000002</v>
      </c>
      <c r="W27" s="194">
        <f t="shared" si="25"/>
        <v>314.99059999999997</v>
      </c>
      <c r="X27" s="194">
        <f t="shared" si="26"/>
        <v>0</v>
      </c>
      <c r="Y27" s="194">
        <f t="shared" si="27"/>
        <v>314.99059999999997</v>
      </c>
      <c r="Z27" s="131"/>
      <c r="AA27" s="192">
        <f t="shared" si="32"/>
        <v>0</v>
      </c>
      <c r="AB27" s="192">
        <f t="shared" si="28"/>
        <v>314.99059999999997</v>
      </c>
      <c r="AC27" s="192">
        <v>0</v>
      </c>
      <c r="AD27" s="196">
        <v>0</v>
      </c>
      <c r="AE27" s="196">
        <v>0</v>
      </c>
      <c r="AF27" s="196">
        <v>0</v>
      </c>
      <c r="AG27" s="192">
        <f t="shared" si="29"/>
        <v>314.99059999999997</v>
      </c>
      <c r="AH27" s="409">
        <f t="shared" si="30"/>
        <v>3843.0093999999999</v>
      </c>
      <c r="AI27" s="455"/>
      <c r="AJ27" s="52"/>
      <c r="AK27" s="111">
        <v>92</v>
      </c>
      <c r="AL27" s="111">
        <f t="shared" si="31"/>
        <v>222.99059999999997</v>
      </c>
    </row>
    <row r="28" spans="1:38" s="140" customFormat="1" ht="30" customHeight="1">
      <c r="A28" s="7"/>
      <c r="B28" s="108">
        <v>21</v>
      </c>
      <c r="C28" s="397" t="s">
        <v>531</v>
      </c>
      <c r="D28" s="148" t="s">
        <v>129</v>
      </c>
      <c r="E28" s="109">
        <v>6</v>
      </c>
      <c r="F28" s="142">
        <v>231</v>
      </c>
      <c r="G28" s="117">
        <f t="shared" si="16"/>
        <v>1386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92">
        <f t="shared" si="17"/>
        <v>1386</v>
      </c>
      <c r="O28" s="193"/>
      <c r="P28" s="194">
        <f t="shared" si="18"/>
        <v>0</v>
      </c>
      <c r="Q28" s="194">
        <f t="shared" si="19"/>
        <v>1386</v>
      </c>
      <c r="R28" s="194">
        <f t="shared" si="20"/>
        <v>248.04</v>
      </c>
      <c r="S28" s="194">
        <f t="shared" si="21"/>
        <v>1137.96</v>
      </c>
      <c r="T28" s="195">
        <f t="shared" si="22"/>
        <v>6.4000000000000001E-2</v>
      </c>
      <c r="U28" s="194">
        <f t="shared" si="23"/>
        <v>72.829440000000005</v>
      </c>
      <c r="V28" s="194">
        <f t="shared" si="24"/>
        <v>4.76</v>
      </c>
      <c r="W28" s="194">
        <f t="shared" si="25"/>
        <v>77.58944000000001</v>
      </c>
      <c r="X28" s="194">
        <f t="shared" si="26"/>
        <v>203.31</v>
      </c>
      <c r="Y28" s="194">
        <f t="shared" si="27"/>
        <v>-125.72055999999999</v>
      </c>
      <c r="Z28" s="131"/>
      <c r="AA28" s="192">
        <f t="shared" si="32"/>
        <v>125.72055999999999</v>
      </c>
      <c r="AB28" s="192">
        <f t="shared" si="28"/>
        <v>0</v>
      </c>
      <c r="AC28" s="192">
        <v>0</v>
      </c>
      <c r="AD28" s="196">
        <v>0</v>
      </c>
      <c r="AE28" s="196">
        <v>0</v>
      </c>
      <c r="AF28" s="196">
        <v>0</v>
      </c>
      <c r="AG28" s="192">
        <f t="shared" si="29"/>
        <v>0</v>
      </c>
      <c r="AH28" s="409">
        <f t="shared" si="30"/>
        <v>1511.72056</v>
      </c>
      <c r="AI28" s="456"/>
      <c r="AJ28" s="52"/>
      <c r="AK28" s="111">
        <v>93</v>
      </c>
      <c r="AL28" s="111">
        <f t="shared" si="31"/>
        <v>-93</v>
      </c>
    </row>
    <row r="29" spans="1:38" s="140" customFormat="1" ht="30" customHeight="1">
      <c r="A29" s="7"/>
      <c r="B29" s="108">
        <v>22</v>
      </c>
      <c r="C29" s="147" t="s">
        <v>224</v>
      </c>
      <c r="D29" s="148" t="s">
        <v>129</v>
      </c>
      <c r="E29" s="109">
        <v>15</v>
      </c>
      <c r="F29" s="142">
        <v>231</v>
      </c>
      <c r="G29" s="117">
        <f t="shared" si="16"/>
        <v>3465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92">
        <f t="shared" si="17"/>
        <v>3465</v>
      </c>
      <c r="O29" s="193"/>
      <c r="P29" s="194">
        <f t="shared" si="18"/>
        <v>0</v>
      </c>
      <c r="Q29" s="194">
        <f t="shared" si="19"/>
        <v>3465</v>
      </c>
      <c r="R29" s="194">
        <f t="shared" si="20"/>
        <v>2105.21</v>
      </c>
      <c r="S29" s="194">
        <f t="shared" si="21"/>
        <v>1359.79</v>
      </c>
      <c r="T29" s="195">
        <f t="shared" si="22"/>
        <v>0.10879999999999999</v>
      </c>
      <c r="U29" s="194">
        <f t="shared" si="23"/>
        <v>147.94515199999998</v>
      </c>
      <c r="V29" s="194">
        <f t="shared" si="24"/>
        <v>123.62</v>
      </c>
      <c r="W29" s="194">
        <f t="shared" si="25"/>
        <v>271.56515200000001</v>
      </c>
      <c r="X29" s="194">
        <f t="shared" si="26"/>
        <v>126.77</v>
      </c>
      <c r="Y29" s="194">
        <f t="shared" si="27"/>
        <v>144.79515200000003</v>
      </c>
      <c r="Z29" s="131"/>
      <c r="AA29" s="192">
        <f t="shared" si="32"/>
        <v>0</v>
      </c>
      <c r="AB29" s="192">
        <f t="shared" si="28"/>
        <v>144.79515200000003</v>
      </c>
      <c r="AC29" s="192">
        <v>0</v>
      </c>
      <c r="AD29" s="196">
        <v>0</v>
      </c>
      <c r="AE29" s="196">
        <v>0</v>
      </c>
      <c r="AF29" s="196">
        <v>0</v>
      </c>
      <c r="AG29" s="192">
        <f t="shared" si="29"/>
        <v>144.79515200000003</v>
      </c>
      <c r="AH29" s="192">
        <f t="shared" si="30"/>
        <v>3320.2048479999999</v>
      </c>
      <c r="AI29" s="111"/>
      <c r="AJ29" s="52"/>
      <c r="AK29" s="111">
        <v>94</v>
      </c>
      <c r="AL29" s="111">
        <f t="shared" si="31"/>
        <v>50.79515200000003</v>
      </c>
    </row>
    <row r="30" spans="1:38" s="140" customFormat="1" ht="30" customHeight="1">
      <c r="A30" s="7"/>
      <c r="B30" s="108">
        <v>23</v>
      </c>
      <c r="C30" s="147" t="s">
        <v>225</v>
      </c>
      <c r="D30" s="148" t="s">
        <v>129</v>
      </c>
      <c r="E30" s="109">
        <v>15</v>
      </c>
      <c r="F30" s="142">
        <v>231</v>
      </c>
      <c r="G30" s="117">
        <f t="shared" si="16"/>
        <v>3465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92">
        <f t="shared" si="17"/>
        <v>3465</v>
      </c>
      <c r="O30" s="193"/>
      <c r="P30" s="194">
        <f t="shared" si="18"/>
        <v>0</v>
      </c>
      <c r="Q30" s="194">
        <f t="shared" si="19"/>
        <v>3465</v>
      </c>
      <c r="R30" s="194">
        <f t="shared" si="20"/>
        <v>2105.21</v>
      </c>
      <c r="S30" s="194">
        <f t="shared" si="21"/>
        <v>1359.79</v>
      </c>
      <c r="T30" s="195">
        <f t="shared" si="22"/>
        <v>0.10879999999999999</v>
      </c>
      <c r="U30" s="194">
        <f t="shared" si="23"/>
        <v>147.94515199999998</v>
      </c>
      <c r="V30" s="194">
        <f t="shared" si="24"/>
        <v>123.62</v>
      </c>
      <c r="W30" s="194">
        <f t="shared" si="25"/>
        <v>271.56515200000001</v>
      </c>
      <c r="X30" s="194">
        <f t="shared" si="26"/>
        <v>126.77</v>
      </c>
      <c r="Y30" s="194">
        <f t="shared" si="27"/>
        <v>144.79515200000003</v>
      </c>
      <c r="Z30" s="131"/>
      <c r="AA30" s="192">
        <f t="shared" si="32"/>
        <v>0</v>
      </c>
      <c r="AB30" s="192">
        <f t="shared" si="28"/>
        <v>144.79515200000003</v>
      </c>
      <c r="AC30" s="192">
        <v>0</v>
      </c>
      <c r="AD30" s="196">
        <v>0</v>
      </c>
      <c r="AE30" s="196">
        <v>0</v>
      </c>
      <c r="AF30" s="196">
        <v>0</v>
      </c>
      <c r="AG30" s="192">
        <f t="shared" si="29"/>
        <v>144.79515200000003</v>
      </c>
      <c r="AH30" s="192">
        <f t="shared" si="30"/>
        <v>3320.2048479999999</v>
      </c>
      <c r="AI30" s="111"/>
      <c r="AJ30" s="52"/>
      <c r="AK30" s="111">
        <v>95</v>
      </c>
      <c r="AL30" s="111">
        <f t="shared" si="31"/>
        <v>49.79515200000003</v>
      </c>
    </row>
    <row r="31" spans="1:38" s="140" customFormat="1" ht="30" customHeight="1">
      <c r="A31" s="7"/>
      <c r="B31" s="108">
        <v>24</v>
      </c>
      <c r="C31" s="147" t="s">
        <v>405</v>
      </c>
      <c r="D31" s="148" t="s">
        <v>129</v>
      </c>
      <c r="E31" s="109">
        <v>15</v>
      </c>
      <c r="F31" s="142">
        <v>231</v>
      </c>
      <c r="G31" s="117">
        <f t="shared" ref="G31" si="33">E31*F31</f>
        <v>3465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92">
        <f t="shared" ref="N31" si="34">SUM(G31:M31)</f>
        <v>3465</v>
      </c>
      <c r="O31" s="193"/>
      <c r="P31" s="194">
        <f t="shared" ref="P31" si="35">IF(F31=47.16,0,IF(F31&gt;47.16,K31*0.5,0))</f>
        <v>0</v>
      </c>
      <c r="Q31" s="194">
        <f t="shared" ref="Q31" si="36">G31+H31+I31+L31+P31+J31</f>
        <v>3465</v>
      </c>
      <c r="R31" s="194">
        <f t="shared" ref="R31" si="37">VLOOKUP(Q31,Tarifa1,1)</f>
        <v>2105.21</v>
      </c>
      <c r="S31" s="194">
        <f t="shared" ref="S31" si="38">Q31-R31</f>
        <v>1359.79</v>
      </c>
      <c r="T31" s="195">
        <f t="shared" ref="T31" si="39">VLOOKUP(Q31,Tarifa1,3)</f>
        <v>0.10879999999999999</v>
      </c>
      <c r="U31" s="194">
        <f t="shared" ref="U31" si="40">S31*T31</f>
        <v>147.94515199999998</v>
      </c>
      <c r="V31" s="194">
        <f t="shared" ref="V31" si="41">VLOOKUP(Q31,Tarifa1,2)</f>
        <v>123.62</v>
      </c>
      <c r="W31" s="194">
        <f t="shared" ref="W31" si="42">U31+V31</f>
        <v>271.56515200000001</v>
      </c>
      <c r="X31" s="194">
        <f t="shared" ref="X31" si="43">VLOOKUP(Q31,Credito1,2)</f>
        <v>126.77</v>
      </c>
      <c r="Y31" s="194">
        <f t="shared" ref="Y31" si="44">W31-X31</f>
        <v>144.79515200000003</v>
      </c>
      <c r="Z31" s="131"/>
      <c r="AA31" s="192">
        <f t="shared" ref="AA31" si="45">-IF(Y31&gt;0,0,Y31)</f>
        <v>0</v>
      </c>
      <c r="AB31" s="192">
        <f t="shared" ref="AB31" si="46">IF(Y31&lt;0,0,Y31)</f>
        <v>144.79515200000003</v>
      </c>
      <c r="AC31" s="192">
        <v>0</v>
      </c>
      <c r="AD31" s="196">
        <v>0</v>
      </c>
      <c r="AE31" s="196">
        <v>0</v>
      </c>
      <c r="AF31" s="196">
        <v>0</v>
      </c>
      <c r="AG31" s="192">
        <f t="shared" ref="AG31" si="47">SUM(AB31:AF31)</f>
        <v>144.79515200000003</v>
      </c>
      <c r="AH31" s="192">
        <f t="shared" ref="AH31" si="48">N31+AA31-AG31</f>
        <v>3320.2048479999999</v>
      </c>
      <c r="AI31" s="111"/>
      <c r="AJ31" s="52"/>
      <c r="AK31" s="111"/>
      <c r="AL31" s="111"/>
    </row>
    <row r="32" spans="1:38" s="140" customFormat="1" ht="30" customHeight="1">
      <c r="A32" s="7"/>
      <c r="B32" s="108">
        <v>25</v>
      </c>
      <c r="C32" s="147" t="s">
        <v>265</v>
      </c>
      <c r="D32" s="148" t="s">
        <v>129</v>
      </c>
      <c r="E32" s="109">
        <v>15</v>
      </c>
      <c r="F32" s="142">
        <v>231</v>
      </c>
      <c r="G32" s="117">
        <f t="shared" ref="G32" si="49">E32*F32</f>
        <v>3465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92">
        <f t="shared" ref="N32" si="50">SUM(G32:M32)</f>
        <v>3465</v>
      </c>
      <c r="O32" s="193"/>
      <c r="P32" s="194">
        <f t="shared" ref="P32" si="51">IF(F32=47.16,0,IF(F32&gt;47.16,K32*0.5,0))</f>
        <v>0</v>
      </c>
      <c r="Q32" s="194">
        <f t="shared" ref="Q32" si="52">G32+H32+I32+L32+P32+J32</f>
        <v>3465</v>
      </c>
      <c r="R32" s="194">
        <f t="shared" ref="R32" si="53">VLOOKUP(Q32,Tarifa1,1)</f>
        <v>2105.21</v>
      </c>
      <c r="S32" s="194">
        <f t="shared" ref="S32" si="54">Q32-R32</f>
        <v>1359.79</v>
      </c>
      <c r="T32" s="195">
        <f t="shared" ref="T32" si="55">VLOOKUP(Q32,Tarifa1,3)</f>
        <v>0.10879999999999999</v>
      </c>
      <c r="U32" s="194">
        <f t="shared" ref="U32" si="56">S32*T32</f>
        <v>147.94515199999998</v>
      </c>
      <c r="V32" s="194">
        <f t="shared" ref="V32" si="57">VLOOKUP(Q32,Tarifa1,2)</f>
        <v>123.62</v>
      </c>
      <c r="W32" s="194">
        <f t="shared" ref="W32" si="58">U32+V32</f>
        <v>271.56515200000001</v>
      </c>
      <c r="X32" s="194">
        <f t="shared" ref="X32" si="59">VLOOKUP(Q32,Credito1,2)</f>
        <v>126.77</v>
      </c>
      <c r="Y32" s="194">
        <f t="shared" ref="Y32" si="60">W32-X32</f>
        <v>144.79515200000003</v>
      </c>
      <c r="Z32" s="131"/>
      <c r="AA32" s="192">
        <f t="shared" ref="AA32" si="61">-IF(Y32&gt;0,0,Y32)</f>
        <v>0</v>
      </c>
      <c r="AB32" s="192">
        <f t="shared" ref="AB32" si="62">IF(Y32&lt;0,0,Y32)</f>
        <v>144.79515200000003</v>
      </c>
      <c r="AC32" s="192">
        <v>0</v>
      </c>
      <c r="AD32" s="196">
        <v>0</v>
      </c>
      <c r="AE32" s="196">
        <v>0</v>
      </c>
      <c r="AF32" s="196">
        <v>0</v>
      </c>
      <c r="AG32" s="192">
        <f t="shared" ref="AG32" si="63">SUM(AB32:AF32)</f>
        <v>144.79515200000003</v>
      </c>
      <c r="AH32" s="192">
        <f t="shared" ref="AH32" si="64">N32+AA32-AG32</f>
        <v>3320.2048479999999</v>
      </c>
      <c r="AI32" s="111"/>
      <c r="AJ32" s="52"/>
      <c r="AK32" s="111">
        <v>96</v>
      </c>
      <c r="AL32" s="111">
        <f t="shared" ref="AL32" si="65">AB32-AK32</f>
        <v>48.79515200000003</v>
      </c>
    </row>
    <row r="33" spans="1:38" s="140" customFormat="1" ht="30" customHeight="1">
      <c r="A33" s="7"/>
      <c r="B33" s="108">
        <v>26</v>
      </c>
      <c r="C33" s="397" t="s">
        <v>406</v>
      </c>
      <c r="D33" s="398" t="s">
        <v>445</v>
      </c>
      <c r="E33" s="399">
        <v>15</v>
      </c>
      <c r="F33" s="400">
        <v>120</v>
      </c>
      <c r="G33" s="405">
        <f t="shared" ref="G33" si="66">E33*F33</f>
        <v>1800</v>
      </c>
      <c r="H33" s="406">
        <v>0</v>
      </c>
      <c r="I33" s="406">
        <v>0</v>
      </c>
      <c r="J33" s="406">
        <v>0</v>
      </c>
      <c r="K33" s="406">
        <v>30</v>
      </c>
      <c r="L33" s="406">
        <v>0</v>
      </c>
      <c r="M33" s="406">
        <v>0</v>
      </c>
      <c r="N33" s="409">
        <f t="shared" ref="N33" si="67">SUM(G33:M33)</f>
        <v>1830</v>
      </c>
      <c r="O33" s="410"/>
      <c r="P33" s="409">
        <f t="shared" ref="P33" si="68">IF(F33=47.16,0,IF(F33&gt;47.16,K33*0.5,0))</f>
        <v>15</v>
      </c>
      <c r="Q33" s="409">
        <f t="shared" ref="Q33" si="69">G33+H33+I33+L33+P33+J33</f>
        <v>1815</v>
      </c>
      <c r="R33" s="409">
        <f t="shared" ref="R33" si="70">VLOOKUP(Q33,Tarifa1,1)</f>
        <v>248.04</v>
      </c>
      <c r="S33" s="409">
        <f t="shared" ref="S33" si="71">Q33-R33</f>
        <v>1566.96</v>
      </c>
      <c r="T33" s="411">
        <f t="shared" ref="T33" si="72">VLOOKUP(Q33,Tarifa1,3)</f>
        <v>6.4000000000000001E-2</v>
      </c>
      <c r="U33" s="409">
        <f t="shared" ref="U33" si="73">S33*T33</f>
        <v>100.28544000000001</v>
      </c>
      <c r="V33" s="409">
        <f t="shared" ref="V33" si="74">VLOOKUP(Q33,Tarifa1,2)</f>
        <v>4.76</v>
      </c>
      <c r="W33" s="409">
        <f t="shared" ref="W33" si="75">U33+V33</f>
        <v>105.04544000000001</v>
      </c>
      <c r="X33" s="409">
        <f t="shared" ref="X33" si="76">VLOOKUP(Q33,Credito1,2)</f>
        <v>191.23</v>
      </c>
      <c r="Y33" s="409">
        <f t="shared" ref="Y33" si="77">W33-X33</f>
        <v>-86.184559999999976</v>
      </c>
      <c r="Z33" s="410"/>
      <c r="AA33" s="409">
        <f t="shared" ref="AA33" si="78">-IF(Y33&gt;0,0,Y33)</f>
        <v>86.184559999999976</v>
      </c>
      <c r="AB33" s="409">
        <f t="shared" ref="AB33" si="79">IF(Y33&lt;0,0,Y33)</f>
        <v>0</v>
      </c>
      <c r="AC33" s="409">
        <v>0</v>
      </c>
      <c r="AD33" s="412">
        <v>0</v>
      </c>
      <c r="AE33" s="412">
        <v>0</v>
      </c>
      <c r="AF33" s="412">
        <v>0</v>
      </c>
      <c r="AG33" s="409">
        <f t="shared" ref="AG33" si="80">SUM(AB33:AF33)</f>
        <v>0</v>
      </c>
      <c r="AH33" s="409">
        <f t="shared" ref="AH33" si="81">N33+AA33-AG33</f>
        <v>1916.1845599999999</v>
      </c>
      <c r="AI33" s="111"/>
      <c r="AJ33" s="52"/>
      <c r="AK33" s="257"/>
      <c r="AL33" s="257"/>
    </row>
    <row r="34" spans="1:38" s="140" customFormat="1" ht="30" customHeight="1">
      <c r="A34" s="458"/>
      <c r="B34" s="459">
        <v>27</v>
      </c>
      <c r="C34" s="442" t="s">
        <v>407</v>
      </c>
      <c r="D34" s="443" t="s">
        <v>408</v>
      </c>
      <c r="E34" s="444">
        <v>15</v>
      </c>
      <c r="F34" s="460">
        <v>120</v>
      </c>
      <c r="G34" s="405">
        <f t="shared" ref="G34" si="82">E34*F34</f>
        <v>1800</v>
      </c>
      <c r="H34" s="406">
        <v>0</v>
      </c>
      <c r="I34" s="406">
        <v>0</v>
      </c>
      <c r="J34" s="406">
        <v>0</v>
      </c>
      <c r="K34" s="406">
        <v>0</v>
      </c>
      <c r="L34" s="406">
        <v>0</v>
      </c>
      <c r="M34" s="406">
        <v>0</v>
      </c>
      <c r="N34" s="409">
        <f t="shared" ref="N34" si="83">SUM(G34:M34)</f>
        <v>1800</v>
      </c>
      <c r="O34" s="410"/>
      <c r="P34" s="409">
        <f t="shared" ref="P34" si="84">IF(F34=47.16,0,IF(F34&gt;47.16,K34*0.5,0))</f>
        <v>0</v>
      </c>
      <c r="Q34" s="409">
        <f t="shared" ref="Q34" si="85">G34+H34+I34+L34+P34+J34</f>
        <v>1800</v>
      </c>
      <c r="R34" s="409">
        <f t="shared" ref="R34" si="86">VLOOKUP(Q34,Tarifa1,1)</f>
        <v>248.04</v>
      </c>
      <c r="S34" s="409">
        <f t="shared" ref="S34" si="87">Q34-R34</f>
        <v>1551.96</v>
      </c>
      <c r="T34" s="411">
        <f t="shared" ref="T34" si="88">VLOOKUP(Q34,Tarifa1,3)</f>
        <v>6.4000000000000001E-2</v>
      </c>
      <c r="U34" s="409">
        <f t="shared" ref="U34" si="89">S34*T34</f>
        <v>99.32544</v>
      </c>
      <c r="V34" s="409">
        <f t="shared" ref="V34" si="90">VLOOKUP(Q34,Tarifa1,2)</f>
        <v>4.76</v>
      </c>
      <c r="W34" s="409">
        <f t="shared" ref="W34" si="91">U34+V34</f>
        <v>104.08544000000001</v>
      </c>
      <c r="X34" s="409">
        <f t="shared" ref="X34" si="92">VLOOKUP(Q34,Credito1,2)</f>
        <v>191.23</v>
      </c>
      <c r="Y34" s="409">
        <f t="shared" ref="Y34" si="93">W34-X34</f>
        <v>-87.144559999999984</v>
      </c>
      <c r="Z34" s="410"/>
      <c r="AA34" s="409">
        <f t="shared" ref="AA34" si="94">-IF(Y34&gt;0,0,Y34)</f>
        <v>87.144559999999984</v>
      </c>
      <c r="AB34" s="409">
        <f t="shared" ref="AB34" si="95">IF(Y34&lt;0,0,Y34)</f>
        <v>0</v>
      </c>
      <c r="AC34" s="409">
        <v>0</v>
      </c>
      <c r="AD34" s="412">
        <v>0</v>
      </c>
      <c r="AE34" s="412">
        <v>0</v>
      </c>
      <c r="AF34" s="412">
        <v>0</v>
      </c>
      <c r="AG34" s="409">
        <f t="shared" ref="AG34" si="96">SUM(AB34:AF34)</f>
        <v>0</v>
      </c>
      <c r="AH34" s="409">
        <f t="shared" ref="AH34" si="97">N34+AA34-AG34</f>
        <v>1887.14456</v>
      </c>
      <c r="AI34" s="257"/>
      <c r="AJ34" s="52"/>
      <c r="AK34" s="257"/>
      <c r="AL34" s="257"/>
    </row>
    <row r="35" spans="1:38" s="140" customFormat="1">
      <c r="A35" s="7"/>
      <c r="B35" s="100"/>
      <c r="C35" s="115"/>
      <c r="D35" s="115"/>
      <c r="E35" s="100"/>
      <c r="F35" s="101"/>
      <c r="G35" s="118"/>
      <c r="H35" s="102"/>
      <c r="I35" s="102"/>
      <c r="J35" s="102"/>
      <c r="K35" s="102"/>
      <c r="L35" s="102"/>
      <c r="M35" s="102"/>
      <c r="N35" s="197"/>
      <c r="O35" s="198"/>
      <c r="P35" s="199"/>
      <c r="Q35" s="200"/>
      <c r="R35" s="200"/>
      <c r="S35" s="200"/>
      <c r="T35" s="200"/>
      <c r="U35" s="200"/>
      <c r="V35" s="200"/>
      <c r="W35" s="200"/>
      <c r="X35" s="200"/>
      <c r="Y35" s="200"/>
      <c r="Z35" s="201"/>
      <c r="AA35" s="197"/>
      <c r="AB35" s="197"/>
      <c r="AC35" s="197"/>
      <c r="AD35" s="197"/>
      <c r="AE35" s="197"/>
      <c r="AF35" s="197"/>
      <c r="AG35" s="197"/>
      <c r="AH35" s="202"/>
      <c r="AI35" s="105"/>
      <c r="AJ35" s="7"/>
      <c r="AK35" s="105"/>
      <c r="AL35" s="105"/>
    </row>
    <row r="36" spans="1:38" s="140" customFormat="1">
      <c r="A36" s="7"/>
      <c r="B36" s="93"/>
      <c r="C36" s="93"/>
      <c r="D36" s="93"/>
      <c r="E36" s="92"/>
      <c r="F36" s="93"/>
      <c r="G36" s="95"/>
      <c r="H36" s="95"/>
      <c r="I36" s="95"/>
      <c r="J36" s="95"/>
      <c r="K36" s="95"/>
      <c r="L36" s="95"/>
      <c r="M36" s="95"/>
      <c r="N36" s="203"/>
      <c r="O36" s="204"/>
      <c r="P36" s="205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7"/>
      <c r="AJ36" s="7"/>
      <c r="AK36" s="98"/>
      <c r="AL36" s="98"/>
    </row>
    <row r="37" spans="1:38" s="140" customFormat="1" ht="15.75" thickBot="1">
      <c r="A37" s="7"/>
      <c r="B37" s="634" t="s">
        <v>71</v>
      </c>
      <c r="C37" s="635"/>
      <c r="D37" s="635"/>
      <c r="E37" s="635"/>
      <c r="F37" s="636"/>
      <c r="G37" s="188">
        <f t="shared" ref="G37:N37" si="98">SUM(G8:G36)</f>
        <v>89901</v>
      </c>
      <c r="H37" s="188">
        <f t="shared" si="98"/>
        <v>0</v>
      </c>
      <c r="I37" s="188">
        <f t="shared" si="98"/>
        <v>0</v>
      </c>
      <c r="J37" s="188">
        <f t="shared" si="98"/>
        <v>0</v>
      </c>
      <c r="K37" s="188">
        <f t="shared" si="98"/>
        <v>954</v>
      </c>
      <c r="L37" s="188">
        <f t="shared" si="98"/>
        <v>0</v>
      </c>
      <c r="M37" s="188">
        <f t="shared" si="98"/>
        <v>0</v>
      </c>
      <c r="N37" s="191">
        <f t="shared" si="98"/>
        <v>90855</v>
      </c>
      <c r="O37" s="207"/>
      <c r="P37" s="208">
        <f t="shared" ref="P37:Y37" si="99">SUM(P8:P36)</f>
        <v>477</v>
      </c>
      <c r="Q37" s="208">
        <f t="shared" si="99"/>
        <v>90378</v>
      </c>
      <c r="R37" s="208">
        <f t="shared" si="99"/>
        <v>58248.219999999994</v>
      </c>
      <c r="S37" s="208">
        <f t="shared" si="99"/>
        <v>32129.78000000001</v>
      </c>
      <c r="T37" s="208">
        <f t="shared" si="99"/>
        <v>3.0272000000000001</v>
      </c>
      <c r="U37" s="208">
        <f t="shared" si="99"/>
        <v>3334.7112639999987</v>
      </c>
      <c r="V37" s="208">
        <f t="shared" si="99"/>
        <v>3771.2649999999985</v>
      </c>
      <c r="W37" s="208">
        <f t="shared" si="99"/>
        <v>7105.9762640000017</v>
      </c>
      <c r="X37" s="208">
        <f t="shared" si="99"/>
        <v>3103.2049999999999</v>
      </c>
      <c r="Y37" s="208">
        <f t="shared" si="99"/>
        <v>4002.7712640000018</v>
      </c>
      <c r="Z37" s="207"/>
      <c r="AA37" s="191">
        <f t="shared" ref="AA37:AH37" si="100">SUM(AA8:AA36)</f>
        <v>299.04967999999997</v>
      </c>
      <c r="AB37" s="191">
        <f t="shared" si="100"/>
        <v>4301.8209440000019</v>
      </c>
      <c r="AC37" s="191">
        <f t="shared" si="100"/>
        <v>0</v>
      </c>
      <c r="AD37" s="191">
        <f t="shared" si="100"/>
        <v>0</v>
      </c>
      <c r="AE37" s="191">
        <f t="shared" si="100"/>
        <v>0</v>
      </c>
      <c r="AF37" s="191">
        <f t="shared" si="100"/>
        <v>0</v>
      </c>
      <c r="AG37" s="191">
        <f t="shared" si="100"/>
        <v>4301.8209440000019</v>
      </c>
      <c r="AH37" s="191">
        <f t="shared" si="100"/>
        <v>86852.22873599999</v>
      </c>
      <c r="AI37" s="114"/>
      <c r="AJ37" s="7"/>
      <c r="AK37" s="114">
        <f t="shared" ref="AK37:AL37" si="101">SUM(AK8:AK36)</f>
        <v>2028</v>
      </c>
      <c r="AL37" s="114">
        <f t="shared" si="101"/>
        <v>2129.0257920000022</v>
      </c>
    </row>
    <row r="38" spans="1:38" s="140" customFormat="1" ht="13.5" thickTop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59"/>
      <c r="AB38" s="159"/>
      <c r="AC38" s="159"/>
      <c r="AD38" s="159"/>
      <c r="AE38" s="159"/>
      <c r="AF38" s="159"/>
      <c r="AG38" s="159"/>
      <c r="AH38" s="159"/>
      <c r="AI38" s="7"/>
      <c r="AJ38" s="7"/>
      <c r="AK38" s="7"/>
      <c r="AL38" s="7"/>
    </row>
    <row r="41" spans="1:38">
      <c r="C41" s="52"/>
      <c r="D41" s="52"/>
    </row>
    <row r="42" spans="1:38">
      <c r="C42" s="52"/>
      <c r="D42" s="52"/>
    </row>
    <row r="43" spans="1:38">
      <c r="C43" s="52"/>
      <c r="D43" s="52"/>
    </row>
    <row r="45" spans="1:38">
      <c r="C45" s="144"/>
      <c r="D45" s="144"/>
    </row>
  </sheetData>
  <mergeCells count="6">
    <mergeCell ref="B37:F37"/>
    <mergeCell ref="B2:AH2"/>
    <mergeCell ref="B3:AH3"/>
    <mergeCell ref="G4:N4"/>
    <mergeCell ref="R4:W4"/>
    <mergeCell ref="AB4:AG4"/>
  </mergeCells>
  <pageMargins left="3.937007874015748E-2" right="0" top="0" bottom="0" header="0.31496062992125984" footer="0.31496062992125984"/>
  <pageSetup paperSize="5"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L55"/>
  <sheetViews>
    <sheetView showGridLines="0" zoomScale="35" zoomScaleNormal="35" workbookViewId="0">
      <selection activeCell="B4" sqref="B4:B6"/>
    </sheetView>
  </sheetViews>
  <sheetFormatPr baseColWidth="10" defaultColWidth="11.42578125" defaultRowHeight="23.25"/>
  <cols>
    <col min="1" max="1" width="49.7109375" style="505" customWidth="1"/>
    <col min="2" max="2" width="27.28515625" style="505" customWidth="1"/>
    <col min="3" max="3" width="92" style="505" customWidth="1"/>
    <col min="4" max="4" width="133" style="505" customWidth="1"/>
    <col min="5" max="5" width="31.140625" style="505" customWidth="1"/>
    <col min="6" max="6" width="11.28515625" style="505" hidden="1" customWidth="1"/>
    <col min="7" max="7" width="13.28515625" style="505" hidden="1" customWidth="1"/>
    <col min="8" max="8" width="11.85546875" style="505" hidden="1" customWidth="1"/>
    <col min="9" max="9" width="12.140625" style="505" hidden="1" customWidth="1"/>
    <col min="10" max="10" width="11.5703125" style="505" hidden="1" customWidth="1"/>
    <col min="11" max="11" width="12" style="505" hidden="1" customWidth="1"/>
    <col min="12" max="12" width="12.7109375" style="505" hidden="1" customWidth="1"/>
    <col min="13" max="13" width="10.85546875" style="505" hidden="1" customWidth="1"/>
    <col min="14" max="14" width="12.85546875" style="505" hidden="1" customWidth="1"/>
    <col min="15" max="15" width="8.7109375" style="505" hidden="1" customWidth="1"/>
    <col min="16" max="16" width="13.140625" style="505" hidden="1" customWidth="1"/>
    <col min="17" max="19" width="11" style="505" hidden="1" customWidth="1"/>
    <col min="20" max="21" width="13.140625" style="505" hidden="1" customWidth="1"/>
    <col min="22" max="22" width="10.5703125" style="505" hidden="1" customWidth="1"/>
    <col min="23" max="23" width="10.42578125" style="505" hidden="1" customWidth="1"/>
    <col min="24" max="24" width="13.140625" style="505" hidden="1" customWidth="1"/>
    <col min="25" max="25" width="11.5703125" style="505" hidden="1" customWidth="1"/>
    <col min="26" max="26" width="7.7109375" style="505" hidden="1" customWidth="1"/>
    <col min="27" max="27" width="10.28515625" style="505" hidden="1" customWidth="1"/>
    <col min="28" max="28" width="10.7109375" style="505" hidden="1" customWidth="1"/>
    <col min="29" max="29" width="11.28515625" style="505" hidden="1" customWidth="1"/>
    <col min="30" max="31" width="10.42578125" style="505" hidden="1" customWidth="1"/>
    <col min="32" max="32" width="13.42578125" style="505" hidden="1" customWidth="1"/>
    <col min="33" max="33" width="11.140625" style="505" hidden="1" customWidth="1"/>
    <col min="34" max="34" width="35.7109375" style="505" customWidth="1"/>
    <col min="35" max="35" width="132.7109375" style="505" customWidth="1"/>
    <col min="36" max="36" width="3.140625" style="505" customWidth="1"/>
    <col min="37" max="38" width="13.42578125" style="505" hidden="1" customWidth="1"/>
    <col min="39" max="39" width="0" style="505" hidden="1" customWidth="1"/>
    <col min="40" max="16384" width="11.42578125" style="505"/>
  </cols>
  <sheetData>
    <row r="2" spans="1:38" s="506" customFormat="1">
      <c r="A2" s="505"/>
      <c r="B2" s="672" t="s">
        <v>113</v>
      </c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  <c r="AD2" s="672"/>
      <c r="AE2" s="672"/>
      <c r="AF2" s="672"/>
      <c r="AG2" s="672"/>
      <c r="AH2" s="672"/>
      <c r="AI2" s="672"/>
      <c r="AJ2" s="505"/>
    </row>
    <row r="3" spans="1:38" s="506" customFormat="1">
      <c r="A3" s="505"/>
      <c r="B3" s="673" t="s">
        <v>689</v>
      </c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3"/>
      <c r="S3" s="673"/>
      <c r="T3" s="673"/>
      <c r="U3" s="673"/>
      <c r="V3" s="673"/>
      <c r="W3" s="673"/>
      <c r="X3" s="673"/>
      <c r="Y3" s="673"/>
      <c r="Z3" s="673"/>
      <c r="AA3" s="673"/>
      <c r="AB3" s="673"/>
      <c r="AC3" s="673"/>
      <c r="AD3" s="673"/>
      <c r="AE3" s="673"/>
      <c r="AF3" s="673"/>
      <c r="AG3" s="673"/>
      <c r="AH3" s="673"/>
      <c r="AI3" s="673"/>
      <c r="AJ3" s="505"/>
    </row>
    <row r="4" spans="1:38" s="506" customFormat="1">
      <c r="A4" s="505"/>
      <c r="B4" s="507" t="s">
        <v>672</v>
      </c>
      <c r="C4" s="507"/>
      <c r="D4" s="507"/>
      <c r="E4" s="508" t="s">
        <v>44</v>
      </c>
      <c r="F4" s="508" t="s">
        <v>9</v>
      </c>
      <c r="G4" s="666" t="s">
        <v>2</v>
      </c>
      <c r="H4" s="667"/>
      <c r="I4" s="667"/>
      <c r="J4" s="667"/>
      <c r="K4" s="667"/>
      <c r="L4" s="667"/>
      <c r="M4" s="667"/>
      <c r="N4" s="668"/>
      <c r="O4" s="509"/>
      <c r="P4" s="510" t="s">
        <v>49</v>
      </c>
      <c r="Q4" s="511"/>
      <c r="R4" s="669" t="s">
        <v>30</v>
      </c>
      <c r="S4" s="670"/>
      <c r="T4" s="670"/>
      <c r="U4" s="670"/>
      <c r="V4" s="670"/>
      <c r="W4" s="671"/>
      <c r="X4" s="510" t="s">
        <v>56</v>
      </c>
      <c r="Y4" s="510" t="s">
        <v>31</v>
      </c>
      <c r="Z4" s="512"/>
      <c r="AA4" s="508" t="s">
        <v>91</v>
      </c>
      <c r="AB4" s="666" t="s">
        <v>3</v>
      </c>
      <c r="AC4" s="667"/>
      <c r="AD4" s="667"/>
      <c r="AE4" s="667"/>
      <c r="AF4" s="667"/>
      <c r="AG4" s="668"/>
      <c r="AH4" s="508" t="s">
        <v>0</v>
      </c>
      <c r="AI4" s="508"/>
      <c r="AJ4" s="505"/>
      <c r="AK4" s="508" t="s">
        <v>31</v>
      </c>
      <c r="AL4" s="508"/>
    </row>
    <row r="5" spans="1:38" s="506" customFormat="1">
      <c r="A5" s="505"/>
      <c r="B5" s="513" t="s">
        <v>42</v>
      </c>
      <c r="C5" s="513" t="s">
        <v>43</v>
      </c>
      <c r="D5" s="513"/>
      <c r="E5" s="514" t="s">
        <v>45</v>
      </c>
      <c r="F5" s="513" t="s">
        <v>46</v>
      </c>
      <c r="G5" s="508" t="s">
        <v>9</v>
      </c>
      <c r="H5" s="508" t="s">
        <v>47</v>
      </c>
      <c r="I5" s="508" t="s">
        <v>47</v>
      </c>
      <c r="J5" s="508" t="s">
        <v>76</v>
      </c>
      <c r="K5" s="508" t="s">
        <v>49</v>
      </c>
      <c r="L5" s="508" t="s">
        <v>51</v>
      </c>
      <c r="M5" s="508" t="s">
        <v>51</v>
      </c>
      <c r="N5" s="508" t="s">
        <v>54</v>
      </c>
      <c r="O5" s="509"/>
      <c r="P5" s="515" t="s">
        <v>50</v>
      </c>
      <c r="Q5" s="511" t="s">
        <v>58</v>
      </c>
      <c r="R5" s="511" t="s">
        <v>33</v>
      </c>
      <c r="S5" s="511" t="s">
        <v>60</v>
      </c>
      <c r="T5" s="511" t="s">
        <v>62</v>
      </c>
      <c r="U5" s="511" t="s">
        <v>63</v>
      </c>
      <c r="V5" s="511" t="s">
        <v>35</v>
      </c>
      <c r="W5" s="511" t="s">
        <v>31</v>
      </c>
      <c r="X5" s="515" t="s">
        <v>66</v>
      </c>
      <c r="Y5" s="515" t="s">
        <v>67</v>
      </c>
      <c r="Z5" s="512"/>
      <c r="AA5" s="513" t="s">
        <v>57</v>
      </c>
      <c r="AB5" s="508" t="s">
        <v>4</v>
      </c>
      <c r="AC5" s="508" t="s">
        <v>5</v>
      </c>
      <c r="AD5" s="508" t="s">
        <v>56</v>
      </c>
      <c r="AE5" s="508" t="s">
        <v>77</v>
      </c>
      <c r="AF5" s="508"/>
      <c r="AG5" s="508" t="s">
        <v>10</v>
      </c>
      <c r="AH5" s="513" t="s">
        <v>6</v>
      </c>
      <c r="AI5" s="513" t="s">
        <v>110</v>
      </c>
      <c r="AJ5" s="505"/>
      <c r="AK5" s="513" t="s">
        <v>105</v>
      </c>
      <c r="AL5" s="513" t="s">
        <v>107</v>
      </c>
    </row>
    <row r="6" spans="1:38" s="506" customFormat="1" ht="20.25" customHeight="1">
      <c r="A6" s="505"/>
      <c r="B6" s="516"/>
      <c r="C6" s="516"/>
      <c r="D6" s="516"/>
      <c r="E6" s="516"/>
      <c r="F6" s="516"/>
      <c r="G6" s="516" t="s">
        <v>73</v>
      </c>
      <c r="H6" s="516" t="s">
        <v>79</v>
      </c>
      <c r="I6" s="516" t="s">
        <v>48</v>
      </c>
      <c r="J6" s="516"/>
      <c r="K6" s="516" t="s">
        <v>50</v>
      </c>
      <c r="L6" s="516" t="s">
        <v>52</v>
      </c>
      <c r="M6" s="516" t="s">
        <v>53</v>
      </c>
      <c r="N6" s="516" t="s">
        <v>55</v>
      </c>
      <c r="O6" s="509"/>
      <c r="P6" s="517" t="s">
        <v>69</v>
      </c>
      <c r="Q6" s="510" t="s">
        <v>59</v>
      </c>
      <c r="R6" s="510" t="s">
        <v>34</v>
      </c>
      <c r="S6" s="510" t="s">
        <v>61</v>
      </c>
      <c r="T6" s="510" t="s">
        <v>61</v>
      </c>
      <c r="U6" s="510" t="s">
        <v>64</v>
      </c>
      <c r="V6" s="510" t="s">
        <v>36</v>
      </c>
      <c r="W6" s="510" t="s">
        <v>65</v>
      </c>
      <c r="X6" s="515" t="s">
        <v>40</v>
      </c>
      <c r="Y6" s="518" t="s">
        <v>655</v>
      </c>
      <c r="Z6" s="519"/>
      <c r="AA6" s="516" t="s">
        <v>90</v>
      </c>
      <c r="AB6" s="516"/>
      <c r="AC6" s="516"/>
      <c r="AD6" s="516" t="s">
        <v>75</v>
      </c>
      <c r="AE6" s="516" t="s">
        <v>78</v>
      </c>
      <c r="AF6" s="516" t="s">
        <v>101</v>
      </c>
      <c r="AG6" s="516" t="s">
        <v>70</v>
      </c>
      <c r="AH6" s="516" t="s">
        <v>7</v>
      </c>
      <c r="AI6" s="516"/>
      <c r="AJ6" s="505"/>
      <c r="AK6" s="516" t="s">
        <v>106</v>
      </c>
      <c r="AL6" s="516"/>
    </row>
    <row r="7" spans="1:38" s="506" customFormat="1" ht="39.950000000000003" customHeight="1">
      <c r="A7" s="505"/>
      <c r="B7" s="513"/>
      <c r="C7" s="520" t="s">
        <v>133</v>
      </c>
      <c r="D7" s="520" t="s">
        <v>103</v>
      </c>
      <c r="E7" s="513"/>
      <c r="F7" s="513"/>
      <c r="G7" s="521"/>
      <c r="H7" s="513"/>
      <c r="I7" s="513"/>
      <c r="J7" s="513"/>
      <c r="K7" s="513"/>
      <c r="L7" s="513"/>
      <c r="M7" s="513"/>
      <c r="N7" s="513"/>
      <c r="O7" s="509"/>
      <c r="P7" s="515"/>
      <c r="Q7" s="515"/>
      <c r="R7" s="515"/>
      <c r="S7" s="515"/>
      <c r="T7" s="515"/>
      <c r="U7" s="515"/>
      <c r="V7" s="515"/>
      <c r="W7" s="515"/>
      <c r="X7" s="515"/>
      <c r="Y7" s="522"/>
      <c r="Z7" s="512"/>
      <c r="AA7" s="513"/>
      <c r="AB7" s="513"/>
      <c r="AC7" s="513"/>
      <c r="AD7" s="513"/>
      <c r="AE7" s="513"/>
      <c r="AF7" s="513"/>
      <c r="AG7" s="513"/>
      <c r="AH7" s="521"/>
      <c r="AI7" s="521"/>
      <c r="AJ7" s="505"/>
      <c r="AK7" s="521"/>
      <c r="AL7" s="521"/>
    </row>
    <row r="8" spans="1:38" s="506" customFormat="1" ht="50.1" customHeight="1">
      <c r="A8" s="505"/>
      <c r="B8" s="523">
        <v>1</v>
      </c>
      <c r="C8" s="524" t="s">
        <v>463</v>
      </c>
      <c r="D8" s="525" t="s">
        <v>553</v>
      </c>
      <c r="E8" s="526">
        <v>30</v>
      </c>
      <c r="F8" s="527"/>
      <c r="G8" s="528"/>
      <c r="H8" s="529"/>
      <c r="I8" s="529"/>
      <c r="J8" s="529"/>
      <c r="K8" s="529"/>
      <c r="L8" s="529"/>
      <c r="M8" s="529"/>
      <c r="N8" s="530"/>
      <c r="O8" s="531"/>
      <c r="P8" s="532"/>
      <c r="Q8" s="532"/>
      <c r="R8" s="532"/>
      <c r="S8" s="532"/>
      <c r="T8" s="533"/>
      <c r="U8" s="532"/>
      <c r="V8" s="532"/>
      <c r="W8" s="532"/>
      <c r="X8" s="532"/>
      <c r="Y8" s="532"/>
      <c r="Z8" s="534"/>
      <c r="AA8" s="530"/>
      <c r="AB8" s="530"/>
      <c r="AC8" s="530"/>
      <c r="AD8" s="529"/>
      <c r="AE8" s="529"/>
      <c r="AF8" s="529"/>
      <c r="AG8" s="530"/>
      <c r="AH8" s="595">
        <v>1000</v>
      </c>
      <c r="AI8" s="530"/>
      <c r="AJ8" s="505"/>
      <c r="AK8" s="530">
        <v>-154.98000000000002</v>
      </c>
      <c r="AL8" s="530">
        <f>-AK8-AA8</f>
        <v>154.98000000000002</v>
      </c>
    </row>
    <row r="9" spans="1:38" s="506" customFormat="1" ht="50.1" customHeight="1">
      <c r="A9" s="505"/>
      <c r="B9" s="523">
        <v>2</v>
      </c>
      <c r="C9" s="524" t="s">
        <v>554</v>
      </c>
      <c r="D9" s="525" t="s">
        <v>555</v>
      </c>
      <c r="E9" s="526">
        <v>30</v>
      </c>
      <c r="F9" s="527"/>
      <c r="G9" s="528"/>
      <c r="H9" s="529"/>
      <c r="I9" s="529"/>
      <c r="J9" s="529"/>
      <c r="K9" s="529"/>
      <c r="L9" s="529"/>
      <c r="M9" s="529"/>
      <c r="N9" s="530"/>
      <c r="O9" s="531"/>
      <c r="P9" s="532"/>
      <c r="Q9" s="532"/>
      <c r="R9" s="532"/>
      <c r="S9" s="532"/>
      <c r="T9" s="533"/>
      <c r="U9" s="532"/>
      <c r="V9" s="532"/>
      <c r="W9" s="532"/>
      <c r="X9" s="532"/>
      <c r="Y9" s="532"/>
      <c r="Z9" s="534"/>
      <c r="AA9" s="530"/>
      <c r="AB9" s="530"/>
      <c r="AC9" s="530"/>
      <c r="AD9" s="529"/>
      <c r="AE9" s="529"/>
      <c r="AF9" s="535"/>
      <c r="AG9" s="530"/>
      <c r="AH9" s="595">
        <v>1000</v>
      </c>
      <c r="AI9" s="530"/>
      <c r="AJ9" s="505"/>
      <c r="AK9" s="530">
        <v>-154.98000000000002</v>
      </c>
      <c r="AL9" s="530">
        <f>-AK9-AA9</f>
        <v>154.98000000000002</v>
      </c>
    </row>
    <row r="10" spans="1:38" s="506" customFormat="1" ht="50.1" customHeight="1">
      <c r="A10" s="505"/>
      <c r="B10" s="523">
        <v>3</v>
      </c>
      <c r="C10" s="524" t="s">
        <v>657</v>
      </c>
      <c r="D10" s="525" t="s">
        <v>658</v>
      </c>
      <c r="E10" s="526">
        <v>30</v>
      </c>
      <c r="F10" s="527"/>
      <c r="G10" s="528"/>
      <c r="H10" s="529"/>
      <c r="I10" s="529"/>
      <c r="J10" s="529"/>
      <c r="K10" s="529"/>
      <c r="L10" s="529"/>
      <c r="M10" s="529"/>
      <c r="N10" s="530"/>
      <c r="O10" s="531"/>
      <c r="P10" s="532"/>
      <c r="Q10" s="532"/>
      <c r="R10" s="532"/>
      <c r="S10" s="532"/>
      <c r="T10" s="533"/>
      <c r="U10" s="532"/>
      <c r="V10" s="532"/>
      <c r="W10" s="532"/>
      <c r="X10" s="532"/>
      <c r="Y10" s="532"/>
      <c r="Z10" s="534"/>
      <c r="AA10" s="530"/>
      <c r="AB10" s="530"/>
      <c r="AC10" s="530"/>
      <c r="AD10" s="529"/>
      <c r="AE10" s="529"/>
      <c r="AF10" s="535"/>
      <c r="AG10" s="530"/>
      <c r="AH10" s="595">
        <v>1000</v>
      </c>
      <c r="AI10" s="530"/>
      <c r="AJ10" s="505"/>
      <c r="AK10" s="530">
        <v>-125.33</v>
      </c>
      <c r="AL10" s="530">
        <f>-AK10-AA10</f>
        <v>125.33</v>
      </c>
    </row>
    <row r="11" spans="1:38" s="506" customFormat="1" ht="50.1" customHeight="1">
      <c r="A11" s="505"/>
      <c r="B11" s="523">
        <v>4</v>
      </c>
      <c r="C11" s="524" t="s">
        <v>556</v>
      </c>
      <c r="D11" s="525" t="s">
        <v>557</v>
      </c>
      <c r="E11" s="526">
        <v>30</v>
      </c>
      <c r="F11" s="527"/>
      <c r="G11" s="528"/>
      <c r="H11" s="529"/>
      <c r="I11" s="529"/>
      <c r="J11" s="529"/>
      <c r="K11" s="529"/>
      <c r="L11" s="529"/>
      <c r="M11" s="529"/>
      <c r="N11" s="530"/>
      <c r="O11" s="531"/>
      <c r="P11" s="532"/>
      <c r="Q11" s="532"/>
      <c r="R11" s="532"/>
      <c r="S11" s="532"/>
      <c r="T11" s="533"/>
      <c r="U11" s="532"/>
      <c r="V11" s="532"/>
      <c r="W11" s="532"/>
      <c r="X11" s="532"/>
      <c r="Y11" s="532"/>
      <c r="Z11" s="534"/>
      <c r="AA11" s="530"/>
      <c r="AB11" s="530"/>
      <c r="AC11" s="530"/>
      <c r="AD11" s="529"/>
      <c r="AE11" s="529"/>
      <c r="AF11" s="535"/>
      <c r="AG11" s="530"/>
      <c r="AH11" s="595">
        <v>1000</v>
      </c>
      <c r="AI11" s="530"/>
      <c r="AJ11" s="505"/>
      <c r="AK11" s="530">
        <v>56</v>
      </c>
      <c r="AL11" s="530">
        <f>-AK11-AA11</f>
        <v>-56</v>
      </c>
    </row>
    <row r="12" spans="1:38" s="506" customFormat="1" ht="50.1" customHeight="1">
      <c r="A12" s="505"/>
      <c r="B12" s="523">
        <v>5</v>
      </c>
      <c r="C12" s="524" t="s">
        <v>558</v>
      </c>
      <c r="D12" s="525" t="s">
        <v>557</v>
      </c>
      <c r="E12" s="526">
        <v>30</v>
      </c>
      <c r="F12" s="527"/>
      <c r="G12" s="528"/>
      <c r="H12" s="529"/>
      <c r="I12" s="529"/>
      <c r="J12" s="529"/>
      <c r="K12" s="529"/>
      <c r="L12" s="529"/>
      <c r="M12" s="529"/>
      <c r="N12" s="530"/>
      <c r="O12" s="531"/>
      <c r="P12" s="532"/>
      <c r="Q12" s="532"/>
      <c r="R12" s="532"/>
      <c r="S12" s="532"/>
      <c r="T12" s="533"/>
      <c r="U12" s="532"/>
      <c r="V12" s="532"/>
      <c r="W12" s="532"/>
      <c r="X12" s="532"/>
      <c r="Y12" s="532"/>
      <c r="Z12" s="534"/>
      <c r="AA12" s="530"/>
      <c r="AB12" s="530"/>
      <c r="AC12" s="530"/>
      <c r="AD12" s="529"/>
      <c r="AE12" s="529"/>
      <c r="AF12" s="535"/>
      <c r="AG12" s="530"/>
      <c r="AH12" s="595">
        <v>1000</v>
      </c>
      <c r="AI12" s="530"/>
      <c r="AJ12" s="505"/>
      <c r="AK12" s="530">
        <v>56</v>
      </c>
      <c r="AL12" s="530">
        <f>-AK12-AA12</f>
        <v>-56</v>
      </c>
    </row>
    <row r="13" spans="1:38" s="506" customFormat="1" ht="50.1" customHeight="1">
      <c r="A13" s="505"/>
      <c r="B13" s="523">
        <v>6</v>
      </c>
      <c r="C13" s="524" t="s">
        <v>685</v>
      </c>
      <c r="D13" s="525" t="s">
        <v>559</v>
      </c>
      <c r="E13" s="526">
        <v>30</v>
      </c>
      <c r="F13" s="527"/>
      <c r="G13" s="528"/>
      <c r="H13" s="529"/>
      <c r="I13" s="529"/>
      <c r="J13" s="529"/>
      <c r="K13" s="529"/>
      <c r="L13" s="529"/>
      <c r="M13" s="529"/>
      <c r="N13" s="530"/>
      <c r="O13" s="531"/>
      <c r="P13" s="532"/>
      <c r="Q13" s="532"/>
      <c r="R13" s="532"/>
      <c r="S13" s="532"/>
      <c r="T13" s="533"/>
      <c r="U13" s="532"/>
      <c r="V13" s="532"/>
      <c r="W13" s="532"/>
      <c r="X13" s="532"/>
      <c r="Y13" s="532"/>
      <c r="Z13" s="534"/>
      <c r="AA13" s="530"/>
      <c r="AB13" s="530"/>
      <c r="AC13" s="530"/>
      <c r="AD13" s="529"/>
      <c r="AE13" s="529"/>
      <c r="AF13" s="535"/>
      <c r="AG13" s="530"/>
      <c r="AH13" s="595">
        <v>1000</v>
      </c>
      <c r="AI13" s="530"/>
      <c r="AJ13" s="505"/>
      <c r="AK13" s="530">
        <v>4.1399999999999864</v>
      </c>
      <c r="AL13" s="530">
        <f>AB13-AK13</f>
        <v>-4.1399999999999864</v>
      </c>
    </row>
    <row r="14" spans="1:38" s="506" customFormat="1" ht="50.1" customHeight="1">
      <c r="A14" s="505"/>
      <c r="B14" s="523">
        <v>7</v>
      </c>
      <c r="C14" s="536" t="s">
        <v>464</v>
      </c>
      <c r="D14" s="525" t="s">
        <v>559</v>
      </c>
      <c r="E14" s="526">
        <v>30</v>
      </c>
      <c r="F14" s="527"/>
      <c r="G14" s="528"/>
      <c r="H14" s="529"/>
      <c r="I14" s="529"/>
      <c r="J14" s="529"/>
      <c r="K14" s="529"/>
      <c r="L14" s="529"/>
      <c r="M14" s="529"/>
      <c r="N14" s="530"/>
      <c r="O14" s="531"/>
      <c r="P14" s="532"/>
      <c r="Q14" s="532"/>
      <c r="R14" s="532"/>
      <c r="S14" s="532"/>
      <c r="T14" s="533"/>
      <c r="U14" s="532"/>
      <c r="V14" s="532"/>
      <c r="W14" s="532"/>
      <c r="X14" s="532"/>
      <c r="Y14" s="532"/>
      <c r="Z14" s="534"/>
      <c r="AA14" s="530"/>
      <c r="AB14" s="530"/>
      <c r="AC14" s="530"/>
      <c r="AD14" s="529"/>
      <c r="AE14" s="529"/>
      <c r="AF14" s="535"/>
      <c r="AG14" s="530"/>
      <c r="AH14" s="595">
        <v>1000</v>
      </c>
      <c r="AI14" s="530"/>
      <c r="AJ14" s="505"/>
      <c r="AK14" s="530">
        <v>-64</v>
      </c>
      <c r="AL14" s="530">
        <f>-AK14-AA14</f>
        <v>64</v>
      </c>
    </row>
    <row r="15" spans="1:38" s="506" customFormat="1" ht="50.1" customHeight="1">
      <c r="A15" s="505"/>
      <c r="B15" s="523">
        <v>8</v>
      </c>
      <c r="C15" s="524" t="s">
        <v>560</v>
      </c>
      <c r="D15" s="525" t="s">
        <v>561</v>
      </c>
      <c r="E15" s="526">
        <v>30</v>
      </c>
      <c r="F15" s="527"/>
      <c r="G15" s="528"/>
      <c r="H15" s="529"/>
      <c r="I15" s="529"/>
      <c r="J15" s="529"/>
      <c r="K15" s="529"/>
      <c r="L15" s="529"/>
      <c r="M15" s="529"/>
      <c r="N15" s="530"/>
      <c r="O15" s="531"/>
      <c r="P15" s="532"/>
      <c r="Q15" s="532"/>
      <c r="R15" s="532"/>
      <c r="S15" s="532"/>
      <c r="T15" s="533"/>
      <c r="U15" s="532"/>
      <c r="V15" s="532"/>
      <c r="W15" s="532"/>
      <c r="X15" s="532"/>
      <c r="Y15" s="532"/>
      <c r="Z15" s="534"/>
      <c r="AA15" s="530"/>
      <c r="AB15" s="530"/>
      <c r="AC15" s="530"/>
      <c r="AD15" s="529"/>
      <c r="AE15" s="529"/>
      <c r="AF15" s="535"/>
      <c r="AG15" s="530"/>
      <c r="AH15" s="595">
        <v>1000</v>
      </c>
      <c r="AI15" s="530"/>
      <c r="AJ15" s="505"/>
      <c r="AK15" s="530">
        <v>-118</v>
      </c>
      <c r="AL15" s="530">
        <f>-AK15-AA15</f>
        <v>118</v>
      </c>
    </row>
    <row r="16" spans="1:38" s="506" customFormat="1" ht="50.1" customHeight="1">
      <c r="A16" s="505"/>
      <c r="B16" s="523">
        <v>9</v>
      </c>
      <c r="C16" s="536" t="s">
        <v>562</v>
      </c>
      <c r="D16" s="525" t="s">
        <v>563</v>
      </c>
      <c r="E16" s="526">
        <v>30</v>
      </c>
      <c r="F16" s="527"/>
      <c r="G16" s="528"/>
      <c r="H16" s="529"/>
      <c r="I16" s="529"/>
      <c r="J16" s="529"/>
      <c r="K16" s="529"/>
      <c r="L16" s="529"/>
      <c r="M16" s="529"/>
      <c r="N16" s="530"/>
      <c r="O16" s="531"/>
      <c r="P16" s="532"/>
      <c r="Q16" s="532"/>
      <c r="R16" s="532"/>
      <c r="S16" s="532"/>
      <c r="T16" s="533"/>
      <c r="U16" s="532"/>
      <c r="V16" s="532"/>
      <c r="W16" s="532"/>
      <c r="X16" s="532"/>
      <c r="Y16" s="532"/>
      <c r="Z16" s="534"/>
      <c r="AA16" s="530"/>
      <c r="AB16" s="530"/>
      <c r="AC16" s="530"/>
      <c r="AD16" s="529"/>
      <c r="AE16" s="529"/>
      <c r="AF16" s="535"/>
      <c r="AG16" s="530"/>
      <c r="AH16" s="595">
        <v>1000</v>
      </c>
      <c r="AI16" s="530"/>
      <c r="AJ16" s="505"/>
      <c r="AK16" s="530">
        <v>-125.33</v>
      </c>
      <c r="AL16" s="530">
        <f>-AK16-AA16</f>
        <v>125.33</v>
      </c>
    </row>
    <row r="17" spans="1:38" s="506" customFormat="1" ht="50.1" customHeight="1">
      <c r="A17" s="505"/>
      <c r="B17" s="523">
        <v>10</v>
      </c>
      <c r="C17" s="524" t="s">
        <v>666</v>
      </c>
      <c r="D17" s="525" t="s">
        <v>564</v>
      </c>
      <c r="E17" s="526">
        <v>30</v>
      </c>
      <c r="F17" s="527"/>
      <c r="G17" s="528"/>
      <c r="H17" s="529"/>
      <c r="I17" s="529"/>
      <c r="J17" s="529"/>
      <c r="K17" s="529"/>
      <c r="L17" s="529"/>
      <c r="M17" s="529"/>
      <c r="N17" s="530"/>
      <c r="O17" s="531"/>
      <c r="P17" s="532"/>
      <c r="Q17" s="532"/>
      <c r="R17" s="532"/>
      <c r="S17" s="532"/>
      <c r="T17" s="533"/>
      <c r="U17" s="532"/>
      <c r="V17" s="532"/>
      <c r="W17" s="532"/>
      <c r="X17" s="532"/>
      <c r="Y17" s="532"/>
      <c r="Z17" s="534"/>
      <c r="AA17" s="530"/>
      <c r="AB17" s="530"/>
      <c r="AC17" s="530"/>
      <c r="AD17" s="529"/>
      <c r="AE17" s="529"/>
      <c r="AF17" s="535"/>
      <c r="AG17" s="530"/>
      <c r="AH17" s="595">
        <v>1000</v>
      </c>
      <c r="AI17" s="530"/>
      <c r="AJ17" s="505"/>
      <c r="AK17" s="530">
        <v>-118</v>
      </c>
      <c r="AL17" s="530">
        <f>-AK17-AA17</f>
        <v>118</v>
      </c>
    </row>
    <row r="18" spans="1:38" s="506" customFormat="1" ht="50.1" customHeight="1">
      <c r="A18" s="505"/>
      <c r="B18" s="523">
        <v>11</v>
      </c>
      <c r="C18" s="524" t="s">
        <v>600</v>
      </c>
      <c r="D18" s="525" t="s">
        <v>565</v>
      </c>
      <c r="E18" s="526">
        <v>30</v>
      </c>
      <c r="F18" s="527"/>
      <c r="G18" s="528"/>
      <c r="H18" s="529"/>
      <c r="I18" s="529"/>
      <c r="J18" s="529"/>
      <c r="K18" s="529"/>
      <c r="L18" s="529"/>
      <c r="M18" s="529"/>
      <c r="N18" s="530"/>
      <c r="O18" s="531"/>
      <c r="P18" s="532"/>
      <c r="Q18" s="532"/>
      <c r="R18" s="532"/>
      <c r="S18" s="532"/>
      <c r="T18" s="533"/>
      <c r="U18" s="532"/>
      <c r="V18" s="532"/>
      <c r="W18" s="532"/>
      <c r="X18" s="532"/>
      <c r="Y18" s="532"/>
      <c r="Z18" s="534"/>
      <c r="AA18" s="530"/>
      <c r="AB18" s="530"/>
      <c r="AC18" s="530"/>
      <c r="AD18" s="529"/>
      <c r="AE18" s="529"/>
      <c r="AF18" s="535"/>
      <c r="AG18" s="530"/>
      <c r="AH18" s="595">
        <v>1000</v>
      </c>
      <c r="AI18" s="530"/>
      <c r="AJ18" s="505"/>
      <c r="AK18" s="530">
        <v>30</v>
      </c>
      <c r="AL18" s="530">
        <f>AB18-AK18</f>
        <v>-30</v>
      </c>
    </row>
    <row r="19" spans="1:38" s="506" customFormat="1" ht="50.1" customHeight="1">
      <c r="A19" s="505"/>
      <c r="B19" s="523">
        <v>12</v>
      </c>
      <c r="C19" s="524" t="s">
        <v>566</v>
      </c>
      <c r="D19" s="525" t="s">
        <v>567</v>
      </c>
      <c r="E19" s="526">
        <v>30</v>
      </c>
      <c r="F19" s="527"/>
      <c r="G19" s="528"/>
      <c r="H19" s="529"/>
      <c r="I19" s="529"/>
      <c r="J19" s="529"/>
      <c r="K19" s="529"/>
      <c r="L19" s="529"/>
      <c r="M19" s="529"/>
      <c r="N19" s="530"/>
      <c r="O19" s="531"/>
      <c r="P19" s="532"/>
      <c r="Q19" s="532"/>
      <c r="R19" s="532"/>
      <c r="S19" s="532"/>
      <c r="T19" s="533"/>
      <c r="U19" s="532"/>
      <c r="V19" s="532"/>
      <c r="W19" s="532"/>
      <c r="X19" s="532"/>
      <c r="Y19" s="532"/>
      <c r="Z19" s="534"/>
      <c r="AA19" s="530"/>
      <c r="AB19" s="530"/>
      <c r="AC19" s="530"/>
      <c r="AD19" s="529"/>
      <c r="AE19" s="529"/>
      <c r="AF19" s="535"/>
      <c r="AG19" s="530"/>
      <c r="AH19" s="595">
        <v>1000</v>
      </c>
      <c r="AI19" s="530"/>
      <c r="AJ19" s="505"/>
      <c r="AK19" s="530">
        <v>-64</v>
      </c>
      <c r="AL19" s="530">
        <f t="shared" ref="AL19:AL29" si="0">-AK19-AA19</f>
        <v>64</v>
      </c>
    </row>
    <row r="20" spans="1:38" s="506" customFormat="1" ht="50.1" customHeight="1">
      <c r="A20" s="505"/>
      <c r="B20" s="523">
        <v>13</v>
      </c>
      <c r="C20" s="524" t="s">
        <v>568</v>
      </c>
      <c r="D20" s="525" t="s">
        <v>569</v>
      </c>
      <c r="E20" s="526">
        <v>30</v>
      </c>
      <c r="F20" s="527"/>
      <c r="G20" s="528"/>
      <c r="H20" s="529"/>
      <c r="I20" s="529"/>
      <c r="J20" s="529"/>
      <c r="K20" s="529"/>
      <c r="L20" s="529"/>
      <c r="M20" s="529"/>
      <c r="N20" s="530"/>
      <c r="O20" s="531"/>
      <c r="P20" s="532"/>
      <c r="Q20" s="532"/>
      <c r="R20" s="532"/>
      <c r="S20" s="532"/>
      <c r="T20" s="533"/>
      <c r="U20" s="532"/>
      <c r="V20" s="532"/>
      <c r="W20" s="532"/>
      <c r="X20" s="532"/>
      <c r="Y20" s="532"/>
      <c r="Z20" s="534"/>
      <c r="AA20" s="530"/>
      <c r="AB20" s="530"/>
      <c r="AC20" s="530"/>
      <c r="AD20" s="529"/>
      <c r="AE20" s="529"/>
      <c r="AF20" s="535"/>
      <c r="AG20" s="530"/>
      <c r="AH20" s="595">
        <v>1000</v>
      </c>
      <c r="AI20" s="530"/>
      <c r="AJ20" s="505"/>
      <c r="AK20" s="530">
        <v>-132.51</v>
      </c>
      <c r="AL20" s="530">
        <f t="shared" si="0"/>
        <v>132.51</v>
      </c>
    </row>
    <row r="21" spans="1:38" s="506" customFormat="1" ht="50.1" customHeight="1">
      <c r="A21" s="505"/>
      <c r="B21" s="523">
        <v>14</v>
      </c>
      <c r="C21" s="524" t="s">
        <v>570</v>
      </c>
      <c r="D21" s="525" t="s">
        <v>571</v>
      </c>
      <c r="E21" s="526">
        <v>30</v>
      </c>
      <c r="F21" s="527"/>
      <c r="G21" s="528"/>
      <c r="H21" s="529"/>
      <c r="I21" s="529"/>
      <c r="J21" s="529"/>
      <c r="K21" s="529"/>
      <c r="L21" s="529"/>
      <c r="M21" s="529"/>
      <c r="N21" s="530"/>
      <c r="O21" s="531"/>
      <c r="P21" s="532"/>
      <c r="Q21" s="532"/>
      <c r="R21" s="532"/>
      <c r="S21" s="532"/>
      <c r="T21" s="533"/>
      <c r="U21" s="532"/>
      <c r="V21" s="532"/>
      <c r="W21" s="532"/>
      <c r="X21" s="532"/>
      <c r="Y21" s="532"/>
      <c r="Z21" s="534"/>
      <c r="AA21" s="530"/>
      <c r="AB21" s="530"/>
      <c r="AC21" s="530"/>
      <c r="AD21" s="529"/>
      <c r="AE21" s="529"/>
      <c r="AF21" s="535"/>
      <c r="AG21" s="530"/>
      <c r="AH21" s="595">
        <v>1000</v>
      </c>
      <c r="AI21" s="530"/>
      <c r="AJ21" s="505"/>
      <c r="AK21" s="530">
        <v>-125.33</v>
      </c>
      <c r="AL21" s="530">
        <f t="shared" si="0"/>
        <v>125.33</v>
      </c>
    </row>
    <row r="22" spans="1:38" s="506" customFormat="1" ht="50.1" customHeight="1">
      <c r="A22" s="505"/>
      <c r="B22" s="523">
        <v>15</v>
      </c>
      <c r="C22" s="524" t="s">
        <v>572</v>
      </c>
      <c r="D22" s="525" t="s">
        <v>573</v>
      </c>
      <c r="E22" s="526">
        <v>30</v>
      </c>
      <c r="F22" s="527"/>
      <c r="G22" s="528"/>
      <c r="H22" s="529"/>
      <c r="I22" s="529"/>
      <c r="J22" s="529"/>
      <c r="K22" s="529"/>
      <c r="L22" s="529"/>
      <c r="M22" s="529"/>
      <c r="N22" s="530"/>
      <c r="O22" s="531"/>
      <c r="P22" s="532"/>
      <c r="Q22" s="532"/>
      <c r="R22" s="532"/>
      <c r="S22" s="532"/>
      <c r="T22" s="533"/>
      <c r="U22" s="532"/>
      <c r="V22" s="532"/>
      <c r="W22" s="532"/>
      <c r="X22" s="532"/>
      <c r="Y22" s="532"/>
      <c r="Z22" s="534"/>
      <c r="AA22" s="530"/>
      <c r="AB22" s="530"/>
      <c r="AC22" s="530"/>
      <c r="AD22" s="529"/>
      <c r="AE22" s="529"/>
      <c r="AF22" s="535"/>
      <c r="AG22" s="530"/>
      <c r="AH22" s="595">
        <v>1000</v>
      </c>
      <c r="AI22" s="530"/>
      <c r="AJ22" s="505"/>
      <c r="AK22" s="530">
        <v>-125.33</v>
      </c>
      <c r="AL22" s="530">
        <f t="shared" si="0"/>
        <v>125.33</v>
      </c>
    </row>
    <row r="23" spans="1:38" s="506" customFormat="1" ht="50.1" customHeight="1">
      <c r="A23" s="505"/>
      <c r="B23" s="523">
        <v>16</v>
      </c>
      <c r="C23" s="524" t="s">
        <v>574</v>
      </c>
      <c r="D23" s="525" t="s">
        <v>575</v>
      </c>
      <c r="E23" s="526">
        <v>30</v>
      </c>
      <c r="F23" s="527"/>
      <c r="G23" s="528"/>
      <c r="H23" s="529"/>
      <c r="I23" s="529"/>
      <c r="J23" s="529"/>
      <c r="K23" s="529"/>
      <c r="L23" s="529"/>
      <c r="M23" s="529"/>
      <c r="N23" s="530"/>
      <c r="O23" s="531"/>
      <c r="P23" s="532"/>
      <c r="Q23" s="532"/>
      <c r="R23" s="532"/>
      <c r="S23" s="532"/>
      <c r="T23" s="533"/>
      <c r="U23" s="532"/>
      <c r="V23" s="532"/>
      <c r="W23" s="532"/>
      <c r="X23" s="532"/>
      <c r="Y23" s="532"/>
      <c r="Z23" s="534"/>
      <c r="AA23" s="530"/>
      <c r="AB23" s="530"/>
      <c r="AC23" s="530"/>
      <c r="AD23" s="529"/>
      <c r="AE23" s="529"/>
      <c r="AF23" s="535"/>
      <c r="AG23" s="530"/>
      <c r="AH23" s="595">
        <v>1000</v>
      </c>
      <c r="AI23" s="530"/>
      <c r="AJ23" s="505"/>
      <c r="AK23" s="530">
        <v>-118</v>
      </c>
      <c r="AL23" s="530">
        <f t="shared" si="0"/>
        <v>118</v>
      </c>
    </row>
    <row r="24" spans="1:38" s="506" customFormat="1" ht="50.1" customHeight="1">
      <c r="A24" s="505"/>
      <c r="B24" s="523">
        <v>17</v>
      </c>
      <c r="C24" s="524" t="s">
        <v>576</v>
      </c>
      <c r="D24" s="525" t="s">
        <v>577</v>
      </c>
      <c r="E24" s="526">
        <v>30</v>
      </c>
      <c r="F24" s="527"/>
      <c r="G24" s="528"/>
      <c r="H24" s="529"/>
      <c r="I24" s="529"/>
      <c r="J24" s="529"/>
      <c r="K24" s="529"/>
      <c r="L24" s="529"/>
      <c r="M24" s="529"/>
      <c r="N24" s="530"/>
      <c r="O24" s="531"/>
      <c r="P24" s="532"/>
      <c r="Q24" s="532"/>
      <c r="R24" s="532"/>
      <c r="S24" s="532"/>
      <c r="T24" s="533"/>
      <c r="U24" s="532"/>
      <c r="V24" s="532"/>
      <c r="W24" s="532"/>
      <c r="X24" s="532"/>
      <c r="Y24" s="532"/>
      <c r="Z24" s="534"/>
      <c r="AA24" s="530"/>
      <c r="AB24" s="530"/>
      <c r="AC24" s="530"/>
      <c r="AD24" s="529"/>
      <c r="AE24" s="529"/>
      <c r="AF24" s="535"/>
      <c r="AG24" s="530"/>
      <c r="AH24" s="595">
        <v>1000</v>
      </c>
      <c r="AI24" s="530"/>
      <c r="AJ24" s="505"/>
      <c r="AK24" s="530">
        <v>-118</v>
      </c>
      <c r="AL24" s="530">
        <f t="shared" si="0"/>
        <v>118</v>
      </c>
    </row>
    <row r="25" spans="1:38" s="506" customFormat="1" ht="50.1" customHeight="1">
      <c r="A25" s="505"/>
      <c r="B25" s="523">
        <v>18</v>
      </c>
      <c r="C25" s="524" t="s">
        <v>578</v>
      </c>
      <c r="D25" s="525" t="s">
        <v>579</v>
      </c>
      <c r="E25" s="526">
        <v>30</v>
      </c>
      <c r="F25" s="527"/>
      <c r="G25" s="528"/>
      <c r="H25" s="529"/>
      <c r="I25" s="529"/>
      <c r="J25" s="529"/>
      <c r="K25" s="529"/>
      <c r="L25" s="529"/>
      <c r="M25" s="529"/>
      <c r="N25" s="530"/>
      <c r="O25" s="531"/>
      <c r="P25" s="532"/>
      <c r="Q25" s="532"/>
      <c r="R25" s="532"/>
      <c r="S25" s="532"/>
      <c r="T25" s="533"/>
      <c r="U25" s="532"/>
      <c r="V25" s="532"/>
      <c r="W25" s="532"/>
      <c r="X25" s="532"/>
      <c r="Y25" s="532"/>
      <c r="Z25" s="534"/>
      <c r="AA25" s="530"/>
      <c r="AB25" s="530"/>
      <c r="AC25" s="530"/>
      <c r="AD25" s="529"/>
      <c r="AE25" s="529"/>
      <c r="AF25" s="535"/>
      <c r="AG25" s="530"/>
      <c r="AH25" s="595">
        <v>1000</v>
      </c>
      <c r="AI25" s="530"/>
      <c r="AJ25" s="505"/>
      <c r="AK25" s="530">
        <v>56</v>
      </c>
      <c r="AL25" s="530">
        <f t="shared" si="0"/>
        <v>-56</v>
      </c>
    </row>
    <row r="26" spans="1:38" s="506" customFormat="1" ht="50.1" customHeight="1">
      <c r="A26" s="505"/>
      <c r="B26" s="523">
        <v>19</v>
      </c>
      <c r="C26" s="524" t="s">
        <v>580</v>
      </c>
      <c r="D26" s="525" t="s">
        <v>581</v>
      </c>
      <c r="E26" s="526">
        <v>30</v>
      </c>
      <c r="F26" s="527"/>
      <c r="G26" s="528"/>
      <c r="H26" s="529"/>
      <c r="I26" s="529"/>
      <c r="J26" s="529"/>
      <c r="K26" s="529"/>
      <c r="L26" s="529"/>
      <c r="M26" s="529"/>
      <c r="N26" s="530"/>
      <c r="O26" s="531"/>
      <c r="P26" s="532"/>
      <c r="Q26" s="532"/>
      <c r="R26" s="532"/>
      <c r="S26" s="532"/>
      <c r="T26" s="533"/>
      <c r="U26" s="532"/>
      <c r="V26" s="532"/>
      <c r="W26" s="532"/>
      <c r="X26" s="532"/>
      <c r="Y26" s="532"/>
      <c r="Z26" s="534"/>
      <c r="AA26" s="530"/>
      <c r="AB26" s="530"/>
      <c r="AC26" s="530"/>
      <c r="AD26" s="529"/>
      <c r="AE26" s="529"/>
      <c r="AF26" s="535"/>
      <c r="AG26" s="530"/>
      <c r="AH26" s="595">
        <v>1000</v>
      </c>
      <c r="AI26" s="530"/>
      <c r="AJ26" s="505"/>
      <c r="AK26" s="530">
        <v>-125.33</v>
      </c>
      <c r="AL26" s="530">
        <f t="shared" si="0"/>
        <v>125.33</v>
      </c>
    </row>
    <row r="27" spans="1:38" s="506" customFormat="1" ht="50.1" customHeight="1">
      <c r="A27" s="505"/>
      <c r="B27" s="523">
        <v>20</v>
      </c>
      <c r="C27" s="524" t="s">
        <v>582</v>
      </c>
      <c r="D27" s="525" t="s">
        <v>583</v>
      </c>
      <c r="E27" s="526">
        <v>30</v>
      </c>
      <c r="F27" s="527"/>
      <c r="G27" s="528"/>
      <c r="H27" s="529"/>
      <c r="I27" s="529"/>
      <c r="J27" s="529"/>
      <c r="K27" s="529"/>
      <c r="L27" s="529"/>
      <c r="M27" s="529"/>
      <c r="N27" s="530"/>
      <c r="O27" s="531"/>
      <c r="P27" s="532"/>
      <c r="Q27" s="532"/>
      <c r="R27" s="532"/>
      <c r="S27" s="532"/>
      <c r="T27" s="533"/>
      <c r="U27" s="532"/>
      <c r="V27" s="532"/>
      <c r="W27" s="532"/>
      <c r="X27" s="532"/>
      <c r="Y27" s="532"/>
      <c r="Z27" s="534"/>
      <c r="AA27" s="530"/>
      <c r="AB27" s="530"/>
      <c r="AC27" s="530"/>
      <c r="AD27" s="529"/>
      <c r="AE27" s="529"/>
      <c r="AF27" s="535"/>
      <c r="AG27" s="530"/>
      <c r="AH27" s="595">
        <v>1000</v>
      </c>
      <c r="AI27" s="530"/>
      <c r="AJ27" s="505"/>
      <c r="AK27" s="530">
        <v>-154.98000000000002</v>
      </c>
      <c r="AL27" s="530">
        <f t="shared" si="0"/>
        <v>154.98000000000002</v>
      </c>
    </row>
    <row r="28" spans="1:38" s="506" customFormat="1" ht="50.1" customHeight="1">
      <c r="A28" s="505"/>
      <c r="B28" s="523">
        <v>21</v>
      </c>
      <c r="C28" s="524" t="s">
        <v>456</v>
      </c>
      <c r="D28" s="525" t="s">
        <v>584</v>
      </c>
      <c r="E28" s="526">
        <v>30</v>
      </c>
      <c r="F28" s="527"/>
      <c r="G28" s="528"/>
      <c r="H28" s="529"/>
      <c r="I28" s="529"/>
      <c r="J28" s="529"/>
      <c r="K28" s="529"/>
      <c r="L28" s="529"/>
      <c r="M28" s="529"/>
      <c r="N28" s="530"/>
      <c r="O28" s="531"/>
      <c r="P28" s="532"/>
      <c r="Q28" s="532"/>
      <c r="R28" s="532"/>
      <c r="S28" s="532"/>
      <c r="T28" s="533"/>
      <c r="U28" s="532"/>
      <c r="V28" s="532"/>
      <c r="W28" s="532"/>
      <c r="X28" s="532"/>
      <c r="Y28" s="532"/>
      <c r="Z28" s="534"/>
      <c r="AA28" s="530"/>
      <c r="AB28" s="530"/>
      <c r="AC28" s="530"/>
      <c r="AD28" s="529"/>
      <c r="AE28" s="529"/>
      <c r="AF28" s="535"/>
      <c r="AG28" s="530"/>
      <c r="AH28" s="595">
        <v>1000</v>
      </c>
      <c r="AI28" s="530"/>
      <c r="AJ28" s="505"/>
      <c r="AK28" s="530">
        <v>-154.98000000000002</v>
      </c>
      <c r="AL28" s="530">
        <f t="shared" si="0"/>
        <v>154.98000000000002</v>
      </c>
    </row>
    <row r="29" spans="1:38" s="506" customFormat="1" ht="50.1" customHeight="1">
      <c r="A29" s="505"/>
      <c r="B29" s="521">
        <v>22</v>
      </c>
      <c r="C29" s="537" t="s">
        <v>457</v>
      </c>
      <c r="D29" s="538" t="s">
        <v>585</v>
      </c>
      <c r="E29" s="539">
        <v>30</v>
      </c>
      <c r="F29" s="540"/>
      <c r="G29" s="541"/>
      <c r="H29" s="542"/>
      <c r="I29" s="542"/>
      <c r="J29" s="542"/>
      <c r="K29" s="542"/>
      <c r="L29" s="542"/>
      <c r="M29" s="542"/>
      <c r="N29" s="543"/>
      <c r="O29" s="531"/>
      <c r="P29" s="544"/>
      <c r="Q29" s="544"/>
      <c r="R29" s="544"/>
      <c r="S29" s="544"/>
      <c r="T29" s="545"/>
      <c r="U29" s="544"/>
      <c r="V29" s="544"/>
      <c r="W29" s="544"/>
      <c r="X29" s="544"/>
      <c r="Y29" s="544"/>
      <c r="Z29" s="534"/>
      <c r="AA29" s="543"/>
      <c r="AB29" s="543"/>
      <c r="AC29" s="543"/>
      <c r="AD29" s="542"/>
      <c r="AE29" s="542"/>
      <c r="AF29" s="546"/>
      <c r="AG29" s="543"/>
      <c r="AH29" s="596">
        <v>1000</v>
      </c>
      <c r="AI29" s="530"/>
      <c r="AJ29" s="505"/>
      <c r="AK29" s="530">
        <v>-125.33</v>
      </c>
      <c r="AL29" s="530">
        <f t="shared" si="0"/>
        <v>125.33</v>
      </c>
    </row>
    <row r="30" spans="1:38" s="506" customFormat="1" ht="50.1" customHeight="1">
      <c r="A30" s="505"/>
      <c r="B30" s="547">
        <v>23</v>
      </c>
      <c r="C30" s="548" t="s">
        <v>492</v>
      </c>
      <c r="D30" s="549" t="s">
        <v>586</v>
      </c>
      <c r="E30" s="550">
        <v>30</v>
      </c>
      <c r="F30" s="551"/>
      <c r="G30" s="552"/>
      <c r="H30" s="553"/>
      <c r="I30" s="553"/>
      <c r="J30" s="553"/>
      <c r="K30" s="553"/>
      <c r="L30" s="553"/>
      <c r="M30" s="553"/>
      <c r="N30" s="554"/>
      <c r="O30" s="555"/>
      <c r="P30" s="556"/>
      <c r="Q30" s="556"/>
      <c r="R30" s="556"/>
      <c r="S30" s="556"/>
      <c r="T30" s="557"/>
      <c r="U30" s="556"/>
      <c r="V30" s="556"/>
      <c r="W30" s="556"/>
      <c r="X30" s="556"/>
      <c r="Y30" s="556"/>
      <c r="Z30" s="558"/>
      <c r="AA30" s="554"/>
      <c r="AB30" s="554"/>
      <c r="AC30" s="554"/>
      <c r="AD30" s="553"/>
      <c r="AE30" s="553"/>
      <c r="AF30" s="559"/>
      <c r="AG30" s="554"/>
      <c r="AH30" s="597">
        <v>1000</v>
      </c>
      <c r="AI30" s="554"/>
      <c r="AJ30" s="505"/>
      <c r="AK30" s="543"/>
      <c r="AL30" s="543"/>
    </row>
    <row r="31" spans="1:38" s="506" customFormat="1" ht="50.1" customHeight="1">
      <c r="A31" s="505"/>
      <c r="B31" s="547">
        <v>24</v>
      </c>
      <c r="C31" s="548" t="s">
        <v>587</v>
      </c>
      <c r="D31" s="549" t="s">
        <v>588</v>
      </c>
      <c r="E31" s="550">
        <v>30</v>
      </c>
      <c r="F31" s="551"/>
      <c r="G31" s="552"/>
      <c r="H31" s="553"/>
      <c r="I31" s="553"/>
      <c r="J31" s="553"/>
      <c r="K31" s="553"/>
      <c r="L31" s="553"/>
      <c r="M31" s="553"/>
      <c r="N31" s="554"/>
      <c r="O31" s="555"/>
      <c r="P31" s="556"/>
      <c r="Q31" s="556"/>
      <c r="R31" s="556"/>
      <c r="S31" s="556"/>
      <c r="T31" s="557"/>
      <c r="U31" s="556"/>
      <c r="V31" s="556"/>
      <c r="W31" s="556"/>
      <c r="X31" s="556"/>
      <c r="Y31" s="556"/>
      <c r="Z31" s="558"/>
      <c r="AA31" s="554"/>
      <c r="AB31" s="554"/>
      <c r="AC31" s="554"/>
      <c r="AD31" s="553"/>
      <c r="AE31" s="553"/>
      <c r="AF31" s="559"/>
      <c r="AG31" s="554"/>
      <c r="AH31" s="597">
        <v>1000</v>
      </c>
      <c r="AI31" s="554"/>
      <c r="AJ31" s="505"/>
      <c r="AK31" s="543"/>
      <c r="AL31" s="543"/>
    </row>
    <row r="32" spans="1:38" s="506" customFormat="1" ht="50.1" customHeight="1">
      <c r="A32" s="505"/>
      <c r="B32" s="547">
        <v>25</v>
      </c>
      <c r="C32" s="548" t="s">
        <v>589</v>
      </c>
      <c r="D32" s="549" t="s">
        <v>590</v>
      </c>
      <c r="E32" s="550">
        <v>30</v>
      </c>
      <c r="F32" s="551"/>
      <c r="G32" s="552"/>
      <c r="H32" s="553"/>
      <c r="I32" s="553"/>
      <c r="J32" s="553"/>
      <c r="K32" s="553"/>
      <c r="L32" s="553"/>
      <c r="M32" s="553"/>
      <c r="N32" s="554"/>
      <c r="O32" s="555"/>
      <c r="P32" s="556"/>
      <c r="Q32" s="556"/>
      <c r="R32" s="556"/>
      <c r="S32" s="556"/>
      <c r="T32" s="557"/>
      <c r="U32" s="556"/>
      <c r="V32" s="556"/>
      <c r="W32" s="556"/>
      <c r="X32" s="556"/>
      <c r="Y32" s="556"/>
      <c r="Z32" s="558"/>
      <c r="AA32" s="554"/>
      <c r="AB32" s="554"/>
      <c r="AC32" s="554"/>
      <c r="AD32" s="553"/>
      <c r="AE32" s="553"/>
      <c r="AF32" s="559"/>
      <c r="AG32" s="554"/>
      <c r="AH32" s="597">
        <v>1000</v>
      </c>
      <c r="AI32" s="554"/>
      <c r="AJ32" s="505"/>
      <c r="AK32" s="543"/>
      <c r="AL32" s="543"/>
    </row>
    <row r="33" spans="1:38" s="506" customFormat="1" ht="50.1" customHeight="1">
      <c r="A33" s="505"/>
      <c r="B33" s="547">
        <v>26</v>
      </c>
      <c r="C33" s="548" t="s">
        <v>591</v>
      </c>
      <c r="D33" s="549" t="s">
        <v>592</v>
      </c>
      <c r="E33" s="550">
        <v>30</v>
      </c>
      <c r="F33" s="551"/>
      <c r="G33" s="552"/>
      <c r="H33" s="553"/>
      <c r="I33" s="553"/>
      <c r="J33" s="553"/>
      <c r="K33" s="553"/>
      <c r="L33" s="553"/>
      <c r="M33" s="553"/>
      <c r="N33" s="554"/>
      <c r="O33" s="555"/>
      <c r="P33" s="556"/>
      <c r="Q33" s="556"/>
      <c r="R33" s="556"/>
      <c r="S33" s="556"/>
      <c r="T33" s="557"/>
      <c r="U33" s="556"/>
      <c r="V33" s="556"/>
      <c r="W33" s="556"/>
      <c r="X33" s="556"/>
      <c r="Y33" s="556"/>
      <c r="Z33" s="558"/>
      <c r="AA33" s="554"/>
      <c r="AB33" s="554"/>
      <c r="AC33" s="554"/>
      <c r="AD33" s="553"/>
      <c r="AE33" s="553"/>
      <c r="AF33" s="559"/>
      <c r="AG33" s="554"/>
      <c r="AH33" s="597">
        <v>1000</v>
      </c>
      <c r="AI33" s="554"/>
      <c r="AJ33" s="505"/>
      <c r="AK33" s="543"/>
      <c r="AL33" s="543"/>
    </row>
    <row r="34" spans="1:38" s="506" customFormat="1" ht="50.1" customHeight="1">
      <c r="A34" s="505"/>
      <c r="B34" s="547">
        <v>27</v>
      </c>
      <c r="C34" s="548" t="s">
        <v>665</v>
      </c>
      <c r="D34" s="549" t="s">
        <v>593</v>
      </c>
      <c r="E34" s="550">
        <v>30</v>
      </c>
      <c r="F34" s="551"/>
      <c r="G34" s="552"/>
      <c r="H34" s="553"/>
      <c r="I34" s="553"/>
      <c r="J34" s="553"/>
      <c r="K34" s="553"/>
      <c r="L34" s="553"/>
      <c r="M34" s="553"/>
      <c r="N34" s="554"/>
      <c r="O34" s="555"/>
      <c r="P34" s="556"/>
      <c r="Q34" s="556"/>
      <c r="R34" s="556"/>
      <c r="S34" s="556"/>
      <c r="T34" s="557"/>
      <c r="U34" s="556"/>
      <c r="V34" s="556"/>
      <c r="W34" s="556"/>
      <c r="X34" s="556"/>
      <c r="Y34" s="556"/>
      <c r="Z34" s="558"/>
      <c r="AA34" s="554"/>
      <c r="AB34" s="554"/>
      <c r="AC34" s="554"/>
      <c r="AD34" s="553"/>
      <c r="AE34" s="553"/>
      <c r="AF34" s="559"/>
      <c r="AG34" s="554"/>
      <c r="AH34" s="597">
        <v>1000</v>
      </c>
      <c r="AI34" s="554"/>
      <c r="AJ34" s="505"/>
      <c r="AK34" s="543"/>
      <c r="AL34" s="543"/>
    </row>
    <row r="35" spans="1:38" s="506" customFormat="1" ht="50.1" customHeight="1">
      <c r="A35" s="505"/>
      <c r="B35" s="547">
        <v>28</v>
      </c>
      <c r="C35" s="548" t="s">
        <v>594</v>
      </c>
      <c r="D35" s="549" t="s">
        <v>595</v>
      </c>
      <c r="E35" s="550">
        <v>30</v>
      </c>
      <c r="F35" s="551"/>
      <c r="G35" s="552"/>
      <c r="H35" s="553"/>
      <c r="I35" s="553"/>
      <c r="J35" s="553"/>
      <c r="K35" s="553"/>
      <c r="L35" s="553"/>
      <c r="M35" s="553"/>
      <c r="N35" s="554"/>
      <c r="O35" s="555"/>
      <c r="P35" s="556"/>
      <c r="Q35" s="556"/>
      <c r="R35" s="556"/>
      <c r="S35" s="556"/>
      <c r="T35" s="557"/>
      <c r="U35" s="556"/>
      <c r="V35" s="556"/>
      <c r="W35" s="556"/>
      <c r="X35" s="556"/>
      <c r="Y35" s="556"/>
      <c r="Z35" s="558"/>
      <c r="AA35" s="554"/>
      <c r="AB35" s="554"/>
      <c r="AC35" s="554"/>
      <c r="AD35" s="553"/>
      <c r="AE35" s="553"/>
      <c r="AF35" s="559"/>
      <c r="AG35" s="554"/>
      <c r="AH35" s="597">
        <v>1000</v>
      </c>
      <c r="AI35" s="554"/>
      <c r="AJ35" s="505"/>
      <c r="AK35" s="543"/>
      <c r="AL35" s="543"/>
    </row>
    <row r="36" spans="1:38" s="506" customFormat="1" ht="50.1" customHeight="1">
      <c r="A36" s="505"/>
      <c r="B36" s="547">
        <v>29</v>
      </c>
      <c r="C36" s="548" t="s">
        <v>596</v>
      </c>
      <c r="D36" s="549" t="s">
        <v>597</v>
      </c>
      <c r="E36" s="550">
        <v>30</v>
      </c>
      <c r="F36" s="551"/>
      <c r="G36" s="552"/>
      <c r="H36" s="553"/>
      <c r="I36" s="553"/>
      <c r="J36" s="553"/>
      <c r="K36" s="553"/>
      <c r="L36" s="553"/>
      <c r="M36" s="553"/>
      <c r="N36" s="554"/>
      <c r="O36" s="555"/>
      <c r="P36" s="556"/>
      <c r="Q36" s="556"/>
      <c r="R36" s="556"/>
      <c r="S36" s="556"/>
      <c r="T36" s="557"/>
      <c r="U36" s="556"/>
      <c r="V36" s="556"/>
      <c r="W36" s="556"/>
      <c r="X36" s="556"/>
      <c r="Y36" s="556"/>
      <c r="Z36" s="558"/>
      <c r="AA36" s="554"/>
      <c r="AB36" s="554"/>
      <c r="AC36" s="554"/>
      <c r="AD36" s="553"/>
      <c r="AE36" s="553"/>
      <c r="AF36" s="559"/>
      <c r="AG36" s="554"/>
      <c r="AH36" s="597">
        <v>1000</v>
      </c>
      <c r="AI36" s="554"/>
      <c r="AJ36" s="505"/>
      <c r="AK36" s="543"/>
      <c r="AL36" s="543"/>
    </row>
    <row r="37" spans="1:38" s="506" customFormat="1" ht="50.1" customHeight="1">
      <c r="A37" s="505"/>
      <c r="B37" s="547">
        <v>30</v>
      </c>
      <c r="C37" s="548" t="s">
        <v>598</v>
      </c>
      <c r="D37" s="549" t="s">
        <v>599</v>
      </c>
      <c r="E37" s="550">
        <v>30</v>
      </c>
      <c r="F37" s="551"/>
      <c r="G37" s="552"/>
      <c r="H37" s="553"/>
      <c r="I37" s="553"/>
      <c r="J37" s="553"/>
      <c r="K37" s="553"/>
      <c r="L37" s="553"/>
      <c r="M37" s="553"/>
      <c r="N37" s="554"/>
      <c r="O37" s="555"/>
      <c r="P37" s="556"/>
      <c r="Q37" s="556"/>
      <c r="R37" s="556"/>
      <c r="S37" s="556"/>
      <c r="T37" s="557"/>
      <c r="U37" s="556"/>
      <c r="V37" s="556"/>
      <c r="W37" s="556"/>
      <c r="X37" s="556"/>
      <c r="Y37" s="556"/>
      <c r="Z37" s="558"/>
      <c r="AA37" s="554"/>
      <c r="AB37" s="554"/>
      <c r="AC37" s="554"/>
      <c r="AD37" s="553"/>
      <c r="AE37" s="553"/>
      <c r="AF37" s="559"/>
      <c r="AG37" s="554"/>
      <c r="AH37" s="597">
        <v>1000</v>
      </c>
      <c r="AI37" s="554"/>
      <c r="AJ37" s="505"/>
      <c r="AK37" s="543"/>
      <c r="AL37" s="543"/>
    </row>
    <row r="38" spans="1:38" s="506" customFormat="1" ht="50.1" customHeight="1">
      <c r="A38" s="505"/>
      <c r="B38" s="547">
        <v>31</v>
      </c>
      <c r="C38" s="548" t="s">
        <v>601</v>
      </c>
      <c r="D38" s="549" t="s">
        <v>602</v>
      </c>
      <c r="E38" s="550">
        <v>30</v>
      </c>
      <c r="F38" s="551"/>
      <c r="G38" s="552"/>
      <c r="H38" s="553"/>
      <c r="I38" s="553"/>
      <c r="J38" s="553"/>
      <c r="K38" s="553"/>
      <c r="L38" s="553"/>
      <c r="M38" s="553"/>
      <c r="N38" s="554"/>
      <c r="O38" s="555"/>
      <c r="P38" s="556"/>
      <c r="Q38" s="556"/>
      <c r="R38" s="556"/>
      <c r="S38" s="556"/>
      <c r="T38" s="557"/>
      <c r="U38" s="556"/>
      <c r="V38" s="556"/>
      <c r="W38" s="556"/>
      <c r="X38" s="556"/>
      <c r="Y38" s="556"/>
      <c r="Z38" s="558"/>
      <c r="AA38" s="554"/>
      <c r="AB38" s="554"/>
      <c r="AC38" s="554"/>
      <c r="AD38" s="553"/>
      <c r="AE38" s="553"/>
      <c r="AF38" s="559"/>
      <c r="AG38" s="554"/>
      <c r="AH38" s="597">
        <v>1000</v>
      </c>
      <c r="AI38" s="554"/>
      <c r="AJ38" s="505"/>
      <c r="AK38" s="543"/>
      <c r="AL38" s="543"/>
    </row>
    <row r="39" spans="1:38" s="506" customFormat="1" ht="50.1" customHeight="1">
      <c r="A39" s="505"/>
      <c r="B39" s="547">
        <v>32</v>
      </c>
      <c r="C39" s="548" t="s">
        <v>603</v>
      </c>
      <c r="D39" s="549" t="s">
        <v>604</v>
      </c>
      <c r="E39" s="550">
        <v>30</v>
      </c>
      <c r="F39" s="551"/>
      <c r="G39" s="552"/>
      <c r="H39" s="553"/>
      <c r="I39" s="553"/>
      <c r="J39" s="553"/>
      <c r="K39" s="553"/>
      <c r="L39" s="553"/>
      <c r="M39" s="553"/>
      <c r="N39" s="554"/>
      <c r="O39" s="555"/>
      <c r="P39" s="556"/>
      <c r="Q39" s="556"/>
      <c r="R39" s="556"/>
      <c r="S39" s="556"/>
      <c r="T39" s="557"/>
      <c r="U39" s="556"/>
      <c r="V39" s="556"/>
      <c r="W39" s="556"/>
      <c r="X39" s="556"/>
      <c r="Y39" s="556"/>
      <c r="Z39" s="558"/>
      <c r="AA39" s="554"/>
      <c r="AB39" s="554"/>
      <c r="AC39" s="554"/>
      <c r="AD39" s="553"/>
      <c r="AE39" s="553"/>
      <c r="AF39" s="559"/>
      <c r="AG39" s="554"/>
      <c r="AH39" s="597">
        <v>1000</v>
      </c>
      <c r="AI39" s="554"/>
      <c r="AJ39" s="505"/>
      <c r="AK39" s="543"/>
      <c r="AL39" s="543"/>
    </row>
    <row r="40" spans="1:38" s="506" customFormat="1" ht="50.1" hidden="1" customHeight="1">
      <c r="A40" s="505"/>
      <c r="B40" s="547"/>
      <c r="C40" s="548"/>
      <c r="D40" s="549"/>
      <c r="E40" s="550"/>
      <c r="F40" s="551"/>
      <c r="G40" s="552"/>
      <c r="H40" s="553"/>
      <c r="I40" s="553"/>
      <c r="J40" s="553"/>
      <c r="K40" s="553"/>
      <c r="L40" s="553"/>
      <c r="M40" s="553"/>
      <c r="N40" s="554"/>
      <c r="O40" s="555"/>
      <c r="P40" s="556"/>
      <c r="Q40" s="556"/>
      <c r="R40" s="556"/>
      <c r="S40" s="556"/>
      <c r="T40" s="557"/>
      <c r="U40" s="556"/>
      <c r="V40" s="556"/>
      <c r="W40" s="556"/>
      <c r="X40" s="556"/>
      <c r="Y40" s="556"/>
      <c r="Z40" s="558"/>
      <c r="AA40" s="554"/>
      <c r="AB40" s="554"/>
      <c r="AC40" s="554"/>
      <c r="AD40" s="553"/>
      <c r="AE40" s="553"/>
      <c r="AF40" s="559"/>
      <c r="AG40" s="554"/>
      <c r="AH40" s="597"/>
      <c r="AI40" s="554"/>
      <c r="AJ40" s="505"/>
      <c r="AK40" s="543"/>
      <c r="AL40" s="543"/>
    </row>
    <row r="41" spans="1:38" s="506" customFormat="1" ht="50.1" customHeight="1">
      <c r="A41" s="505"/>
      <c r="B41" s="547">
        <v>33</v>
      </c>
      <c r="C41" s="548" t="s">
        <v>605</v>
      </c>
      <c r="D41" s="549" t="s">
        <v>606</v>
      </c>
      <c r="E41" s="550">
        <v>30</v>
      </c>
      <c r="F41" s="551"/>
      <c r="G41" s="552"/>
      <c r="H41" s="553"/>
      <c r="I41" s="553"/>
      <c r="J41" s="553"/>
      <c r="K41" s="553"/>
      <c r="L41" s="553"/>
      <c r="M41" s="553"/>
      <c r="N41" s="554"/>
      <c r="O41" s="555"/>
      <c r="P41" s="556"/>
      <c r="Q41" s="556"/>
      <c r="R41" s="556"/>
      <c r="S41" s="556"/>
      <c r="T41" s="557"/>
      <c r="U41" s="556"/>
      <c r="V41" s="556"/>
      <c r="W41" s="556"/>
      <c r="X41" s="556"/>
      <c r="Y41" s="556"/>
      <c r="Z41" s="558"/>
      <c r="AA41" s="554"/>
      <c r="AB41" s="554"/>
      <c r="AC41" s="554"/>
      <c r="AD41" s="553"/>
      <c r="AE41" s="553"/>
      <c r="AF41" s="559"/>
      <c r="AG41" s="554"/>
      <c r="AH41" s="597">
        <v>1000</v>
      </c>
      <c r="AI41" s="554"/>
      <c r="AJ41" s="505"/>
      <c r="AK41" s="543"/>
      <c r="AL41" s="543"/>
    </row>
    <row r="42" spans="1:38" s="506" customFormat="1" ht="50.1" customHeight="1">
      <c r="A42" s="505"/>
      <c r="B42" s="547">
        <v>34</v>
      </c>
      <c r="C42" s="548" t="s">
        <v>607</v>
      </c>
      <c r="D42" s="549" t="s">
        <v>608</v>
      </c>
      <c r="E42" s="550">
        <v>30</v>
      </c>
      <c r="F42" s="551"/>
      <c r="G42" s="552"/>
      <c r="H42" s="553"/>
      <c r="I42" s="553"/>
      <c r="J42" s="553"/>
      <c r="K42" s="553"/>
      <c r="L42" s="553"/>
      <c r="M42" s="553"/>
      <c r="N42" s="554"/>
      <c r="O42" s="555"/>
      <c r="P42" s="556"/>
      <c r="Q42" s="556"/>
      <c r="R42" s="556"/>
      <c r="S42" s="556"/>
      <c r="T42" s="557"/>
      <c r="U42" s="556"/>
      <c r="V42" s="556"/>
      <c r="W42" s="556"/>
      <c r="X42" s="556"/>
      <c r="Y42" s="556"/>
      <c r="Z42" s="558"/>
      <c r="AA42" s="554"/>
      <c r="AB42" s="554"/>
      <c r="AC42" s="554"/>
      <c r="AD42" s="553"/>
      <c r="AE42" s="553"/>
      <c r="AF42" s="559"/>
      <c r="AG42" s="554"/>
      <c r="AH42" s="597">
        <v>1500</v>
      </c>
      <c r="AI42" s="554"/>
      <c r="AJ42" s="505"/>
      <c r="AK42" s="543"/>
      <c r="AL42" s="543"/>
    </row>
    <row r="43" spans="1:38" s="506" customFormat="1" ht="50.1" customHeight="1">
      <c r="A43" s="505"/>
      <c r="B43" s="584">
        <v>35</v>
      </c>
      <c r="C43" s="548" t="s">
        <v>659</v>
      </c>
      <c r="D43" s="585" t="s">
        <v>660</v>
      </c>
      <c r="E43" s="550">
        <v>30</v>
      </c>
      <c r="F43" s="586"/>
      <c r="G43" s="587"/>
      <c r="H43" s="588"/>
      <c r="I43" s="588"/>
      <c r="J43" s="588"/>
      <c r="K43" s="588"/>
      <c r="L43" s="588"/>
      <c r="M43" s="588"/>
      <c r="N43" s="589"/>
      <c r="O43" s="555"/>
      <c r="P43" s="590"/>
      <c r="Q43" s="590"/>
      <c r="R43" s="590"/>
      <c r="S43" s="590"/>
      <c r="T43" s="591"/>
      <c r="U43" s="590"/>
      <c r="V43" s="590"/>
      <c r="W43" s="590"/>
      <c r="X43" s="590"/>
      <c r="Y43" s="590"/>
      <c r="Z43" s="558"/>
      <c r="AA43" s="589"/>
      <c r="AB43" s="589"/>
      <c r="AC43" s="589"/>
      <c r="AD43" s="588"/>
      <c r="AE43" s="588"/>
      <c r="AF43" s="592"/>
      <c r="AG43" s="589"/>
      <c r="AH43" s="598">
        <v>1000</v>
      </c>
      <c r="AI43" s="554"/>
      <c r="AJ43" s="505"/>
      <c r="AK43" s="543"/>
      <c r="AL43" s="543"/>
    </row>
    <row r="44" spans="1:38" s="506" customFormat="1" ht="50.1" customHeight="1">
      <c r="A44" s="505"/>
      <c r="B44" s="584">
        <v>36</v>
      </c>
      <c r="C44" s="548" t="s">
        <v>462</v>
      </c>
      <c r="D44" s="585" t="s">
        <v>555</v>
      </c>
      <c r="E44" s="550">
        <v>30</v>
      </c>
      <c r="F44" s="586"/>
      <c r="G44" s="587"/>
      <c r="H44" s="588"/>
      <c r="I44" s="588"/>
      <c r="J44" s="588"/>
      <c r="K44" s="588"/>
      <c r="L44" s="588"/>
      <c r="M44" s="588"/>
      <c r="N44" s="589"/>
      <c r="O44" s="555"/>
      <c r="P44" s="590"/>
      <c r="Q44" s="590"/>
      <c r="R44" s="590"/>
      <c r="S44" s="590"/>
      <c r="T44" s="591"/>
      <c r="U44" s="590"/>
      <c r="V44" s="590"/>
      <c r="W44" s="590"/>
      <c r="X44" s="590"/>
      <c r="Y44" s="590"/>
      <c r="Z44" s="558"/>
      <c r="AA44" s="589"/>
      <c r="AB44" s="589"/>
      <c r="AC44" s="589"/>
      <c r="AD44" s="588"/>
      <c r="AE44" s="588"/>
      <c r="AF44" s="592"/>
      <c r="AG44" s="589"/>
      <c r="AH44" s="598">
        <v>1500</v>
      </c>
      <c r="AI44" s="543"/>
      <c r="AJ44" s="505"/>
      <c r="AK44" s="543"/>
      <c r="AL44" s="543"/>
    </row>
    <row r="45" spans="1:38" s="506" customFormat="1" ht="59.25" customHeight="1">
      <c r="A45" s="505"/>
      <c r="B45" s="584">
        <v>37</v>
      </c>
      <c r="C45" s="617" t="s">
        <v>661</v>
      </c>
      <c r="D45" s="618" t="s">
        <v>662</v>
      </c>
      <c r="E45" s="547">
        <v>30</v>
      </c>
      <c r="F45" s="609"/>
      <c r="G45" s="610"/>
      <c r="H45" s="611"/>
      <c r="I45" s="611"/>
      <c r="J45" s="611"/>
      <c r="K45" s="611"/>
      <c r="L45" s="611"/>
      <c r="M45" s="611"/>
      <c r="N45" s="611"/>
      <c r="O45" s="611"/>
      <c r="P45" s="612"/>
      <c r="Q45" s="612"/>
      <c r="R45" s="612"/>
      <c r="S45" s="612"/>
      <c r="T45" s="613"/>
      <c r="U45" s="612"/>
      <c r="V45" s="612"/>
      <c r="W45" s="612"/>
      <c r="X45" s="612"/>
      <c r="Y45" s="612"/>
      <c r="Z45" s="614"/>
      <c r="AA45" s="611"/>
      <c r="AB45" s="611"/>
      <c r="AC45" s="611"/>
      <c r="AD45" s="611"/>
      <c r="AE45" s="611"/>
      <c r="AF45" s="611"/>
      <c r="AG45" s="611"/>
      <c r="AH45" s="619">
        <v>1000</v>
      </c>
      <c r="AI45" s="620"/>
      <c r="AJ45" s="505"/>
      <c r="AK45" s="561"/>
      <c r="AL45" s="561"/>
    </row>
    <row r="46" spans="1:38" s="506" customFormat="1" ht="73.5" customHeight="1">
      <c r="A46" s="505"/>
      <c r="B46" s="576">
        <v>38</v>
      </c>
      <c r="C46" s="577" t="s">
        <v>677</v>
      </c>
      <c r="D46" s="593" t="s">
        <v>678</v>
      </c>
      <c r="E46" s="576">
        <v>30</v>
      </c>
      <c r="F46" s="578"/>
      <c r="G46" s="579"/>
      <c r="H46" s="580"/>
      <c r="I46" s="580"/>
      <c r="J46" s="580"/>
      <c r="K46" s="580"/>
      <c r="L46" s="580"/>
      <c r="M46" s="580"/>
      <c r="N46" s="580"/>
      <c r="O46" s="531"/>
      <c r="P46" s="581"/>
      <c r="Q46" s="582"/>
      <c r="R46" s="582"/>
      <c r="S46" s="582"/>
      <c r="T46" s="583"/>
      <c r="U46" s="582"/>
      <c r="V46" s="582"/>
      <c r="W46" s="582"/>
      <c r="X46" s="582"/>
      <c r="Y46" s="582"/>
      <c r="Z46" s="560"/>
      <c r="AA46" s="580"/>
      <c r="AB46" s="580"/>
      <c r="AC46" s="580"/>
      <c r="AD46" s="580"/>
      <c r="AE46" s="580"/>
      <c r="AF46" s="580"/>
      <c r="AG46" s="580"/>
      <c r="AH46" s="594">
        <v>1500</v>
      </c>
      <c r="AI46" s="621"/>
      <c r="AJ46" s="505"/>
      <c r="AK46" s="562"/>
      <c r="AL46" s="562"/>
    </row>
    <row r="47" spans="1:38" s="506" customFormat="1" ht="31.5" customHeight="1" thickBot="1">
      <c r="A47" s="505"/>
      <c r="B47" s="666" t="s">
        <v>71</v>
      </c>
      <c r="C47" s="667"/>
      <c r="D47" s="667"/>
      <c r="E47" s="667"/>
      <c r="F47" s="668"/>
      <c r="G47" s="563">
        <f t="shared" ref="G47:N47" si="1">SUM(G8:G46)</f>
        <v>0</v>
      </c>
      <c r="H47" s="563">
        <f t="shared" si="1"/>
        <v>0</v>
      </c>
      <c r="I47" s="563">
        <f t="shared" si="1"/>
        <v>0</v>
      </c>
      <c r="J47" s="563">
        <f t="shared" si="1"/>
        <v>0</v>
      </c>
      <c r="K47" s="563">
        <f t="shared" si="1"/>
        <v>0</v>
      </c>
      <c r="L47" s="563">
        <f t="shared" si="1"/>
        <v>0</v>
      </c>
      <c r="M47" s="563">
        <f t="shared" si="1"/>
        <v>0</v>
      </c>
      <c r="N47" s="563">
        <f t="shared" si="1"/>
        <v>0</v>
      </c>
      <c r="O47" s="564"/>
      <c r="P47" s="565">
        <f t="shared" ref="P47:Y47" si="2">SUM(P8:P46)</f>
        <v>0</v>
      </c>
      <c r="Q47" s="565">
        <f t="shared" si="2"/>
        <v>0</v>
      </c>
      <c r="R47" s="565">
        <f t="shared" si="2"/>
        <v>0</v>
      </c>
      <c r="S47" s="565">
        <f t="shared" si="2"/>
        <v>0</v>
      </c>
      <c r="T47" s="565">
        <f t="shared" si="2"/>
        <v>0</v>
      </c>
      <c r="U47" s="565">
        <f t="shared" si="2"/>
        <v>0</v>
      </c>
      <c r="V47" s="565">
        <f t="shared" si="2"/>
        <v>0</v>
      </c>
      <c r="W47" s="565">
        <f t="shared" si="2"/>
        <v>0</v>
      </c>
      <c r="X47" s="565">
        <f t="shared" si="2"/>
        <v>0</v>
      </c>
      <c r="Y47" s="565">
        <f t="shared" si="2"/>
        <v>0</v>
      </c>
      <c r="Z47" s="564"/>
      <c r="AA47" s="563">
        <f t="shared" ref="AA47:AH47" si="3">SUM(AA8:AA46)</f>
        <v>0</v>
      </c>
      <c r="AB47" s="563">
        <f t="shared" si="3"/>
        <v>0</v>
      </c>
      <c r="AC47" s="563">
        <f t="shared" si="3"/>
        <v>0</v>
      </c>
      <c r="AD47" s="563">
        <f t="shared" si="3"/>
        <v>0</v>
      </c>
      <c r="AE47" s="563">
        <f t="shared" si="3"/>
        <v>0</v>
      </c>
      <c r="AF47" s="563">
        <f t="shared" si="3"/>
        <v>0</v>
      </c>
      <c r="AG47" s="563">
        <f t="shared" si="3"/>
        <v>0</v>
      </c>
      <c r="AH47" s="599">
        <f t="shared" si="3"/>
        <v>39500</v>
      </c>
      <c r="AI47" s="563"/>
      <c r="AJ47" s="505"/>
      <c r="AK47" s="563">
        <f t="shared" ref="AK47:AL47" si="4">SUM(AK8:AK46)</f>
        <v>-1902.2699999999998</v>
      </c>
      <c r="AL47" s="563">
        <f t="shared" si="4"/>
        <v>1902.2699999999998</v>
      </c>
    </row>
    <row r="48" spans="1:38" s="506" customFormat="1" ht="24" thickTop="1">
      <c r="A48" s="505"/>
      <c r="B48" s="505"/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/>
      <c r="X48" s="505"/>
      <c r="Y48" s="505"/>
      <c r="Z48" s="505"/>
      <c r="AA48" s="505"/>
      <c r="AB48" s="505"/>
      <c r="AC48" s="505"/>
      <c r="AD48" s="505"/>
      <c r="AE48" s="505"/>
      <c r="AF48" s="505"/>
      <c r="AG48" s="505"/>
      <c r="AH48" s="505"/>
      <c r="AI48" s="505"/>
      <c r="AJ48" s="505"/>
      <c r="AK48" s="505"/>
      <c r="AL48" s="505"/>
    </row>
    <row r="55" spans="3:4">
      <c r="C55" s="566"/>
      <c r="D55" s="566"/>
    </row>
  </sheetData>
  <mergeCells count="6">
    <mergeCell ref="B47:F47"/>
    <mergeCell ref="G4:N4"/>
    <mergeCell ref="R4:W4"/>
    <mergeCell ref="AB4:AG4"/>
    <mergeCell ref="B2:AI2"/>
    <mergeCell ref="B3:AI3"/>
  </mergeCells>
  <pageMargins left="0" right="0.51181102362204722" top="0.70866141732283472" bottom="0.98425196850393704" header="0" footer="0"/>
  <pageSetup paperSize="5" scale="37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3"/>
  <sheetViews>
    <sheetView topLeftCell="A8" zoomScale="68" zoomScaleNormal="68" workbookViewId="0">
      <selection activeCell="D9" sqref="D9"/>
    </sheetView>
  </sheetViews>
  <sheetFormatPr baseColWidth="10" defaultColWidth="11.42578125" defaultRowHeight="14.25"/>
  <cols>
    <col min="1" max="1" width="10.28515625" style="416" bestFit="1" customWidth="1"/>
    <col min="2" max="2" width="48" style="416" customWidth="1"/>
    <col min="3" max="3" width="54.42578125" style="575" customWidth="1"/>
    <col min="4" max="4" width="20.85546875" style="416" customWidth="1"/>
    <col min="5" max="5" width="36.28515625" style="416" customWidth="1"/>
    <col min="6" max="28" width="0" style="416" hidden="1" customWidth="1"/>
    <col min="29" max="29" width="4.42578125" style="416" hidden="1" customWidth="1"/>
    <col min="30" max="34" width="11.42578125" style="416" hidden="1" customWidth="1"/>
    <col min="35" max="16384" width="11.42578125" style="416"/>
  </cols>
  <sheetData>
    <row r="1" spans="1:35" ht="18">
      <c r="B1" s="674" t="s">
        <v>113</v>
      </c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674"/>
      <c r="AA1" s="674"/>
      <c r="AB1" s="674"/>
      <c r="AC1" s="674"/>
      <c r="AD1" s="674"/>
      <c r="AE1" s="674"/>
      <c r="AF1" s="674"/>
      <c r="AG1" s="674"/>
      <c r="AH1" s="674"/>
    </row>
    <row r="2" spans="1:35">
      <c r="B2" s="675" t="s">
        <v>688</v>
      </c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  <c r="AD2" s="675"/>
      <c r="AE2" s="675"/>
      <c r="AF2" s="675"/>
      <c r="AG2" s="675"/>
      <c r="AH2" s="675"/>
    </row>
    <row r="3" spans="1:35" ht="15" thickBot="1">
      <c r="B3" s="417"/>
      <c r="C3" s="571"/>
      <c r="D3" s="418"/>
    </row>
    <row r="4" spans="1:35" ht="15.75" customHeight="1">
      <c r="A4" s="507" t="s">
        <v>672</v>
      </c>
      <c r="B4" s="676" t="s">
        <v>137</v>
      </c>
      <c r="C4" s="678" t="s">
        <v>609</v>
      </c>
      <c r="D4" s="680" t="s">
        <v>138</v>
      </c>
      <c r="E4" s="682" t="s">
        <v>139</v>
      </c>
    </row>
    <row r="5" spans="1:35" ht="24" thickBot="1">
      <c r="A5" s="513" t="s">
        <v>42</v>
      </c>
      <c r="B5" s="677"/>
      <c r="C5" s="679"/>
      <c r="D5" s="681"/>
      <c r="E5" s="682"/>
    </row>
    <row r="6" spans="1:35" ht="23.25">
      <c r="A6" s="516"/>
      <c r="B6" s="452"/>
      <c r="C6" s="572"/>
      <c r="D6" s="503"/>
      <c r="E6" s="419"/>
    </row>
    <row r="7" spans="1:35" ht="33.950000000000003" customHeight="1">
      <c r="A7" s="624">
        <v>1</v>
      </c>
      <c r="B7" s="422" t="s">
        <v>683</v>
      </c>
      <c r="C7" s="573" t="s">
        <v>610</v>
      </c>
      <c r="D7" s="453">
        <v>1000</v>
      </c>
      <c r="E7" s="423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1"/>
    </row>
    <row r="8" spans="1:35" ht="33.950000000000003" customHeight="1">
      <c r="A8" s="624">
        <v>2</v>
      </c>
      <c r="B8" s="422" t="s">
        <v>684</v>
      </c>
      <c r="C8" s="573" t="s">
        <v>611</v>
      </c>
      <c r="D8" s="453">
        <v>1000</v>
      </c>
      <c r="E8" s="422"/>
    </row>
    <row r="9" spans="1:35" ht="33.950000000000003" customHeight="1">
      <c r="A9" s="624">
        <v>3</v>
      </c>
      <c r="B9" s="422" t="s">
        <v>548</v>
      </c>
      <c r="C9" s="573" t="s">
        <v>612</v>
      </c>
      <c r="D9" s="453">
        <v>1000</v>
      </c>
      <c r="E9" s="422"/>
    </row>
    <row r="10" spans="1:35" ht="33.950000000000003" customHeight="1">
      <c r="A10" s="624">
        <v>4</v>
      </c>
      <c r="B10" s="422" t="s">
        <v>549</v>
      </c>
      <c r="C10" s="573" t="s">
        <v>550</v>
      </c>
      <c r="D10" s="453">
        <v>1000</v>
      </c>
      <c r="E10" s="422"/>
    </row>
    <row r="11" spans="1:35" ht="33.950000000000003" customHeight="1">
      <c r="A11" s="624">
        <v>5</v>
      </c>
      <c r="B11" s="422" t="s">
        <v>551</v>
      </c>
      <c r="C11" s="573" t="s">
        <v>613</v>
      </c>
      <c r="D11" s="453">
        <v>1000</v>
      </c>
      <c r="E11" s="422"/>
    </row>
    <row r="12" spans="1:35" ht="27.75" customHeight="1">
      <c r="A12" s="624">
        <v>6</v>
      </c>
      <c r="B12" s="180" t="s">
        <v>493</v>
      </c>
      <c r="C12" s="574" t="s">
        <v>494</v>
      </c>
      <c r="D12" s="453">
        <v>1000</v>
      </c>
      <c r="E12" s="422"/>
    </row>
    <row r="13" spans="1:35" ht="28.5" customHeight="1">
      <c r="A13" s="624">
        <v>7</v>
      </c>
      <c r="B13" s="180" t="s">
        <v>460</v>
      </c>
      <c r="C13" s="574" t="s">
        <v>461</v>
      </c>
      <c r="D13" s="453">
        <v>1000</v>
      </c>
      <c r="E13" s="422"/>
    </row>
    <row r="14" spans="1:35" ht="32.25" customHeight="1">
      <c r="A14" s="624">
        <v>8</v>
      </c>
      <c r="B14" s="180" t="s">
        <v>489</v>
      </c>
      <c r="C14" s="574" t="s">
        <v>614</v>
      </c>
      <c r="D14" s="453">
        <v>1000</v>
      </c>
      <c r="E14" s="422"/>
    </row>
    <row r="15" spans="1:35" ht="29.25" customHeight="1">
      <c r="A15" s="624">
        <v>9</v>
      </c>
      <c r="B15" s="180" t="s">
        <v>490</v>
      </c>
      <c r="C15" s="574" t="s">
        <v>491</v>
      </c>
      <c r="D15" s="453">
        <v>1000</v>
      </c>
      <c r="E15" s="422"/>
    </row>
    <row r="16" spans="1:35" ht="30.75" customHeight="1">
      <c r="A16" s="624">
        <v>10</v>
      </c>
      <c r="B16" s="180" t="s">
        <v>627</v>
      </c>
      <c r="C16" s="574" t="s">
        <v>667</v>
      </c>
      <c r="D16" s="453">
        <v>1000</v>
      </c>
      <c r="E16" s="422"/>
    </row>
    <row r="17" spans="1:5" ht="30.75" customHeight="1">
      <c r="A17" s="624">
        <v>11</v>
      </c>
      <c r="B17" s="180" t="s">
        <v>615</v>
      </c>
      <c r="C17" s="574" t="s">
        <v>616</v>
      </c>
      <c r="D17" s="451">
        <v>1000</v>
      </c>
      <c r="E17" s="422"/>
    </row>
    <row r="18" spans="1:5" ht="33.75" customHeight="1">
      <c r="A18" s="624">
        <v>12</v>
      </c>
      <c r="B18" s="180" t="s">
        <v>617</v>
      </c>
      <c r="C18" s="574" t="s">
        <v>663</v>
      </c>
      <c r="D18" s="451">
        <v>1000</v>
      </c>
      <c r="E18" s="422"/>
    </row>
    <row r="19" spans="1:5" ht="29.25" customHeight="1">
      <c r="A19" s="624">
        <v>13</v>
      </c>
      <c r="B19" s="180" t="s">
        <v>618</v>
      </c>
      <c r="C19" s="574" t="s">
        <v>619</v>
      </c>
      <c r="D19" s="451">
        <v>1000</v>
      </c>
      <c r="E19" s="422"/>
    </row>
    <row r="20" spans="1:5" ht="33" customHeight="1">
      <c r="A20" s="624">
        <v>14</v>
      </c>
      <c r="B20" s="180" t="s">
        <v>620</v>
      </c>
      <c r="C20" s="574" t="s">
        <v>621</v>
      </c>
      <c r="D20" s="451">
        <v>1000</v>
      </c>
      <c r="E20" s="422"/>
    </row>
    <row r="21" spans="1:5" ht="31.5" customHeight="1">
      <c r="A21" s="624">
        <v>15</v>
      </c>
      <c r="B21" s="180" t="s">
        <v>669</v>
      </c>
      <c r="C21" s="574" t="s">
        <v>622</v>
      </c>
      <c r="D21" s="451">
        <v>1000</v>
      </c>
      <c r="E21" s="422"/>
    </row>
    <row r="22" spans="1:5" ht="26.25" customHeight="1">
      <c r="A22" s="624">
        <v>16</v>
      </c>
      <c r="B22" s="180" t="s">
        <v>628</v>
      </c>
      <c r="C22" s="574" t="s">
        <v>629</v>
      </c>
      <c r="D22" s="451">
        <v>1000</v>
      </c>
      <c r="E22" s="422"/>
    </row>
    <row r="23" spans="1:5" ht="27.75" customHeight="1">
      <c r="A23" s="624">
        <v>17</v>
      </c>
      <c r="B23" s="180" t="s">
        <v>630</v>
      </c>
      <c r="C23" s="574" t="s">
        <v>631</v>
      </c>
      <c r="D23" s="451">
        <v>1000</v>
      </c>
      <c r="E23" s="422"/>
    </row>
    <row r="24" spans="1:5" ht="36.75" customHeight="1">
      <c r="A24" s="624">
        <v>18</v>
      </c>
      <c r="B24" s="180" t="s">
        <v>632</v>
      </c>
      <c r="C24" s="574" t="s">
        <v>633</v>
      </c>
      <c r="D24" s="451">
        <v>1000</v>
      </c>
      <c r="E24" s="422"/>
    </row>
    <row r="25" spans="1:5" ht="31.5" customHeight="1">
      <c r="A25" s="624">
        <v>19</v>
      </c>
      <c r="B25" s="180" t="s">
        <v>634</v>
      </c>
      <c r="C25" s="574" t="s">
        <v>668</v>
      </c>
      <c r="D25" s="451">
        <v>1000</v>
      </c>
      <c r="E25" s="422"/>
    </row>
    <row r="26" spans="1:5" ht="29.25" customHeight="1">
      <c r="A26" s="624">
        <v>20</v>
      </c>
      <c r="B26" s="180" t="s">
        <v>635</v>
      </c>
      <c r="C26" s="574" t="s">
        <v>636</v>
      </c>
      <c r="D26" s="451">
        <v>1000</v>
      </c>
      <c r="E26" s="422"/>
    </row>
    <row r="27" spans="1:5" ht="33" customHeight="1">
      <c r="A27" s="624">
        <v>21</v>
      </c>
      <c r="B27" s="180" t="s">
        <v>650</v>
      </c>
      <c r="C27" s="574" t="s">
        <v>651</v>
      </c>
      <c r="D27" s="451">
        <v>1000</v>
      </c>
      <c r="E27" s="422"/>
    </row>
    <row r="28" spans="1:5" ht="33" customHeight="1">
      <c r="A28" s="624">
        <v>22</v>
      </c>
      <c r="B28" s="180" t="s">
        <v>670</v>
      </c>
      <c r="C28" s="574" t="s">
        <v>671</v>
      </c>
      <c r="D28" s="451">
        <v>1500</v>
      </c>
      <c r="E28" s="422"/>
    </row>
    <row r="29" spans="1:5" ht="33" customHeight="1">
      <c r="A29" s="624">
        <v>23</v>
      </c>
      <c r="B29" s="180" t="s">
        <v>673</v>
      </c>
      <c r="C29" s="574" t="s">
        <v>674</v>
      </c>
      <c r="D29" s="451">
        <v>1000</v>
      </c>
      <c r="E29" s="422"/>
    </row>
    <row r="30" spans="1:5" ht="36.75" customHeight="1">
      <c r="A30" s="624">
        <v>24</v>
      </c>
      <c r="B30" s="180" t="s">
        <v>675</v>
      </c>
      <c r="C30" s="574" t="s">
        <v>676</v>
      </c>
      <c r="D30" s="451">
        <v>1000</v>
      </c>
      <c r="E30" s="422"/>
    </row>
    <row r="31" spans="1:5" ht="36.75" customHeight="1">
      <c r="A31" s="624">
        <v>25</v>
      </c>
      <c r="B31" s="180" t="s">
        <v>680</v>
      </c>
      <c r="C31" s="615" t="s">
        <v>682</v>
      </c>
      <c r="D31" s="616">
        <v>1000</v>
      </c>
      <c r="E31" s="422"/>
    </row>
    <row r="32" spans="1:5" ht="36.75" customHeight="1">
      <c r="A32" s="624">
        <v>26</v>
      </c>
      <c r="B32" s="180" t="s">
        <v>686</v>
      </c>
      <c r="C32" s="615" t="s">
        <v>687</v>
      </c>
      <c r="D32" s="616">
        <v>233</v>
      </c>
      <c r="E32" s="422"/>
    </row>
    <row r="33" spans="1:5" ht="36.75" customHeight="1">
      <c r="A33" s="624">
        <v>27</v>
      </c>
      <c r="B33" s="180" t="s">
        <v>679</v>
      </c>
      <c r="C33" s="615" t="s">
        <v>681</v>
      </c>
      <c r="D33" s="616">
        <v>1000</v>
      </c>
      <c r="E33" s="422"/>
    </row>
    <row r="34" spans="1:5" ht="37.5" customHeight="1">
      <c r="C34" s="622" t="s">
        <v>0</v>
      </c>
      <c r="D34" s="623">
        <f>SUM(D7:D33)</f>
        <v>26733</v>
      </c>
    </row>
    <row r="47" spans="1:5">
      <c r="B47" s="397"/>
    </row>
    <row r="48" spans="1:5">
      <c r="B48" s="397"/>
    </row>
    <row r="49" spans="2:2">
      <c r="B49" s="397"/>
    </row>
    <row r="50" spans="2:2">
      <c r="B50" s="397"/>
    </row>
    <row r="51" spans="2:2">
      <c r="B51" s="397"/>
    </row>
    <row r="52" spans="2:2">
      <c r="B52" s="397"/>
    </row>
    <row r="53" spans="2:2">
      <c r="B53" s="397"/>
    </row>
  </sheetData>
  <mergeCells count="6">
    <mergeCell ref="B1:AH1"/>
    <mergeCell ref="B2:AH2"/>
    <mergeCell ref="B4:B5"/>
    <mergeCell ref="C4:C5"/>
    <mergeCell ref="D4:D5"/>
    <mergeCell ref="E4:E5"/>
  </mergeCells>
  <pageMargins left="0.25" right="0.25" top="0.75" bottom="0.75" header="0.3" footer="0.3"/>
  <pageSetup paperSize="5" fitToHeight="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11">
    <pageSetUpPr fitToPage="1"/>
  </sheetPr>
  <dimension ref="B1:AD50"/>
  <sheetViews>
    <sheetView showGridLines="0" zoomScale="75" workbookViewId="0">
      <selection activeCell="D25" sqref="D25"/>
    </sheetView>
  </sheetViews>
  <sheetFormatPr baseColWidth="10" defaultColWidth="11" defaultRowHeight="12"/>
  <cols>
    <col min="1" max="1" width="11" style="5"/>
    <col min="2" max="2" width="49.5703125" style="5" customWidth="1"/>
    <col min="3" max="3" width="15.42578125" style="5" customWidth="1"/>
    <col min="4" max="4" width="4.28515625" style="5" customWidth="1"/>
    <col min="5" max="5" width="11.85546875" style="5" hidden="1" customWidth="1"/>
    <col min="6" max="6" width="43.5703125" style="5" customWidth="1"/>
    <col min="7" max="7" width="12" style="5" bestFit="1" customWidth="1"/>
    <col min="8" max="8" width="11" style="5"/>
    <col min="9" max="18" width="8.7109375" style="5" customWidth="1"/>
    <col min="19" max="20" width="11" style="5"/>
    <col min="21" max="21" width="12.28515625" style="5" bestFit="1" customWidth="1"/>
    <col min="22" max="22" width="11" style="5" bestFit="1" customWidth="1"/>
    <col min="23" max="23" width="10.5703125" style="5" customWidth="1"/>
    <col min="24" max="24" width="11" style="5"/>
    <col min="25" max="25" width="12" style="5" hidden="1" customWidth="1"/>
    <col min="26" max="27" width="11.28515625" style="5" hidden="1" customWidth="1"/>
    <col min="28" max="28" width="11" style="5"/>
    <col min="29" max="30" width="11.140625" style="5" bestFit="1" customWidth="1"/>
    <col min="31" max="16384" width="11" style="5"/>
  </cols>
  <sheetData>
    <row r="1" spans="2:30" ht="12.75">
      <c r="B1" s="4"/>
      <c r="C1" s="4"/>
      <c r="D1" s="4"/>
      <c r="E1" s="4"/>
      <c r="F1" s="4"/>
    </row>
    <row r="2" spans="2:30" ht="25.5" customHeight="1">
      <c r="B2" s="8" t="s">
        <v>100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30" ht="25.5" customHeight="1">
      <c r="B3" s="119" t="s">
        <v>81</v>
      </c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30" ht="25.5" customHeight="1">
      <c r="B4" s="120" t="s">
        <v>11</v>
      </c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30" ht="26.25" customHeight="1">
      <c r="B5" s="121" t="s">
        <v>85</v>
      </c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30" ht="12.75" customHeight="1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30" ht="12.7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30" ht="12.7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30" ht="18">
      <c r="B9" s="11" t="s">
        <v>12</v>
      </c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30" ht="18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30" ht="15.7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683" t="s">
        <v>94</v>
      </c>
      <c r="V11" s="683"/>
      <c r="W11" s="683"/>
      <c r="X11" s="683"/>
      <c r="Y11" s="683"/>
      <c r="Z11" s="683"/>
      <c r="AA11" s="683"/>
      <c r="AB11" s="683"/>
    </row>
    <row r="12" spans="2:30" ht="20.25" customHeight="1">
      <c r="B12" s="17" t="s">
        <v>13</v>
      </c>
      <c r="C12" s="122">
        <f>885*2</f>
        <v>1770</v>
      </c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19"/>
      <c r="T12" s="16"/>
      <c r="U12" s="16"/>
      <c r="W12" s="20"/>
      <c r="X12" s="20"/>
    </row>
    <row r="13" spans="2:30" ht="22.5" customHeight="1">
      <c r="B13" s="17" t="s">
        <v>25</v>
      </c>
      <c r="C13" s="122">
        <v>0</v>
      </c>
      <c r="D13" s="18"/>
      <c r="E13" s="18"/>
      <c r="F13" s="18"/>
      <c r="U13" s="21" t="s">
        <v>14</v>
      </c>
      <c r="V13" s="21"/>
      <c r="W13" s="16"/>
      <c r="X13" s="7"/>
      <c r="Y13" s="21"/>
      <c r="Z13" s="16"/>
      <c r="AA13" s="16"/>
      <c r="AC13" s="21" t="s">
        <v>8</v>
      </c>
      <c r="AD13" s="22"/>
    </row>
    <row r="14" spans="2:30" ht="13.5" customHeight="1">
      <c r="B14" s="17" t="s">
        <v>15</v>
      </c>
      <c r="C14" s="123"/>
      <c r="D14" s="18"/>
      <c r="E14" s="18"/>
      <c r="F14" s="18"/>
      <c r="U14" s="24" t="s">
        <v>12</v>
      </c>
      <c r="V14" s="16"/>
      <c r="W14" s="21"/>
      <c r="X14" s="25"/>
      <c r="Y14" s="24"/>
      <c r="Z14" s="21"/>
      <c r="AA14" s="26"/>
      <c r="AB14" s="27"/>
      <c r="AC14" s="24" t="s">
        <v>82</v>
      </c>
      <c r="AD14" s="28"/>
    </row>
    <row r="15" spans="2:30" ht="20.25" customHeight="1">
      <c r="B15" s="17" t="s">
        <v>16</v>
      </c>
      <c r="C15" s="124">
        <f>C12-C13</f>
        <v>1770</v>
      </c>
      <c r="D15" s="18"/>
      <c r="E15" s="29"/>
      <c r="F15" s="18"/>
      <c r="U15" s="30" t="s">
        <v>17</v>
      </c>
      <c r="V15" s="30" t="s">
        <v>18</v>
      </c>
      <c r="W15" s="30" t="s">
        <v>1</v>
      </c>
      <c r="X15" s="31"/>
      <c r="Y15" s="30"/>
      <c r="Z15" s="30"/>
      <c r="AA15" s="30"/>
      <c r="AB15" s="32"/>
      <c r="AC15" s="30" t="s">
        <v>19</v>
      </c>
      <c r="AD15" s="30" t="s">
        <v>8</v>
      </c>
    </row>
    <row r="16" spans="2:30" ht="22.5" customHeight="1">
      <c r="B16" s="17" t="s">
        <v>26</v>
      </c>
      <c r="C16" s="124">
        <f>VLOOKUP(C15,TARIFA,1)</f>
        <v>496.08</v>
      </c>
      <c r="D16" s="18"/>
      <c r="E16" s="29"/>
      <c r="F16" s="18"/>
      <c r="U16" s="7"/>
      <c r="V16" s="7"/>
      <c r="W16" s="7"/>
      <c r="X16" s="7"/>
      <c r="Y16" s="7"/>
      <c r="Z16" s="7"/>
      <c r="AA16" s="7"/>
    </row>
    <row r="17" spans="2:30" ht="17.25" customHeight="1">
      <c r="B17" s="18"/>
      <c r="C17" s="123"/>
      <c r="D17" s="18"/>
      <c r="E17" s="23"/>
      <c r="F17" s="18"/>
      <c r="U17" s="137">
        <v>0.01</v>
      </c>
      <c r="V17" s="137">
        <v>0</v>
      </c>
      <c r="W17" s="138">
        <v>1.9199999999999998E-2</v>
      </c>
      <c r="X17" s="33"/>
      <c r="Y17" s="33"/>
      <c r="Z17" s="33"/>
      <c r="AA17" s="34"/>
      <c r="AB17" s="33"/>
      <c r="AC17" s="137">
        <v>0.01</v>
      </c>
      <c r="AD17" s="137">
        <v>407.02</v>
      </c>
    </row>
    <row r="18" spans="2:30" ht="20.25" customHeight="1">
      <c r="B18" s="17" t="s">
        <v>20</v>
      </c>
      <c r="C18" s="124">
        <f>C15-C16</f>
        <v>1273.92</v>
      </c>
      <c r="D18" s="29"/>
      <c r="E18" s="29"/>
      <c r="F18" s="18"/>
      <c r="U18" s="137">
        <v>496.08</v>
      </c>
      <c r="V18" s="137">
        <v>9.52</v>
      </c>
      <c r="W18" s="138">
        <v>6.4000000000000001E-2</v>
      </c>
      <c r="X18" s="33"/>
      <c r="Y18" s="33"/>
      <c r="Z18" s="33"/>
      <c r="AA18" s="34"/>
      <c r="AB18" s="33"/>
      <c r="AC18" s="137">
        <v>1768.97</v>
      </c>
      <c r="AD18" s="137">
        <v>406.83</v>
      </c>
    </row>
    <row r="19" spans="2:30" ht="22.5" customHeight="1">
      <c r="B19" s="17" t="s">
        <v>27</v>
      </c>
      <c r="C19" s="125">
        <f>VLOOKUP(C15,TARIFA,3)</f>
        <v>6.4000000000000001E-2</v>
      </c>
      <c r="D19" s="18"/>
      <c r="E19" s="36"/>
      <c r="F19" s="18"/>
      <c r="U19" s="137">
        <v>4210.42</v>
      </c>
      <c r="V19" s="137">
        <v>247.24</v>
      </c>
      <c r="W19" s="138">
        <v>0.10879999999999999</v>
      </c>
      <c r="X19" s="33"/>
      <c r="Y19" s="33"/>
      <c r="Z19" s="33"/>
      <c r="AA19" s="34"/>
      <c r="AB19" s="33"/>
      <c r="AC19" s="137">
        <v>2653.39</v>
      </c>
      <c r="AD19" s="137">
        <v>406.62</v>
      </c>
    </row>
    <row r="20" spans="2:30" ht="14.25" customHeight="1">
      <c r="B20" s="18"/>
      <c r="C20" s="23"/>
      <c r="D20" s="18"/>
      <c r="E20" s="23"/>
      <c r="F20" s="18"/>
      <c r="U20" s="137">
        <v>7399.43</v>
      </c>
      <c r="V20" s="137">
        <v>594.21</v>
      </c>
      <c r="W20" s="138">
        <v>0.16</v>
      </c>
      <c r="X20" s="33"/>
      <c r="Y20" s="33"/>
      <c r="Z20" s="33"/>
      <c r="AA20" s="34"/>
      <c r="AB20" s="33"/>
      <c r="AC20" s="137">
        <v>3472.85</v>
      </c>
      <c r="AD20" s="137">
        <v>392.77</v>
      </c>
    </row>
    <row r="21" spans="2:30" ht="20.25" customHeight="1">
      <c r="B21" s="37" t="s">
        <v>21</v>
      </c>
      <c r="C21" s="126">
        <f>C18*C19</f>
        <v>81.53088000000001</v>
      </c>
      <c r="D21" s="38"/>
      <c r="E21" s="38"/>
      <c r="F21" s="18"/>
      <c r="U21" s="137">
        <v>8601.51</v>
      </c>
      <c r="V21" s="137">
        <v>786.54</v>
      </c>
      <c r="W21" s="138">
        <v>0.1792</v>
      </c>
      <c r="X21" s="33"/>
      <c r="Y21" s="33"/>
      <c r="Z21" s="33"/>
      <c r="AA21" s="34"/>
      <c r="AB21" s="33"/>
      <c r="AC21" s="137">
        <v>3537.88</v>
      </c>
      <c r="AD21" s="137">
        <v>382.46</v>
      </c>
    </row>
    <row r="22" spans="2:30" ht="17.25" customHeight="1">
      <c r="B22" s="17" t="s">
        <v>28</v>
      </c>
      <c r="C22" s="124">
        <f>VLOOKUP(C15,TARIFA,2)</f>
        <v>9.52</v>
      </c>
      <c r="D22" s="18"/>
      <c r="E22" s="39"/>
      <c r="F22" s="18"/>
      <c r="U22" s="137">
        <v>10298.36</v>
      </c>
      <c r="V22" s="137">
        <v>1090.6099999999999</v>
      </c>
      <c r="W22" s="138">
        <v>0.21360000000000001</v>
      </c>
      <c r="X22" s="33"/>
      <c r="Y22" s="33"/>
      <c r="Z22" s="33"/>
      <c r="AA22" s="34"/>
      <c r="AB22" s="33"/>
      <c r="AC22" s="137">
        <v>4446.16</v>
      </c>
      <c r="AD22" s="137">
        <v>354.23</v>
      </c>
    </row>
    <row r="23" spans="2:30" ht="14.25" customHeight="1">
      <c r="B23" s="42"/>
      <c r="C23" s="127"/>
      <c r="D23" s="18"/>
      <c r="E23" s="23"/>
      <c r="F23" s="18"/>
      <c r="U23" s="137">
        <v>20770.3</v>
      </c>
      <c r="V23" s="137">
        <v>3327.42</v>
      </c>
      <c r="W23" s="138">
        <v>0.23519999999999999</v>
      </c>
      <c r="X23" s="33"/>
      <c r="Y23" s="33"/>
      <c r="Z23" s="33"/>
      <c r="AA23" s="34"/>
      <c r="AB23" s="33"/>
      <c r="AC23" s="137">
        <v>4717.1899999999996</v>
      </c>
      <c r="AD23" s="137">
        <v>324.87</v>
      </c>
    </row>
    <row r="24" spans="2:30" ht="20.25" customHeight="1">
      <c r="B24" s="42" t="s">
        <v>83</v>
      </c>
      <c r="C24" s="127">
        <f>+C21+C22</f>
        <v>91.050880000000006</v>
      </c>
      <c r="D24" s="18"/>
      <c r="E24" s="38"/>
      <c r="F24" s="40"/>
      <c r="U24" s="137">
        <v>32736.84</v>
      </c>
      <c r="V24" s="137">
        <v>6141.95</v>
      </c>
      <c r="W24" s="138">
        <v>0.3</v>
      </c>
      <c r="X24" s="33"/>
      <c r="Y24" s="33"/>
      <c r="Z24" s="33"/>
      <c r="AA24" s="34"/>
      <c r="AB24" s="33"/>
      <c r="AC24" s="137">
        <v>5335.43</v>
      </c>
      <c r="AD24" s="137">
        <v>294.63</v>
      </c>
    </row>
    <row r="25" spans="2:30" ht="21.75" customHeight="1">
      <c r="C25" s="128"/>
      <c r="D25" s="41"/>
      <c r="E25" s="29"/>
      <c r="F25" s="18"/>
      <c r="U25" s="137">
        <v>62500.01</v>
      </c>
      <c r="V25" s="137">
        <v>15070.9</v>
      </c>
      <c r="W25" s="138">
        <v>0.32</v>
      </c>
      <c r="X25" s="33"/>
      <c r="Y25" s="33"/>
      <c r="Z25" s="33"/>
      <c r="AA25" s="35"/>
      <c r="AB25" s="33"/>
      <c r="AC25" s="137">
        <v>6224.68</v>
      </c>
      <c r="AD25" s="137">
        <v>253.54</v>
      </c>
    </row>
    <row r="26" spans="2:30" ht="21.75" customHeight="1">
      <c r="B26" s="17" t="s">
        <v>86</v>
      </c>
      <c r="C26" s="124">
        <f>VLOOKUP(C15,CREDITO,2)</f>
        <v>406.83</v>
      </c>
      <c r="D26" s="18"/>
      <c r="E26" s="43"/>
      <c r="F26" s="44"/>
      <c r="U26" s="137">
        <v>83333.34</v>
      </c>
      <c r="V26" s="137">
        <v>21737.57</v>
      </c>
      <c r="W26" s="138">
        <v>0.34</v>
      </c>
      <c r="X26" s="33"/>
      <c r="Y26" s="33"/>
      <c r="Z26" s="33"/>
      <c r="AA26" s="33"/>
      <c r="AB26" s="33"/>
      <c r="AC26" s="137">
        <v>7113.91</v>
      </c>
      <c r="AD26" s="137">
        <v>217.61</v>
      </c>
    </row>
    <row r="27" spans="2:30" ht="14.25">
      <c r="B27" s="18"/>
      <c r="C27" s="123"/>
      <c r="D27" s="18"/>
      <c r="E27" s="23"/>
      <c r="F27" s="45"/>
      <c r="U27" s="137">
        <v>250000.01</v>
      </c>
      <c r="V27" s="137">
        <v>78404.23</v>
      </c>
      <c r="W27" s="138">
        <v>0.35</v>
      </c>
      <c r="X27" s="33"/>
      <c r="Y27" s="33"/>
      <c r="Z27" s="33"/>
      <c r="AA27" s="33"/>
      <c r="AB27" s="33"/>
      <c r="AC27" s="137">
        <v>7382.34</v>
      </c>
      <c r="AD27" s="137">
        <v>0</v>
      </c>
    </row>
    <row r="28" spans="2:30" ht="21.75" customHeight="1" thickBot="1">
      <c r="B28" s="46" t="s">
        <v>22</v>
      </c>
      <c r="C28" s="129">
        <f>IF(C24&gt;C26,C24-C26,0)</f>
        <v>0</v>
      </c>
      <c r="D28" s="18"/>
      <c r="E28" s="23"/>
      <c r="F28" s="18"/>
      <c r="U28" s="33"/>
      <c r="V28" s="33"/>
      <c r="W28" s="34"/>
    </row>
    <row r="29" spans="2:30" ht="20.25" customHeight="1" thickTop="1" thickBot="1">
      <c r="C29" s="128"/>
      <c r="D29" s="18"/>
      <c r="E29" s="18"/>
      <c r="F29" s="18"/>
      <c r="U29" s="33"/>
      <c r="V29" s="33"/>
      <c r="W29" s="33"/>
    </row>
    <row r="30" spans="2:30" ht="20.25" customHeight="1" thickTop="1" thickBot="1">
      <c r="B30" s="47" t="s">
        <v>84</v>
      </c>
      <c r="C30" s="130">
        <f>IF(C24&lt;C26,C26-C24,0)</f>
        <v>315.77911999999998</v>
      </c>
      <c r="D30" s="18"/>
      <c r="E30" s="18"/>
      <c r="F30" s="18"/>
      <c r="U30" s="33"/>
      <c r="V30" s="33"/>
      <c r="W30" s="33"/>
    </row>
    <row r="31" spans="2:30" ht="27.75" customHeight="1" thickTop="1">
      <c r="D31" s="18"/>
      <c r="E31" s="18"/>
      <c r="F31" s="48"/>
    </row>
    <row r="32" spans="2:30" ht="20.25" customHeight="1">
      <c r="D32" s="18"/>
      <c r="E32" s="18"/>
      <c r="F32" s="18"/>
    </row>
    <row r="33" spans="2:6" ht="20.25" customHeight="1">
      <c r="B33" s="42"/>
      <c r="C33" s="42"/>
      <c r="D33" s="18"/>
      <c r="E33" s="18"/>
      <c r="F33" s="18"/>
    </row>
    <row r="34" spans="2:6" ht="20.25" customHeight="1">
      <c r="B34" s="49" t="s">
        <v>96</v>
      </c>
      <c r="C34" s="42"/>
      <c r="D34" s="18"/>
      <c r="E34" s="18"/>
      <c r="F34" s="18"/>
    </row>
    <row r="35" spans="2:6" ht="20.25" customHeight="1">
      <c r="B35" s="50"/>
      <c r="C35" s="42"/>
      <c r="D35" s="18"/>
      <c r="E35" s="18"/>
      <c r="F35" s="18"/>
    </row>
    <row r="36" spans="2:6" ht="20.25" customHeight="1">
      <c r="B36" s="51"/>
      <c r="C36" s="52"/>
      <c r="D36" s="53"/>
      <c r="E36" s="53"/>
      <c r="F36" s="53"/>
    </row>
    <row r="37" spans="2:6" ht="20.25" customHeight="1">
      <c r="B37" s="7"/>
      <c r="C37" s="7"/>
      <c r="D37" s="14"/>
      <c r="E37" s="14"/>
      <c r="F37" s="14"/>
    </row>
    <row r="38" spans="2:6" ht="20.25" customHeight="1">
      <c r="B38" s="53" t="s">
        <v>80</v>
      </c>
      <c r="C38" s="54"/>
      <c r="D38" s="14"/>
      <c r="E38" s="14"/>
      <c r="F38" s="14"/>
    </row>
    <row r="39" spans="2:6" ht="6.75" customHeight="1">
      <c r="B39" s="53"/>
      <c r="C39" s="53"/>
      <c r="D39" s="53"/>
      <c r="E39" s="53"/>
      <c r="F39" s="53"/>
    </row>
    <row r="40" spans="2:6" ht="12.75">
      <c r="B40" s="7" t="s">
        <v>23</v>
      </c>
      <c r="C40" s="55">
        <f>C28/2</f>
        <v>0</v>
      </c>
      <c r="D40" s="53"/>
      <c r="E40" s="53"/>
      <c r="F40" s="53"/>
    </row>
    <row r="41" spans="2:6" ht="15" customHeight="1">
      <c r="B41" s="143" t="s">
        <v>95</v>
      </c>
      <c r="C41" s="56">
        <f>C30/4</f>
        <v>78.944779999999994</v>
      </c>
      <c r="D41" s="4"/>
      <c r="E41" s="4"/>
      <c r="F41" s="53"/>
    </row>
    <row r="42" spans="2:6" ht="12.75">
      <c r="B42" s="7"/>
      <c r="C42" s="57"/>
      <c r="D42" s="4"/>
      <c r="E42" s="4"/>
      <c r="F42" s="4"/>
    </row>
    <row r="43" spans="2:6" ht="12.75">
      <c r="B43" s="4"/>
      <c r="C43" s="4"/>
      <c r="D43" s="4"/>
      <c r="E43" s="4"/>
      <c r="F43" s="4"/>
    </row>
    <row r="44" spans="2:6" ht="12.75">
      <c r="B44" s="4"/>
      <c r="C44" s="4"/>
      <c r="D44" s="4"/>
      <c r="E44" s="4"/>
      <c r="F44" s="4"/>
    </row>
    <row r="45" spans="2:6" ht="10.5" customHeight="1">
      <c r="B45" s="4"/>
      <c r="C45" s="4"/>
      <c r="D45" s="4"/>
      <c r="E45" s="4"/>
      <c r="F45" s="4"/>
    </row>
    <row r="46" spans="2:6" ht="18" customHeight="1">
      <c r="B46" s="58" t="s">
        <v>24</v>
      </c>
      <c r="C46" s="59"/>
      <c r="D46" s="4"/>
      <c r="E46" s="4"/>
      <c r="F46" s="4"/>
    </row>
    <row r="47" spans="2:6" ht="17.25" customHeight="1">
      <c r="B47" s="141" t="s">
        <v>99</v>
      </c>
      <c r="C47" s="59"/>
      <c r="D47" s="4"/>
      <c r="E47" s="4"/>
      <c r="F47" s="4"/>
    </row>
    <row r="48" spans="2:6" ht="12.75">
      <c r="B48" s="4"/>
      <c r="C48" s="4"/>
      <c r="D48" s="4"/>
      <c r="E48" s="4"/>
      <c r="F48" s="7"/>
    </row>
    <row r="49" spans="2:6" ht="12.75">
      <c r="B49" s="4"/>
      <c r="C49" s="4"/>
      <c r="D49" s="4"/>
      <c r="E49" s="4"/>
      <c r="F49" s="60"/>
    </row>
    <row r="50" spans="2:6" ht="12.7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U11:AB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6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30"/>
  <sheetViews>
    <sheetView topLeftCell="A10" workbookViewId="0">
      <selection activeCell="D25" sqref="D25"/>
    </sheetView>
  </sheetViews>
  <sheetFormatPr baseColWidth="10" defaultRowHeight="12.75"/>
  <cols>
    <col min="1" max="1" width="16.7109375" customWidth="1"/>
    <col min="7" max="7" width="12.28515625" bestFit="1" customWidth="1"/>
  </cols>
  <sheetData>
    <row r="1" spans="1:9">
      <c r="A1" s="684" t="s">
        <v>275</v>
      </c>
      <c r="B1" s="684"/>
      <c r="C1" s="684"/>
      <c r="D1" s="684"/>
    </row>
    <row r="4" spans="1:9">
      <c r="B4">
        <v>365</v>
      </c>
      <c r="C4">
        <v>50</v>
      </c>
    </row>
    <row r="5" spans="1:9">
      <c r="B5">
        <v>92</v>
      </c>
      <c r="C5" s="165">
        <f>B5*C4/B4</f>
        <v>12.602739726027398</v>
      </c>
    </row>
    <row r="6" spans="1:9">
      <c r="E6" t="s">
        <v>329</v>
      </c>
      <c r="G6" s="237">
        <f>'  SEGURIDAD PUBLICA  '!AH37+'FOM EC=PLANEAC=COM SOC=INFORM'!AH23+'  AGUA POTABLE  '!AH19+'  OBR. PUBLICA  '!AH27+'  PRESIDENCIA  '!AH27+'  TESORERIA  '!AH17+'  SERV. PUBLICOS  '!AH52+'  MODULO  '!AH21+'  CATASTRO Y REG. CIVIL  '!AH23+'   REGIDORES PROP.  '!AH22+'  RASTRO  '!AH17+'FOM. AGROPECIARIO'!AH14+'TURISMO, ECOLOGIA Y COMEDOR'!AH18+'  PROTECCION CIVIL  '!AH21+'  DEPORTES  '!AH22+'  CASA DE LA CULTURA  '!AH21+'APOYOS MENSUALES COMUNIDADES'!D15</f>
        <v>531970.80171199993</v>
      </c>
      <c r="I6">
        <f>12.6*231</f>
        <v>2910.6</v>
      </c>
    </row>
    <row r="8" spans="1:9">
      <c r="A8" s="164" t="s">
        <v>276</v>
      </c>
      <c r="B8">
        <v>31</v>
      </c>
      <c r="E8" t="s">
        <v>330</v>
      </c>
      <c r="G8" s="236">
        <f>'  SEGURIDAD PUBLICA  '!AH37</f>
        <v>86852.22873599999</v>
      </c>
    </row>
    <row r="9" spans="1:9">
      <c r="A9" s="164" t="s">
        <v>277</v>
      </c>
      <c r="B9">
        <v>28</v>
      </c>
      <c r="E9" t="s">
        <v>331</v>
      </c>
      <c r="G9" s="236">
        <f>'FOM EC=PLANEAC=COM SOC=INFORM'!AH8+'FOM EC=PLANEAC=COM SOC=INFORM'!AH10</f>
        <v>5936.2376960000001</v>
      </c>
    </row>
    <row r="10" spans="1:9">
      <c r="A10" s="164" t="s">
        <v>278</v>
      </c>
      <c r="B10">
        <v>31</v>
      </c>
      <c r="E10" t="s">
        <v>332</v>
      </c>
      <c r="G10" s="236">
        <f>'FOM EC=PLANEAC=COM SOC=INFORM'!AH12</f>
        <v>2406.7418480000001</v>
      </c>
    </row>
    <row r="11" spans="1:9">
      <c r="A11" s="164" t="s">
        <v>279</v>
      </c>
      <c r="B11">
        <v>30</v>
      </c>
      <c r="E11" t="s">
        <v>333</v>
      </c>
      <c r="G11" s="236">
        <v>2500.3200000000002</v>
      </c>
    </row>
    <row r="12" spans="1:9">
      <c r="A12" s="164" t="s">
        <v>280</v>
      </c>
      <c r="B12">
        <v>31</v>
      </c>
      <c r="E12" t="s">
        <v>334</v>
      </c>
      <c r="G12" s="236">
        <f>'FOM EC=PLANEAC=COM SOC=INFORM'!AH16</f>
        <v>2287.7418480000001</v>
      </c>
    </row>
    <row r="13" spans="1:9">
      <c r="A13" s="164" t="s">
        <v>281</v>
      </c>
      <c r="B13">
        <v>30</v>
      </c>
      <c r="E13" t="s">
        <v>131</v>
      </c>
      <c r="G13" s="236">
        <f>'  AGUA POTABLE  '!AH19</f>
        <v>17177.513072000002</v>
      </c>
    </row>
    <row r="14" spans="1:9">
      <c r="A14" s="164" t="s">
        <v>282</v>
      </c>
      <c r="B14">
        <v>31</v>
      </c>
      <c r="E14" t="s">
        <v>132</v>
      </c>
      <c r="G14" s="236">
        <f>'  OBR. PUBLICA  '!AH27</f>
        <v>47489.639248000007</v>
      </c>
    </row>
    <row r="15" spans="1:9">
      <c r="A15" s="164" t="s">
        <v>283</v>
      </c>
      <c r="B15">
        <v>31</v>
      </c>
      <c r="E15" t="s">
        <v>102</v>
      </c>
      <c r="G15" s="236">
        <f>'  PRESIDENCIA  '!AH27</f>
        <v>54826.992831999989</v>
      </c>
    </row>
    <row r="16" spans="1:9">
      <c r="A16" s="164" t="s">
        <v>284</v>
      </c>
      <c r="B16">
        <v>30</v>
      </c>
      <c r="E16" t="s">
        <v>108</v>
      </c>
      <c r="G16" s="236">
        <f>'  TESORERIA  '!AH17</f>
        <v>15568.896840000001</v>
      </c>
    </row>
    <row r="17" spans="1:12">
      <c r="A17" s="164" t="s">
        <v>285</v>
      </c>
      <c r="B17">
        <v>31</v>
      </c>
      <c r="E17" t="s">
        <v>335</v>
      </c>
      <c r="G17" s="236">
        <f>'  SERV. PUBLICOS  '!AH52</f>
        <v>83495.683560000019</v>
      </c>
      <c r="J17" t="s">
        <v>455</v>
      </c>
      <c r="K17">
        <v>1</v>
      </c>
      <c r="L17">
        <v>12.6</v>
      </c>
    </row>
    <row r="18" spans="1:12">
      <c r="A18" s="164" t="s">
        <v>453</v>
      </c>
      <c r="B18">
        <v>30</v>
      </c>
      <c r="E18" t="s">
        <v>336</v>
      </c>
      <c r="G18" s="236">
        <f>'  MODULO  '!AH21</f>
        <v>30275.196616000001</v>
      </c>
      <c r="K18">
        <v>16</v>
      </c>
      <c r="L18">
        <v>10.55</v>
      </c>
    </row>
    <row r="19" spans="1:12">
      <c r="A19" s="164" t="s">
        <v>454</v>
      </c>
      <c r="B19">
        <v>31</v>
      </c>
      <c r="E19" t="s">
        <v>310</v>
      </c>
      <c r="G19" s="236">
        <f>'  CATASTRO Y REG. CIVIL  '!AH8+'  CATASTRO Y REG. CIVIL  '!AH9+'  CATASTRO Y REG. CIVIL  '!AH10+'  CATASTRO Y REG. CIVIL  '!AH11+'  CATASTRO Y REG. CIVIL  '!AH13</f>
        <v>10372.621927999999</v>
      </c>
    </row>
    <row r="20" spans="1:12">
      <c r="E20" t="s">
        <v>311</v>
      </c>
      <c r="G20" s="236">
        <f>'  CATASTRO Y REG. CIVIL  '!AH15+'  CATASTRO Y REG. CIVIL  '!AH16+'  CATASTRO Y REG. CIVIL  '!AH17+'  CATASTRO Y REG. CIVIL  '!AH18</f>
        <v>10154.336368</v>
      </c>
    </row>
    <row r="21" spans="1:12">
      <c r="E21" t="s">
        <v>337</v>
      </c>
      <c r="G21" s="236">
        <f>'   REGIDORES PROP.  '!AH22</f>
        <v>68772.2</v>
      </c>
    </row>
    <row r="22" spans="1:12">
      <c r="E22" t="s">
        <v>136</v>
      </c>
      <c r="G22" s="236">
        <f>'  RASTRO  '!AH17</f>
        <v>12783.285936</v>
      </c>
    </row>
    <row r="23" spans="1:12">
      <c r="E23" t="s">
        <v>338</v>
      </c>
      <c r="G23" s="236">
        <f>'FOM. AGROPECIARIO'!AH14</f>
        <v>5399.9236959999998</v>
      </c>
    </row>
    <row r="24" spans="1:12">
      <c r="E24" t="s">
        <v>213</v>
      </c>
      <c r="G24" s="236">
        <f>'TURISMO, ECOLOGIA Y COMEDOR'!AH18</f>
        <v>13044.825935999997</v>
      </c>
    </row>
    <row r="25" spans="1:12">
      <c r="E25" t="s">
        <v>117</v>
      </c>
      <c r="G25" s="236">
        <f>'  PROTECCION CIVIL  '!AH21</f>
        <v>27609.850591999995</v>
      </c>
    </row>
    <row r="26" spans="1:12">
      <c r="E26" t="s">
        <v>119</v>
      </c>
      <c r="G26" s="236">
        <f>'  DEPORTES  '!AH22</f>
        <v>19494.695616000001</v>
      </c>
    </row>
    <row r="27" spans="1:12">
      <c r="E27" t="s">
        <v>124</v>
      </c>
      <c r="G27" s="236">
        <f>'  CASA DE LA CULTURA  '!AH21</f>
        <v>13184.141936000002</v>
      </c>
    </row>
    <row r="28" spans="1:12">
      <c r="E28" t="s">
        <v>133</v>
      </c>
      <c r="G28" s="236">
        <f>'APOYOS MENSUALES COMUNIDADES'!D15</f>
        <v>1000</v>
      </c>
    </row>
    <row r="30" spans="1:12">
      <c r="E30" s="164" t="s">
        <v>0</v>
      </c>
      <c r="G30" s="238">
        <f>SUM(G8:G29)</f>
        <v>530633.07430400001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73"/>
  <sheetViews>
    <sheetView zoomScale="66" zoomScaleNormal="66" workbookViewId="0">
      <selection activeCell="C39" sqref="C39"/>
    </sheetView>
  </sheetViews>
  <sheetFormatPr baseColWidth="10" defaultRowHeight="12"/>
  <cols>
    <col min="1" max="1" width="3.28515625" style="345" customWidth="1"/>
    <col min="2" max="2" width="5" style="345" customWidth="1"/>
    <col min="3" max="3" width="39.5703125" style="345" customWidth="1"/>
    <col min="4" max="4" width="23.28515625" style="345" customWidth="1"/>
    <col min="5" max="7" width="11.42578125" style="345"/>
    <col min="8" max="10" width="11.42578125" style="345" hidden="1" customWidth="1"/>
    <col min="11" max="14" width="11.42578125" style="345"/>
    <col min="15" max="26" width="11.42578125" style="345" hidden="1" customWidth="1"/>
    <col min="27" max="28" width="11.42578125" style="345"/>
    <col min="29" max="31" width="0" style="345" hidden="1" customWidth="1"/>
    <col min="32" max="34" width="11.42578125" style="345"/>
    <col min="35" max="35" width="42.5703125" style="345" customWidth="1"/>
    <col min="36" max="16384" width="11.42578125" style="345"/>
  </cols>
  <sheetData>
    <row r="1" spans="1:35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</row>
    <row r="2" spans="1:35">
      <c r="A2" s="344"/>
      <c r="B2" s="688" t="s">
        <v>113</v>
      </c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688"/>
      <c r="AB2" s="688"/>
      <c r="AC2" s="688"/>
      <c r="AD2" s="688"/>
      <c r="AE2" s="688"/>
      <c r="AF2" s="688"/>
      <c r="AG2" s="688"/>
      <c r="AH2" s="688"/>
      <c r="AI2" s="346"/>
    </row>
    <row r="3" spans="1:35">
      <c r="A3" s="344"/>
      <c r="B3" s="689" t="s">
        <v>467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347"/>
    </row>
    <row r="4" spans="1:35">
      <c r="A4" s="344"/>
      <c r="B4" s="348"/>
      <c r="C4" s="348"/>
      <c r="D4" s="348"/>
      <c r="E4" s="349" t="s">
        <v>44</v>
      </c>
      <c r="F4" s="349" t="s">
        <v>9</v>
      </c>
      <c r="G4" s="685" t="s">
        <v>2</v>
      </c>
      <c r="H4" s="686"/>
      <c r="I4" s="686"/>
      <c r="J4" s="686"/>
      <c r="K4" s="686"/>
      <c r="L4" s="686"/>
      <c r="M4" s="686"/>
      <c r="N4" s="687"/>
      <c r="O4" s="350"/>
      <c r="P4" s="351" t="s">
        <v>49</v>
      </c>
      <c r="Q4" s="352"/>
      <c r="R4" s="690" t="s">
        <v>30</v>
      </c>
      <c r="S4" s="691"/>
      <c r="T4" s="691"/>
      <c r="U4" s="691"/>
      <c r="V4" s="691"/>
      <c r="W4" s="692"/>
      <c r="X4" s="351" t="s">
        <v>56</v>
      </c>
      <c r="Y4" s="351" t="s">
        <v>31</v>
      </c>
      <c r="Z4" s="353"/>
      <c r="AA4" s="349" t="s">
        <v>91</v>
      </c>
      <c r="AB4" s="685" t="s">
        <v>3</v>
      </c>
      <c r="AC4" s="686"/>
      <c r="AD4" s="686"/>
      <c r="AE4" s="686"/>
      <c r="AF4" s="686"/>
      <c r="AG4" s="687"/>
      <c r="AH4" s="349" t="s">
        <v>0</v>
      </c>
      <c r="AI4" s="349"/>
    </row>
    <row r="5" spans="1:35">
      <c r="A5" s="344"/>
      <c r="B5" s="354" t="s">
        <v>42</v>
      </c>
      <c r="C5" s="354" t="s">
        <v>43</v>
      </c>
      <c r="D5" s="354"/>
      <c r="E5" s="355" t="s">
        <v>45</v>
      </c>
      <c r="F5" s="354" t="s">
        <v>46</v>
      </c>
      <c r="G5" s="349" t="s">
        <v>9</v>
      </c>
      <c r="H5" s="349" t="s">
        <v>47</v>
      </c>
      <c r="I5" s="349" t="s">
        <v>47</v>
      </c>
      <c r="J5" s="349" t="s">
        <v>76</v>
      </c>
      <c r="K5" s="349" t="s">
        <v>49</v>
      </c>
      <c r="L5" s="349" t="s">
        <v>51</v>
      </c>
      <c r="M5" s="349" t="s">
        <v>51</v>
      </c>
      <c r="N5" s="349" t="s">
        <v>54</v>
      </c>
      <c r="O5" s="350"/>
      <c r="P5" s="356" t="s">
        <v>50</v>
      </c>
      <c r="Q5" s="352" t="s">
        <v>58</v>
      </c>
      <c r="R5" s="352" t="s">
        <v>33</v>
      </c>
      <c r="S5" s="352" t="s">
        <v>60</v>
      </c>
      <c r="T5" s="352" t="s">
        <v>62</v>
      </c>
      <c r="U5" s="352" t="s">
        <v>63</v>
      </c>
      <c r="V5" s="352" t="s">
        <v>35</v>
      </c>
      <c r="W5" s="352" t="s">
        <v>31</v>
      </c>
      <c r="X5" s="356" t="s">
        <v>66</v>
      </c>
      <c r="Y5" s="356" t="s">
        <v>67</v>
      </c>
      <c r="Z5" s="353"/>
      <c r="AA5" s="354" t="s">
        <v>57</v>
      </c>
      <c r="AB5" s="349" t="s">
        <v>4</v>
      </c>
      <c r="AC5" s="349" t="s">
        <v>5</v>
      </c>
      <c r="AD5" s="349" t="s">
        <v>56</v>
      </c>
      <c r="AE5" s="349" t="s">
        <v>77</v>
      </c>
      <c r="AF5" s="349"/>
      <c r="AG5" s="349" t="s">
        <v>10</v>
      </c>
      <c r="AH5" s="354" t="s">
        <v>6</v>
      </c>
      <c r="AI5" s="354" t="s">
        <v>110</v>
      </c>
    </row>
    <row r="6" spans="1:35">
      <c r="A6" s="344"/>
      <c r="B6" s="357"/>
      <c r="C6" s="357"/>
      <c r="D6" s="357"/>
      <c r="E6" s="357"/>
      <c r="F6" s="357"/>
      <c r="G6" s="357" t="s">
        <v>73</v>
      </c>
      <c r="H6" s="357" t="s">
        <v>79</v>
      </c>
      <c r="I6" s="357" t="s">
        <v>48</v>
      </c>
      <c r="J6" s="357"/>
      <c r="K6" s="357" t="s">
        <v>50</v>
      </c>
      <c r="L6" s="357" t="s">
        <v>52</v>
      </c>
      <c r="M6" s="357" t="s">
        <v>53</v>
      </c>
      <c r="N6" s="357" t="s">
        <v>55</v>
      </c>
      <c r="O6" s="350"/>
      <c r="P6" s="358" t="s">
        <v>69</v>
      </c>
      <c r="Q6" s="351" t="s">
        <v>59</v>
      </c>
      <c r="R6" s="351" t="s">
        <v>34</v>
      </c>
      <c r="S6" s="351" t="s">
        <v>61</v>
      </c>
      <c r="T6" s="351" t="s">
        <v>61</v>
      </c>
      <c r="U6" s="351" t="s">
        <v>64</v>
      </c>
      <c r="V6" s="351" t="s">
        <v>36</v>
      </c>
      <c r="W6" s="351" t="s">
        <v>65</v>
      </c>
      <c r="X6" s="356" t="s">
        <v>40</v>
      </c>
      <c r="Y6" s="359" t="s">
        <v>466</v>
      </c>
      <c r="Z6" s="360"/>
      <c r="AA6" s="357" t="s">
        <v>90</v>
      </c>
      <c r="AB6" s="357"/>
      <c r="AC6" s="357"/>
      <c r="AD6" s="357" t="s">
        <v>75</v>
      </c>
      <c r="AE6" s="357" t="s">
        <v>78</v>
      </c>
      <c r="AF6" s="357" t="s">
        <v>101</v>
      </c>
      <c r="AG6" s="357" t="s">
        <v>70</v>
      </c>
      <c r="AH6" s="357" t="s">
        <v>7</v>
      </c>
      <c r="AI6" s="357"/>
    </row>
    <row r="7" spans="1:35">
      <c r="A7" s="344"/>
      <c r="B7" s="354"/>
      <c r="C7" s="361" t="s">
        <v>545</v>
      </c>
      <c r="D7" s="361" t="s">
        <v>103</v>
      </c>
      <c r="E7" s="354"/>
      <c r="F7" s="354"/>
      <c r="G7" s="362"/>
      <c r="H7" s="354"/>
      <c r="I7" s="354"/>
      <c r="J7" s="354"/>
      <c r="K7" s="354"/>
      <c r="L7" s="354"/>
      <c r="M7" s="354"/>
      <c r="N7" s="354"/>
      <c r="O7" s="350"/>
      <c r="P7" s="356"/>
      <c r="Q7" s="356"/>
      <c r="R7" s="356"/>
      <c r="S7" s="356"/>
      <c r="T7" s="356"/>
      <c r="U7" s="356"/>
      <c r="V7" s="356"/>
      <c r="W7" s="356"/>
      <c r="X7" s="356"/>
      <c r="Y7" s="363"/>
      <c r="Z7" s="353"/>
      <c r="AA7" s="354"/>
      <c r="AB7" s="354"/>
      <c r="AC7" s="354"/>
      <c r="AD7" s="354"/>
      <c r="AE7" s="354"/>
      <c r="AF7" s="354"/>
      <c r="AG7" s="354"/>
      <c r="AH7" s="362"/>
      <c r="AI7" s="362"/>
    </row>
    <row r="8" spans="1:35" ht="36" customHeight="1">
      <c r="A8" s="344"/>
      <c r="B8" s="364">
        <v>1</v>
      </c>
      <c r="C8" s="434" t="s">
        <v>459</v>
      </c>
      <c r="D8" s="435" t="s">
        <v>380</v>
      </c>
      <c r="E8" s="426">
        <v>15</v>
      </c>
      <c r="F8" s="427">
        <v>85</v>
      </c>
      <c r="G8" s="428">
        <f t="shared" ref="G8:G10" si="0">E8*F8</f>
        <v>1275</v>
      </c>
      <c r="H8" s="429">
        <v>0</v>
      </c>
      <c r="I8" s="429">
        <v>0</v>
      </c>
      <c r="J8" s="429">
        <v>0</v>
      </c>
      <c r="K8" s="429">
        <v>0</v>
      </c>
      <c r="L8" s="429">
        <v>0</v>
      </c>
      <c r="M8" s="429">
        <v>0</v>
      </c>
      <c r="N8" s="430">
        <f t="shared" ref="N8:N10" si="1">SUM(G8:M8)</f>
        <v>1275</v>
      </c>
      <c r="O8" s="431"/>
      <c r="P8" s="430">
        <f t="shared" ref="P8:P10" si="2">IF(F8=47.16,0,IF(F8&gt;47.16,K8*0.5,0))</f>
        <v>0</v>
      </c>
      <c r="Q8" s="430">
        <f t="shared" ref="Q8:Q10" si="3">G8+H8+I8+L8+P8+J8</f>
        <v>1275</v>
      </c>
      <c r="R8" s="430">
        <f t="shared" ref="R8:R10" si="4">VLOOKUP(Q8,Tarifa1,1)</f>
        <v>248.04</v>
      </c>
      <c r="S8" s="430">
        <f t="shared" ref="S8:S10" si="5">Q8-R8</f>
        <v>1026.96</v>
      </c>
      <c r="T8" s="432">
        <f t="shared" ref="T8:T10" si="6">VLOOKUP(Q8,Tarifa1,3)</f>
        <v>6.4000000000000001E-2</v>
      </c>
      <c r="U8" s="430">
        <f t="shared" ref="U8:U10" si="7">S8*T8</f>
        <v>65.725440000000006</v>
      </c>
      <c r="V8" s="430">
        <f t="shared" ref="V8:V10" si="8">VLOOKUP(Q8,Tarifa1,2)</f>
        <v>4.76</v>
      </c>
      <c r="W8" s="430">
        <f t="shared" ref="W8:W10" si="9">U8+V8</f>
        <v>70.485440000000011</v>
      </c>
      <c r="X8" s="430">
        <f t="shared" ref="X8:X10" si="10">VLOOKUP(Q8,Credito1,2)</f>
        <v>203.41499999999999</v>
      </c>
      <c r="Y8" s="430">
        <f t="shared" ref="Y8:Y10" si="11">W8-X8</f>
        <v>-132.92955999999998</v>
      </c>
      <c r="Z8" s="431"/>
      <c r="AA8" s="430">
        <f t="shared" ref="AA8:AA10" si="12">-IF(Y8&gt;0,0,Y8)</f>
        <v>132.92955999999998</v>
      </c>
      <c r="AB8" s="430">
        <f t="shared" ref="AB8:AB10" si="13">IF(Y8&lt;0,0,Y8)</f>
        <v>0</v>
      </c>
      <c r="AC8" s="430">
        <v>0</v>
      </c>
      <c r="AD8" s="433">
        <v>0</v>
      </c>
      <c r="AE8" s="433">
        <v>0</v>
      </c>
      <c r="AF8" s="433">
        <v>0</v>
      </c>
      <c r="AG8" s="430">
        <f t="shared" ref="AG8:AG10" si="14">SUM(AB8:AF8)</f>
        <v>0</v>
      </c>
      <c r="AH8" s="430">
        <f t="shared" ref="AH8:AH10" si="15">N8+AA8-AG8</f>
        <v>1407.92956</v>
      </c>
      <c r="AI8" s="371"/>
    </row>
    <row r="9" spans="1:35" ht="36" customHeight="1">
      <c r="A9" s="344"/>
      <c r="B9" s="364">
        <v>2</v>
      </c>
      <c r="C9" s="434" t="s">
        <v>449</v>
      </c>
      <c r="D9" s="435" t="s">
        <v>349</v>
      </c>
      <c r="E9" s="426">
        <v>15</v>
      </c>
      <c r="F9" s="427">
        <v>50</v>
      </c>
      <c r="G9" s="428">
        <f t="shared" si="0"/>
        <v>750</v>
      </c>
      <c r="H9" s="429">
        <v>0</v>
      </c>
      <c r="I9" s="429">
        <f t="shared" ref="I9:I10" si="16">H9</f>
        <v>0</v>
      </c>
      <c r="J9" s="429">
        <v>0</v>
      </c>
      <c r="K9" s="429">
        <v>0</v>
      </c>
      <c r="L9" s="429">
        <v>0</v>
      </c>
      <c r="M9" s="429">
        <v>0</v>
      </c>
      <c r="N9" s="428">
        <f t="shared" si="1"/>
        <v>750</v>
      </c>
      <c r="O9" s="436"/>
      <c r="P9" s="428">
        <f t="shared" si="2"/>
        <v>0</v>
      </c>
      <c r="Q9" s="428">
        <f t="shared" si="3"/>
        <v>750</v>
      </c>
      <c r="R9" s="428">
        <f t="shared" si="4"/>
        <v>248.04</v>
      </c>
      <c r="S9" s="428">
        <f t="shared" si="5"/>
        <v>501.96000000000004</v>
      </c>
      <c r="T9" s="437">
        <f t="shared" si="6"/>
        <v>6.4000000000000001E-2</v>
      </c>
      <c r="U9" s="428">
        <f t="shared" si="7"/>
        <v>32.125440000000005</v>
      </c>
      <c r="V9" s="428">
        <f t="shared" si="8"/>
        <v>4.76</v>
      </c>
      <c r="W9" s="428">
        <f t="shared" si="9"/>
        <v>36.885440000000003</v>
      </c>
      <c r="X9" s="428">
        <f t="shared" si="10"/>
        <v>203.51</v>
      </c>
      <c r="Y9" s="428">
        <f t="shared" si="11"/>
        <v>-166.62455999999997</v>
      </c>
      <c r="Z9" s="438"/>
      <c r="AA9" s="428">
        <f t="shared" si="12"/>
        <v>166.62455999999997</v>
      </c>
      <c r="AB9" s="428">
        <f t="shared" si="13"/>
        <v>0</v>
      </c>
      <c r="AC9" s="428">
        <v>0</v>
      </c>
      <c r="AD9" s="429">
        <v>0</v>
      </c>
      <c r="AE9" s="429">
        <v>0</v>
      </c>
      <c r="AF9" s="439">
        <v>0</v>
      </c>
      <c r="AG9" s="428">
        <f t="shared" si="14"/>
        <v>0</v>
      </c>
      <c r="AH9" s="428">
        <f t="shared" si="15"/>
        <v>916.62455999999997</v>
      </c>
      <c r="AI9" s="371"/>
    </row>
    <row r="10" spans="1:35" ht="36" customHeight="1">
      <c r="A10" s="344"/>
      <c r="B10" s="364">
        <v>3</v>
      </c>
      <c r="C10" s="434" t="s">
        <v>366</v>
      </c>
      <c r="D10" s="435" t="s">
        <v>367</v>
      </c>
      <c r="E10" s="426">
        <v>15</v>
      </c>
      <c r="F10" s="427">
        <v>57</v>
      </c>
      <c r="G10" s="428">
        <f t="shared" si="0"/>
        <v>855</v>
      </c>
      <c r="H10" s="429">
        <v>0</v>
      </c>
      <c r="I10" s="429">
        <f t="shared" si="16"/>
        <v>0</v>
      </c>
      <c r="J10" s="429">
        <v>0</v>
      </c>
      <c r="K10" s="429">
        <v>0</v>
      </c>
      <c r="L10" s="429">
        <v>0</v>
      </c>
      <c r="M10" s="429">
        <v>0</v>
      </c>
      <c r="N10" s="428">
        <f t="shared" si="1"/>
        <v>855</v>
      </c>
      <c r="O10" s="436"/>
      <c r="P10" s="428">
        <f t="shared" si="2"/>
        <v>0</v>
      </c>
      <c r="Q10" s="428">
        <f t="shared" si="3"/>
        <v>855</v>
      </c>
      <c r="R10" s="428">
        <f t="shared" si="4"/>
        <v>248.04</v>
      </c>
      <c r="S10" s="428">
        <f t="shared" si="5"/>
        <v>606.96</v>
      </c>
      <c r="T10" s="437">
        <f t="shared" si="6"/>
        <v>6.4000000000000001E-2</v>
      </c>
      <c r="U10" s="428">
        <f t="shared" si="7"/>
        <v>38.845440000000004</v>
      </c>
      <c r="V10" s="428">
        <f t="shared" si="8"/>
        <v>4.76</v>
      </c>
      <c r="W10" s="428">
        <f t="shared" si="9"/>
        <v>43.605440000000002</v>
      </c>
      <c r="X10" s="428">
        <f t="shared" si="10"/>
        <v>203.51</v>
      </c>
      <c r="Y10" s="428">
        <f t="shared" si="11"/>
        <v>-159.90456</v>
      </c>
      <c r="Z10" s="438"/>
      <c r="AA10" s="428">
        <f t="shared" si="12"/>
        <v>159.90456</v>
      </c>
      <c r="AB10" s="428">
        <f t="shared" si="13"/>
        <v>0</v>
      </c>
      <c r="AC10" s="428">
        <v>0</v>
      </c>
      <c r="AD10" s="429">
        <v>0</v>
      </c>
      <c r="AE10" s="429">
        <v>0</v>
      </c>
      <c r="AF10" s="439">
        <v>0</v>
      </c>
      <c r="AG10" s="428">
        <f t="shared" si="14"/>
        <v>0</v>
      </c>
      <c r="AH10" s="428">
        <f t="shared" si="15"/>
        <v>1014.9045599999999</v>
      </c>
      <c r="AI10" s="371"/>
    </row>
    <row r="11" spans="1:35" hidden="1">
      <c r="A11" s="344"/>
      <c r="B11" s="364"/>
      <c r="C11" s="365"/>
      <c r="D11" s="366"/>
      <c r="E11" s="367"/>
      <c r="F11" s="368"/>
      <c r="G11" s="369"/>
      <c r="H11" s="370"/>
      <c r="I11" s="370"/>
      <c r="J11" s="370"/>
      <c r="K11" s="370"/>
      <c r="L11" s="370"/>
      <c r="M11" s="370"/>
      <c r="N11" s="371"/>
      <c r="O11" s="372"/>
      <c r="P11" s="373"/>
      <c r="Q11" s="373"/>
      <c r="R11" s="373"/>
      <c r="S11" s="373"/>
      <c r="T11" s="374"/>
      <c r="U11" s="373"/>
      <c r="V11" s="373"/>
      <c r="W11" s="373"/>
      <c r="X11" s="373"/>
      <c r="Y11" s="373"/>
      <c r="Z11" s="375"/>
      <c r="AA11" s="371"/>
      <c r="AB11" s="371"/>
      <c r="AC11" s="371"/>
      <c r="AD11" s="370"/>
      <c r="AE11" s="370"/>
      <c r="AF11" s="376"/>
      <c r="AG11" s="371"/>
      <c r="AH11" s="371"/>
      <c r="AI11" s="371"/>
    </row>
    <row r="12" spans="1:35" hidden="1">
      <c r="A12" s="344"/>
      <c r="B12" s="364"/>
      <c r="C12" s="365"/>
      <c r="D12" s="366"/>
      <c r="E12" s="367"/>
      <c r="F12" s="368"/>
      <c r="G12" s="369"/>
      <c r="H12" s="370"/>
      <c r="I12" s="370"/>
      <c r="J12" s="370"/>
      <c r="K12" s="370"/>
      <c r="L12" s="370"/>
      <c r="M12" s="370"/>
      <c r="N12" s="371"/>
      <c r="O12" s="372"/>
      <c r="P12" s="373"/>
      <c r="Q12" s="373"/>
      <c r="R12" s="373"/>
      <c r="S12" s="373"/>
      <c r="T12" s="374"/>
      <c r="U12" s="373"/>
      <c r="V12" s="373"/>
      <c r="W12" s="373"/>
      <c r="X12" s="373"/>
      <c r="Y12" s="373"/>
      <c r="Z12" s="375"/>
      <c r="AA12" s="371"/>
      <c r="AB12" s="371"/>
      <c r="AC12" s="371"/>
      <c r="AD12" s="370"/>
      <c r="AE12" s="370"/>
      <c r="AF12" s="376"/>
      <c r="AG12" s="371"/>
      <c r="AH12" s="371"/>
      <c r="AI12" s="371"/>
    </row>
    <row r="13" spans="1:35" hidden="1">
      <c r="A13" s="344"/>
      <c r="B13" s="364"/>
      <c r="C13" s="365"/>
      <c r="D13" s="366"/>
      <c r="E13" s="367"/>
      <c r="F13" s="368"/>
      <c r="G13" s="369"/>
      <c r="H13" s="370"/>
      <c r="I13" s="370"/>
      <c r="J13" s="370"/>
      <c r="K13" s="370"/>
      <c r="L13" s="370"/>
      <c r="M13" s="370"/>
      <c r="N13" s="371"/>
      <c r="O13" s="372"/>
      <c r="P13" s="373"/>
      <c r="Q13" s="373"/>
      <c r="R13" s="373"/>
      <c r="S13" s="373"/>
      <c r="T13" s="374"/>
      <c r="U13" s="373"/>
      <c r="V13" s="373"/>
      <c r="W13" s="373"/>
      <c r="X13" s="373"/>
      <c r="Y13" s="373"/>
      <c r="Z13" s="375"/>
      <c r="AA13" s="371"/>
      <c r="AB13" s="371"/>
      <c r="AC13" s="371"/>
      <c r="AD13" s="370"/>
      <c r="AE13" s="370"/>
      <c r="AF13" s="376"/>
      <c r="AG13" s="371"/>
      <c r="AH13" s="371"/>
      <c r="AI13" s="371"/>
    </row>
    <row r="14" spans="1:35" hidden="1">
      <c r="A14" s="344"/>
      <c r="B14" s="364"/>
      <c r="C14" s="365"/>
      <c r="D14" s="366"/>
      <c r="E14" s="367"/>
      <c r="F14" s="368"/>
      <c r="G14" s="369"/>
      <c r="H14" s="370"/>
      <c r="I14" s="370"/>
      <c r="J14" s="370"/>
      <c r="K14" s="370"/>
      <c r="L14" s="370"/>
      <c r="M14" s="370"/>
      <c r="N14" s="371"/>
      <c r="O14" s="372"/>
      <c r="P14" s="373"/>
      <c r="Q14" s="373"/>
      <c r="R14" s="373"/>
      <c r="S14" s="373"/>
      <c r="T14" s="374"/>
      <c r="U14" s="373"/>
      <c r="V14" s="373"/>
      <c r="W14" s="373"/>
      <c r="X14" s="373"/>
      <c r="Y14" s="373"/>
      <c r="Z14" s="375"/>
      <c r="AA14" s="371"/>
      <c r="AB14" s="371"/>
      <c r="AC14" s="371"/>
      <c r="AD14" s="370"/>
      <c r="AE14" s="370"/>
      <c r="AF14" s="376"/>
      <c r="AG14" s="371"/>
      <c r="AH14" s="371"/>
      <c r="AI14" s="371"/>
    </row>
    <row r="15" spans="1:35" hidden="1">
      <c r="A15" s="344"/>
      <c r="B15" s="364"/>
      <c r="C15" s="365"/>
      <c r="D15" s="366"/>
      <c r="E15" s="367"/>
      <c r="F15" s="368"/>
      <c r="G15" s="369"/>
      <c r="H15" s="370"/>
      <c r="I15" s="370"/>
      <c r="J15" s="370"/>
      <c r="K15" s="370"/>
      <c r="L15" s="370"/>
      <c r="M15" s="370"/>
      <c r="N15" s="371"/>
      <c r="O15" s="372"/>
      <c r="P15" s="373"/>
      <c r="Q15" s="373"/>
      <c r="R15" s="373"/>
      <c r="S15" s="373"/>
      <c r="T15" s="374"/>
      <c r="U15" s="373"/>
      <c r="V15" s="373"/>
      <c r="W15" s="373"/>
      <c r="X15" s="373"/>
      <c r="Y15" s="373"/>
      <c r="Z15" s="375"/>
      <c r="AA15" s="371"/>
      <c r="AB15" s="371"/>
      <c r="AC15" s="371"/>
      <c r="AD15" s="370"/>
      <c r="AE15" s="370"/>
      <c r="AF15" s="376"/>
      <c r="AG15" s="371"/>
      <c r="AH15" s="371"/>
      <c r="AI15" s="371"/>
    </row>
    <row r="16" spans="1:35" hidden="1">
      <c r="A16" s="344"/>
      <c r="B16" s="364"/>
      <c r="C16" s="365"/>
      <c r="D16" s="366"/>
      <c r="E16" s="367"/>
      <c r="F16" s="368"/>
      <c r="G16" s="369"/>
      <c r="H16" s="370"/>
      <c r="I16" s="370"/>
      <c r="J16" s="370"/>
      <c r="K16" s="370"/>
      <c r="L16" s="370"/>
      <c r="M16" s="370"/>
      <c r="N16" s="371"/>
      <c r="O16" s="372"/>
      <c r="P16" s="373"/>
      <c r="Q16" s="373"/>
      <c r="R16" s="373"/>
      <c r="S16" s="373"/>
      <c r="T16" s="374"/>
      <c r="U16" s="373"/>
      <c r="V16" s="373"/>
      <c r="W16" s="373"/>
      <c r="X16" s="373"/>
      <c r="Y16" s="373"/>
      <c r="Z16" s="375"/>
      <c r="AA16" s="371"/>
      <c r="AB16" s="371"/>
      <c r="AC16" s="371"/>
      <c r="AD16" s="370"/>
      <c r="AE16" s="370"/>
      <c r="AF16" s="376"/>
      <c r="AG16" s="371"/>
      <c r="AH16" s="371"/>
      <c r="AI16" s="371"/>
    </row>
    <row r="17" spans="1:35" hidden="1">
      <c r="A17" s="344"/>
      <c r="B17" s="364"/>
      <c r="C17" s="365"/>
      <c r="D17" s="366"/>
      <c r="E17" s="367"/>
      <c r="F17" s="368"/>
      <c r="G17" s="369"/>
      <c r="H17" s="370"/>
      <c r="I17" s="370"/>
      <c r="J17" s="370"/>
      <c r="K17" s="370"/>
      <c r="L17" s="370"/>
      <c r="M17" s="370"/>
      <c r="N17" s="371"/>
      <c r="O17" s="372"/>
      <c r="P17" s="373"/>
      <c r="Q17" s="373"/>
      <c r="R17" s="373"/>
      <c r="S17" s="373"/>
      <c r="T17" s="374"/>
      <c r="U17" s="373"/>
      <c r="V17" s="373"/>
      <c r="W17" s="373"/>
      <c r="X17" s="373"/>
      <c r="Y17" s="373"/>
      <c r="Z17" s="375"/>
      <c r="AA17" s="371"/>
      <c r="AB17" s="371"/>
      <c r="AC17" s="371"/>
      <c r="AD17" s="370"/>
      <c r="AE17" s="370"/>
      <c r="AF17" s="376"/>
      <c r="AG17" s="371"/>
      <c r="AH17" s="371"/>
      <c r="AI17" s="371"/>
    </row>
    <row r="18" spans="1:35" hidden="1">
      <c r="A18" s="344"/>
      <c r="B18" s="364"/>
      <c r="C18" s="365"/>
      <c r="D18" s="366"/>
      <c r="E18" s="367"/>
      <c r="F18" s="368"/>
      <c r="G18" s="369"/>
      <c r="H18" s="370"/>
      <c r="I18" s="370"/>
      <c r="J18" s="370"/>
      <c r="K18" s="370"/>
      <c r="L18" s="370"/>
      <c r="M18" s="370"/>
      <c r="N18" s="371"/>
      <c r="O18" s="372"/>
      <c r="P18" s="373"/>
      <c r="Q18" s="373"/>
      <c r="R18" s="373"/>
      <c r="S18" s="373"/>
      <c r="T18" s="374"/>
      <c r="U18" s="373"/>
      <c r="V18" s="373"/>
      <c r="W18" s="373"/>
      <c r="X18" s="373"/>
      <c r="Y18" s="373"/>
      <c r="Z18" s="375"/>
      <c r="AA18" s="371"/>
      <c r="AB18" s="371"/>
      <c r="AC18" s="371"/>
      <c r="AD18" s="370"/>
      <c r="AE18" s="370"/>
      <c r="AF18" s="376"/>
      <c r="AG18" s="371"/>
      <c r="AH18" s="371"/>
      <c r="AI18" s="371"/>
    </row>
    <row r="19" spans="1:35" hidden="1">
      <c r="A19" s="344"/>
      <c r="B19" s="364"/>
      <c r="C19" s="365"/>
      <c r="D19" s="366"/>
      <c r="E19" s="367"/>
      <c r="F19" s="368"/>
      <c r="G19" s="369"/>
      <c r="H19" s="370"/>
      <c r="I19" s="370"/>
      <c r="J19" s="370"/>
      <c r="K19" s="370"/>
      <c r="L19" s="370"/>
      <c r="M19" s="370"/>
      <c r="N19" s="371"/>
      <c r="O19" s="372"/>
      <c r="P19" s="373"/>
      <c r="Q19" s="373"/>
      <c r="R19" s="373"/>
      <c r="S19" s="373"/>
      <c r="T19" s="374"/>
      <c r="U19" s="373"/>
      <c r="V19" s="373"/>
      <c r="W19" s="373"/>
      <c r="X19" s="373"/>
      <c r="Y19" s="373"/>
      <c r="Z19" s="375"/>
      <c r="AA19" s="371"/>
      <c r="AB19" s="371"/>
      <c r="AC19" s="371"/>
      <c r="AD19" s="370"/>
      <c r="AE19" s="370"/>
      <c r="AF19" s="376"/>
      <c r="AG19" s="371"/>
      <c r="AH19" s="371"/>
      <c r="AI19" s="371"/>
    </row>
    <row r="20" spans="1:35" hidden="1">
      <c r="A20" s="344"/>
      <c r="B20" s="364"/>
      <c r="C20" s="365"/>
      <c r="D20" s="366"/>
      <c r="E20" s="367"/>
      <c r="F20" s="368"/>
      <c r="G20" s="369"/>
      <c r="H20" s="370"/>
      <c r="I20" s="370"/>
      <c r="J20" s="370"/>
      <c r="K20" s="370"/>
      <c r="L20" s="370"/>
      <c r="M20" s="370"/>
      <c r="N20" s="371"/>
      <c r="O20" s="372"/>
      <c r="P20" s="373"/>
      <c r="Q20" s="373"/>
      <c r="R20" s="373"/>
      <c r="S20" s="373"/>
      <c r="T20" s="374"/>
      <c r="U20" s="373"/>
      <c r="V20" s="373"/>
      <c r="W20" s="373"/>
      <c r="X20" s="373"/>
      <c r="Y20" s="373"/>
      <c r="Z20" s="375"/>
      <c r="AA20" s="371"/>
      <c r="AB20" s="371"/>
      <c r="AC20" s="371"/>
      <c r="AD20" s="370"/>
      <c r="AE20" s="370"/>
      <c r="AF20" s="376"/>
      <c r="AG20" s="371"/>
      <c r="AH20" s="371"/>
      <c r="AI20" s="371"/>
    </row>
    <row r="21" spans="1:35" hidden="1">
      <c r="A21" s="344"/>
      <c r="B21" s="364"/>
      <c r="C21" s="365"/>
      <c r="D21" s="366"/>
      <c r="E21" s="367"/>
      <c r="F21" s="368"/>
      <c r="G21" s="369"/>
      <c r="H21" s="370"/>
      <c r="I21" s="370"/>
      <c r="J21" s="370"/>
      <c r="K21" s="370"/>
      <c r="L21" s="370"/>
      <c r="M21" s="370"/>
      <c r="N21" s="371"/>
      <c r="O21" s="372"/>
      <c r="P21" s="373"/>
      <c r="Q21" s="373"/>
      <c r="R21" s="373"/>
      <c r="S21" s="373"/>
      <c r="T21" s="374"/>
      <c r="U21" s="373"/>
      <c r="V21" s="373"/>
      <c r="W21" s="373"/>
      <c r="X21" s="373"/>
      <c r="Y21" s="373"/>
      <c r="Z21" s="375"/>
      <c r="AA21" s="371"/>
      <c r="AB21" s="371"/>
      <c r="AC21" s="371"/>
      <c r="AD21" s="370"/>
      <c r="AE21" s="370"/>
      <c r="AF21" s="376"/>
      <c r="AG21" s="371"/>
      <c r="AH21" s="371"/>
      <c r="AI21" s="371"/>
    </row>
    <row r="22" spans="1:35" hidden="1">
      <c r="A22" s="344"/>
      <c r="B22" s="364"/>
      <c r="C22" s="365"/>
      <c r="D22" s="366"/>
      <c r="E22" s="367"/>
      <c r="F22" s="368"/>
      <c r="G22" s="369"/>
      <c r="H22" s="370"/>
      <c r="I22" s="370"/>
      <c r="J22" s="370"/>
      <c r="K22" s="370"/>
      <c r="L22" s="370"/>
      <c r="M22" s="370"/>
      <c r="N22" s="371"/>
      <c r="O22" s="372"/>
      <c r="P22" s="373"/>
      <c r="Q22" s="373"/>
      <c r="R22" s="373"/>
      <c r="S22" s="373"/>
      <c r="T22" s="374"/>
      <c r="U22" s="373"/>
      <c r="V22" s="373"/>
      <c r="W22" s="373"/>
      <c r="X22" s="373"/>
      <c r="Y22" s="373"/>
      <c r="Z22" s="375"/>
      <c r="AA22" s="371"/>
      <c r="AB22" s="371"/>
      <c r="AC22" s="371"/>
      <c r="AD22" s="370"/>
      <c r="AE22" s="370"/>
      <c r="AF22" s="376"/>
      <c r="AG22" s="371"/>
      <c r="AH22" s="371"/>
      <c r="AI22" s="371"/>
    </row>
    <row r="23" spans="1:35" hidden="1">
      <c r="A23" s="344"/>
      <c r="B23" s="364"/>
      <c r="C23" s="365"/>
      <c r="D23" s="366"/>
      <c r="E23" s="367"/>
      <c r="F23" s="368"/>
      <c r="G23" s="369"/>
      <c r="H23" s="370"/>
      <c r="I23" s="370"/>
      <c r="J23" s="370"/>
      <c r="K23" s="370"/>
      <c r="L23" s="370"/>
      <c r="M23" s="370"/>
      <c r="N23" s="371"/>
      <c r="O23" s="372"/>
      <c r="P23" s="373"/>
      <c r="Q23" s="373"/>
      <c r="R23" s="373"/>
      <c r="S23" s="373"/>
      <c r="T23" s="374"/>
      <c r="U23" s="373"/>
      <c r="V23" s="373"/>
      <c r="W23" s="373"/>
      <c r="X23" s="373"/>
      <c r="Y23" s="373"/>
      <c r="Z23" s="375"/>
      <c r="AA23" s="371"/>
      <c r="AB23" s="371"/>
      <c r="AC23" s="371"/>
      <c r="AD23" s="370"/>
      <c r="AE23" s="370"/>
      <c r="AF23" s="376"/>
      <c r="AG23" s="371"/>
      <c r="AH23" s="371"/>
      <c r="AI23" s="371"/>
    </row>
    <row r="24" spans="1:35" hidden="1">
      <c r="A24" s="344"/>
      <c r="B24" s="364"/>
      <c r="C24" s="365"/>
      <c r="D24" s="366"/>
      <c r="E24" s="367"/>
      <c r="F24" s="368"/>
      <c r="G24" s="369"/>
      <c r="H24" s="370"/>
      <c r="I24" s="370"/>
      <c r="J24" s="370"/>
      <c r="K24" s="370"/>
      <c r="L24" s="370"/>
      <c r="M24" s="370"/>
      <c r="N24" s="371"/>
      <c r="O24" s="372"/>
      <c r="P24" s="373"/>
      <c r="Q24" s="373"/>
      <c r="R24" s="373"/>
      <c r="S24" s="373"/>
      <c r="T24" s="374"/>
      <c r="U24" s="373"/>
      <c r="V24" s="373"/>
      <c r="W24" s="373"/>
      <c r="X24" s="373"/>
      <c r="Y24" s="373"/>
      <c r="Z24" s="375"/>
      <c r="AA24" s="371"/>
      <c r="AB24" s="371"/>
      <c r="AC24" s="371"/>
      <c r="AD24" s="370"/>
      <c r="AE24" s="370"/>
      <c r="AF24" s="376"/>
      <c r="AG24" s="371"/>
      <c r="AH24" s="371"/>
      <c r="AI24" s="371"/>
    </row>
    <row r="25" spans="1:35" hidden="1">
      <c r="A25" s="344"/>
      <c r="B25" s="364"/>
      <c r="C25" s="365"/>
      <c r="D25" s="366"/>
      <c r="E25" s="367"/>
      <c r="F25" s="368"/>
      <c r="G25" s="369"/>
      <c r="H25" s="370"/>
      <c r="I25" s="370"/>
      <c r="J25" s="370"/>
      <c r="K25" s="370"/>
      <c r="L25" s="370"/>
      <c r="M25" s="370"/>
      <c r="N25" s="371"/>
      <c r="O25" s="372"/>
      <c r="P25" s="373"/>
      <c r="Q25" s="373"/>
      <c r="R25" s="373"/>
      <c r="S25" s="373"/>
      <c r="T25" s="374"/>
      <c r="U25" s="373"/>
      <c r="V25" s="373"/>
      <c r="W25" s="373"/>
      <c r="X25" s="373"/>
      <c r="Y25" s="373"/>
      <c r="Z25" s="375"/>
      <c r="AA25" s="371"/>
      <c r="AB25" s="371"/>
      <c r="AC25" s="371"/>
      <c r="AD25" s="370"/>
      <c r="AE25" s="370"/>
      <c r="AF25" s="376"/>
      <c r="AG25" s="371"/>
      <c r="AH25" s="371"/>
      <c r="AI25" s="371"/>
    </row>
    <row r="26" spans="1:35" hidden="1">
      <c r="A26" s="344"/>
      <c r="B26" s="364"/>
      <c r="C26" s="365"/>
      <c r="D26" s="366"/>
      <c r="E26" s="367"/>
      <c r="F26" s="368"/>
      <c r="G26" s="369"/>
      <c r="H26" s="370"/>
      <c r="I26" s="370"/>
      <c r="J26" s="370"/>
      <c r="K26" s="370"/>
      <c r="L26" s="370"/>
      <c r="M26" s="370"/>
      <c r="N26" s="371"/>
      <c r="O26" s="372"/>
      <c r="P26" s="373"/>
      <c r="Q26" s="373"/>
      <c r="R26" s="373"/>
      <c r="S26" s="373"/>
      <c r="T26" s="374"/>
      <c r="U26" s="373"/>
      <c r="V26" s="373"/>
      <c r="W26" s="373"/>
      <c r="X26" s="373"/>
      <c r="Y26" s="373"/>
      <c r="Z26" s="375"/>
      <c r="AA26" s="371"/>
      <c r="AB26" s="371"/>
      <c r="AC26" s="371"/>
      <c r="AD26" s="370"/>
      <c r="AE26" s="370"/>
      <c r="AF26" s="376"/>
      <c r="AG26" s="371"/>
      <c r="AH26" s="371"/>
      <c r="AI26" s="371"/>
    </row>
    <row r="27" spans="1:35" hidden="1">
      <c r="A27" s="344"/>
      <c r="B27" s="364"/>
      <c r="C27" s="365"/>
      <c r="D27" s="366"/>
      <c r="E27" s="367"/>
      <c r="F27" s="368"/>
      <c r="G27" s="369"/>
      <c r="H27" s="370"/>
      <c r="I27" s="370"/>
      <c r="J27" s="370"/>
      <c r="K27" s="370"/>
      <c r="L27" s="370"/>
      <c r="M27" s="370"/>
      <c r="N27" s="371"/>
      <c r="O27" s="372"/>
      <c r="P27" s="373"/>
      <c r="Q27" s="373"/>
      <c r="R27" s="373"/>
      <c r="S27" s="373"/>
      <c r="T27" s="374"/>
      <c r="U27" s="373"/>
      <c r="V27" s="373"/>
      <c r="W27" s="373"/>
      <c r="X27" s="373"/>
      <c r="Y27" s="373"/>
      <c r="Z27" s="375"/>
      <c r="AA27" s="371"/>
      <c r="AB27" s="371"/>
      <c r="AC27" s="371"/>
      <c r="AD27" s="370"/>
      <c r="AE27" s="370"/>
      <c r="AF27" s="376"/>
      <c r="AG27" s="371"/>
      <c r="AH27" s="371"/>
      <c r="AI27" s="371"/>
    </row>
    <row r="28" spans="1:35" hidden="1">
      <c r="A28" s="344"/>
      <c r="B28" s="364"/>
      <c r="C28" s="365"/>
      <c r="D28" s="366"/>
      <c r="E28" s="367"/>
      <c r="F28" s="368"/>
      <c r="G28" s="369"/>
      <c r="H28" s="370"/>
      <c r="I28" s="370"/>
      <c r="J28" s="370"/>
      <c r="K28" s="370"/>
      <c r="L28" s="370"/>
      <c r="M28" s="370"/>
      <c r="N28" s="371"/>
      <c r="O28" s="372"/>
      <c r="P28" s="373"/>
      <c r="Q28" s="373"/>
      <c r="R28" s="373"/>
      <c r="S28" s="373"/>
      <c r="T28" s="374"/>
      <c r="U28" s="373"/>
      <c r="V28" s="373"/>
      <c r="W28" s="373"/>
      <c r="X28" s="373"/>
      <c r="Y28" s="373"/>
      <c r="Z28" s="375"/>
      <c r="AA28" s="371"/>
      <c r="AB28" s="371"/>
      <c r="AC28" s="371"/>
      <c r="AD28" s="370"/>
      <c r="AE28" s="370"/>
      <c r="AF28" s="376"/>
      <c r="AG28" s="371"/>
      <c r="AH28" s="371"/>
      <c r="AI28" s="371"/>
    </row>
    <row r="29" spans="1:35" ht="31.5" customHeight="1">
      <c r="A29" s="344"/>
      <c r="B29" s="364">
        <v>4</v>
      </c>
      <c r="C29" s="365" t="s">
        <v>540</v>
      </c>
      <c r="D29" s="366" t="s">
        <v>541</v>
      </c>
      <c r="E29" s="367">
        <v>15</v>
      </c>
      <c r="F29" s="368">
        <v>146.15</v>
      </c>
      <c r="G29" s="428">
        <f t="shared" ref="G29" si="17">E29*F29</f>
        <v>2192.25</v>
      </c>
      <c r="H29" s="429">
        <v>0</v>
      </c>
      <c r="I29" s="429">
        <f t="shared" ref="I29" si="18">H29</f>
        <v>0</v>
      </c>
      <c r="J29" s="429">
        <v>0</v>
      </c>
      <c r="K29" s="429">
        <v>0</v>
      </c>
      <c r="L29" s="429">
        <v>0</v>
      </c>
      <c r="M29" s="429">
        <v>0</v>
      </c>
      <c r="N29" s="428">
        <f t="shared" ref="N29" si="19">SUM(G29:M29)</f>
        <v>2192.25</v>
      </c>
      <c r="O29" s="436"/>
      <c r="P29" s="428">
        <f t="shared" ref="P29" si="20">IF(F29=47.16,0,IF(F29&gt;47.16,K29*0.5,0))</f>
        <v>0</v>
      </c>
      <c r="Q29" s="428">
        <f t="shared" ref="Q29" si="21">G29+H29+I29+L29+P29+J29</f>
        <v>2192.25</v>
      </c>
      <c r="R29" s="428">
        <f t="shared" ref="R29" si="22">VLOOKUP(Q29,Tarifa1,1)</f>
        <v>2105.21</v>
      </c>
      <c r="S29" s="428">
        <f t="shared" ref="S29" si="23">Q29-R29</f>
        <v>87.039999999999964</v>
      </c>
      <c r="T29" s="437">
        <f t="shared" ref="T29" si="24">VLOOKUP(Q29,Tarifa1,3)</f>
        <v>0.10879999999999999</v>
      </c>
      <c r="U29" s="428">
        <f t="shared" ref="U29" si="25">S29*T29</f>
        <v>9.4699519999999957</v>
      </c>
      <c r="V29" s="428">
        <f t="shared" ref="V29" si="26">VLOOKUP(Q29,Tarifa1,2)</f>
        <v>123.62</v>
      </c>
      <c r="W29" s="428">
        <f t="shared" ref="W29" si="27">U29+V29</f>
        <v>133.08995200000001</v>
      </c>
      <c r="X29" s="428">
        <f t="shared" ref="X29" si="28">VLOOKUP(Q29,Credito1,2)</f>
        <v>191.23</v>
      </c>
      <c r="Y29" s="428">
        <f t="shared" ref="Y29" si="29">W29-X29</f>
        <v>-58.140047999999979</v>
      </c>
      <c r="Z29" s="438"/>
      <c r="AA29" s="428">
        <f t="shared" ref="AA29" si="30">-IF(Y29&gt;0,0,Y29)</f>
        <v>58.140047999999979</v>
      </c>
      <c r="AB29" s="428">
        <f t="shared" ref="AB29" si="31">IF(Y29&lt;0,0,Y29)</f>
        <v>0</v>
      </c>
      <c r="AC29" s="428">
        <v>0</v>
      </c>
      <c r="AD29" s="429">
        <v>0</v>
      </c>
      <c r="AE29" s="429">
        <v>0</v>
      </c>
      <c r="AF29" s="439">
        <v>0</v>
      </c>
      <c r="AG29" s="428">
        <f t="shared" ref="AG29" si="32">SUM(AB29:AF29)</f>
        <v>0</v>
      </c>
      <c r="AH29" s="428">
        <f t="shared" ref="AH29" si="33">N29+AA29-AG29</f>
        <v>2250.3900480000002</v>
      </c>
      <c r="AI29" s="371"/>
    </row>
    <row r="30" spans="1:35" ht="36">
      <c r="A30" s="344"/>
      <c r="B30" s="364">
        <v>5</v>
      </c>
      <c r="C30" s="365" t="s">
        <v>542</v>
      </c>
      <c r="D30" s="366" t="s">
        <v>543</v>
      </c>
      <c r="E30" s="367">
        <v>15</v>
      </c>
      <c r="F30" s="368">
        <v>205.58</v>
      </c>
      <c r="G30" s="428">
        <f t="shared" ref="G30:G32" si="34">E30*F30</f>
        <v>3083.7000000000003</v>
      </c>
      <c r="H30" s="429">
        <v>0</v>
      </c>
      <c r="I30" s="429">
        <f t="shared" ref="I30:I32" si="35">H30</f>
        <v>0</v>
      </c>
      <c r="J30" s="429">
        <v>0</v>
      </c>
      <c r="K30" s="429">
        <v>0</v>
      </c>
      <c r="L30" s="429">
        <v>0</v>
      </c>
      <c r="M30" s="429">
        <v>0</v>
      </c>
      <c r="N30" s="428">
        <f t="shared" ref="N30:N32" si="36">SUM(G30:M30)</f>
        <v>3083.7000000000003</v>
      </c>
      <c r="O30" s="436"/>
      <c r="P30" s="428">
        <f t="shared" ref="P30:P32" si="37">IF(F30=47.16,0,IF(F30&gt;47.16,K30*0.5,0))</f>
        <v>0</v>
      </c>
      <c r="Q30" s="428">
        <f t="shared" ref="Q30:Q32" si="38">G30+H30+I30+L30+P30+J30</f>
        <v>3083.7000000000003</v>
      </c>
      <c r="R30" s="428">
        <f t="shared" ref="R30:R32" si="39">VLOOKUP(Q30,Tarifa1,1)</f>
        <v>2105.21</v>
      </c>
      <c r="S30" s="428">
        <f t="shared" ref="S30:S32" si="40">Q30-R30</f>
        <v>978.49000000000024</v>
      </c>
      <c r="T30" s="437">
        <f t="shared" ref="T30:T32" si="41">VLOOKUP(Q30,Tarifa1,3)</f>
        <v>0.10879999999999999</v>
      </c>
      <c r="U30" s="428">
        <f t="shared" ref="U30:U32" si="42">S30*T30</f>
        <v>106.45971200000002</v>
      </c>
      <c r="V30" s="428">
        <f t="shared" ref="V30:V32" si="43">VLOOKUP(Q30,Tarifa1,2)</f>
        <v>123.62</v>
      </c>
      <c r="W30" s="428">
        <f t="shared" ref="W30:W32" si="44">U30+V30</f>
        <v>230.07971200000003</v>
      </c>
      <c r="X30" s="428">
        <f t="shared" ref="X30:X32" si="45">VLOOKUP(Q30,Credito1,2)</f>
        <v>147.315</v>
      </c>
      <c r="Y30" s="428">
        <f t="shared" ref="Y30:Y32" si="46">W30-X30</f>
        <v>82.764712000000031</v>
      </c>
      <c r="Z30" s="438"/>
      <c r="AA30" s="428">
        <f t="shared" ref="AA30:AA32" si="47">-IF(Y30&gt;0,0,Y30)</f>
        <v>0</v>
      </c>
      <c r="AB30" s="428">
        <f t="shared" ref="AB30:AB32" si="48">IF(Y30&lt;0,0,Y30)</f>
        <v>82.764712000000031</v>
      </c>
      <c r="AC30" s="428">
        <v>0</v>
      </c>
      <c r="AD30" s="429">
        <v>0</v>
      </c>
      <c r="AE30" s="429">
        <v>0</v>
      </c>
      <c r="AF30" s="439">
        <v>0</v>
      </c>
      <c r="AG30" s="428">
        <f t="shared" ref="AG30:AG32" si="49">SUM(AB30:AF30)</f>
        <v>82.764712000000031</v>
      </c>
      <c r="AH30" s="428">
        <f t="shared" ref="AH30:AH32" si="50">N30+AA30-AG30</f>
        <v>3000.9352880000001</v>
      </c>
      <c r="AI30" s="371"/>
    </row>
    <row r="31" spans="1:35" ht="30" customHeight="1">
      <c r="A31" s="344"/>
      <c r="B31" s="362"/>
      <c r="C31" s="498" t="s">
        <v>547</v>
      </c>
      <c r="D31" s="499"/>
      <c r="E31" s="500"/>
      <c r="F31" s="368"/>
      <c r="G31" s="428"/>
      <c r="H31" s="429"/>
      <c r="I31" s="429"/>
      <c r="J31" s="429"/>
      <c r="K31" s="429"/>
      <c r="L31" s="429"/>
      <c r="M31" s="429"/>
      <c r="N31" s="428"/>
      <c r="O31" s="436"/>
      <c r="P31" s="428"/>
      <c r="Q31" s="428"/>
      <c r="R31" s="428"/>
      <c r="S31" s="428"/>
      <c r="T31" s="437"/>
      <c r="U31" s="428"/>
      <c r="V31" s="428"/>
      <c r="W31" s="428"/>
      <c r="X31" s="428"/>
      <c r="Y31" s="428"/>
      <c r="Z31" s="438"/>
      <c r="AA31" s="428"/>
      <c r="AB31" s="428"/>
      <c r="AC31" s="428"/>
      <c r="AD31" s="429"/>
      <c r="AE31" s="429"/>
      <c r="AF31" s="439"/>
      <c r="AG31" s="428"/>
      <c r="AH31" s="428"/>
      <c r="AI31" s="501"/>
    </row>
    <row r="32" spans="1:35" ht="36">
      <c r="A32" s="344"/>
      <c r="B32" s="377">
        <v>6</v>
      </c>
      <c r="C32" s="378" t="s">
        <v>544</v>
      </c>
      <c r="D32" s="502" t="s">
        <v>546</v>
      </c>
      <c r="E32" s="377">
        <v>15</v>
      </c>
      <c r="F32" s="427">
        <v>50</v>
      </c>
      <c r="G32" s="428">
        <f t="shared" si="34"/>
        <v>750</v>
      </c>
      <c r="H32" s="429">
        <v>0</v>
      </c>
      <c r="I32" s="429">
        <f t="shared" si="35"/>
        <v>0</v>
      </c>
      <c r="J32" s="429">
        <v>0</v>
      </c>
      <c r="K32" s="429">
        <v>0</v>
      </c>
      <c r="L32" s="429">
        <v>0</v>
      </c>
      <c r="M32" s="429">
        <v>0</v>
      </c>
      <c r="N32" s="428">
        <f t="shared" si="36"/>
        <v>750</v>
      </c>
      <c r="O32" s="436"/>
      <c r="P32" s="428">
        <f t="shared" si="37"/>
        <v>0</v>
      </c>
      <c r="Q32" s="428">
        <f t="shared" si="38"/>
        <v>750</v>
      </c>
      <c r="R32" s="428">
        <f t="shared" si="39"/>
        <v>248.04</v>
      </c>
      <c r="S32" s="428">
        <f t="shared" si="40"/>
        <v>501.96000000000004</v>
      </c>
      <c r="T32" s="437">
        <f t="shared" si="41"/>
        <v>6.4000000000000001E-2</v>
      </c>
      <c r="U32" s="428">
        <f t="shared" si="42"/>
        <v>32.125440000000005</v>
      </c>
      <c r="V32" s="428">
        <f t="shared" si="43"/>
        <v>4.76</v>
      </c>
      <c r="W32" s="428">
        <f t="shared" si="44"/>
        <v>36.885440000000003</v>
      </c>
      <c r="X32" s="428">
        <f t="shared" si="45"/>
        <v>203.51</v>
      </c>
      <c r="Y32" s="428">
        <f t="shared" si="46"/>
        <v>-166.62455999999997</v>
      </c>
      <c r="Z32" s="438"/>
      <c r="AA32" s="428">
        <f t="shared" si="47"/>
        <v>166.62455999999997</v>
      </c>
      <c r="AB32" s="428">
        <f t="shared" si="48"/>
        <v>0</v>
      </c>
      <c r="AC32" s="428">
        <v>0</v>
      </c>
      <c r="AD32" s="429">
        <v>0</v>
      </c>
      <c r="AE32" s="429">
        <v>0</v>
      </c>
      <c r="AF32" s="439">
        <v>0</v>
      </c>
      <c r="AG32" s="428">
        <f t="shared" si="49"/>
        <v>0</v>
      </c>
      <c r="AH32" s="428">
        <f t="shared" si="50"/>
        <v>916.62455999999997</v>
      </c>
      <c r="AI32" s="386"/>
    </row>
    <row r="33" spans="1:35">
      <c r="A33" s="344"/>
      <c r="B33" s="387"/>
      <c r="C33" s="387"/>
      <c r="D33" s="387"/>
      <c r="E33" s="388"/>
      <c r="F33" s="387"/>
      <c r="G33" s="389"/>
      <c r="H33" s="389"/>
      <c r="I33" s="389"/>
      <c r="J33" s="389"/>
      <c r="K33" s="389"/>
      <c r="L33" s="389"/>
      <c r="M33" s="389"/>
      <c r="N33" s="389"/>
      <c r="O33" s="390"/>
      <c r="P33" s="391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</row>
    <row r="34" spans="1:35" ht="12.75" thickBot="1">
      <c r="A34" s="344"/>
      <c r="B34" s="685" t="s">
        <v>71</v>
      </c>
      <c r="C34" s="686"/>
      <c r="D34" s="686"/>
      <c r="E34" s="686"/>
      <c r="F34" s="687"/>
      <c r="G34" s="393">
        <f t="shared" ref="G34:N34" si="51">SUM(G8:G33)</f>
        <v>8905.9500000000007</v>
      </c>
      <c r="H34" s="393">
        <f t="shared" si="51"/>
        <v>0</v>
      </c>
      <c r="I34" s="393">
        <f t="shared" si="51"/>
        <v>0</v>
      </c>
      <c r="J34" s="393">
        <f t="shared" si="51"/>
        <v>0</v>
      </c>
      <c r="K34" s="393">
        <f t="shared" si="51"/>
        <v>0</v>
      </c>
      <c r="L34" s="393">
        <f t="shared" si="51"/>
        <v>0</v>
      </c>
      <c r="M34" s="393">
        <f t="shared" si="51"/>
        <v>0</v>
      </c>
      <c r="N34" s="393">
        <f t="shared" si="51"/>
        <v>8905.9500000000007</v>
      </c>
      <c r="O34" s="394"/>
      <c r="P34" s="395">
        <f t="shared" ref="P34:Y34" si="52">SUM(P8:P33)</f>
        <v>0</v>
      </c>
      <c r="Q34" s="395">
        <f t="shared" si="52"/>
        <v>8905.9500000000007</v>
      </c>
      <c r="R34" s="395">
        <f t="shared" si="52"/>
        <v>5202.58</v>
      </c>
      <c r="S34" s="395">
        <f t="shared" si="52"/>
        <v>3703.3700000000003</v>
      </c>
      <c r="T34" s="395">
        <f t="shared" si="52"/>
        <v>0.47360000000000002</v>
      </c>
      <c r="U34" s="395">
        <f t="shared" si="52"/>
        <v>284.75142400000004</v>
      </c>
      <c r="V34" s="395">
        <f t="shared" si="52"/>
        <v>266.27999999999997</v>
      </c>
      <c r="W34" s="395">
        <f t="shared" si="52"/>
        <v>551.03142400000002</v>
      </c>
      <c r="X34" s="395">
        <f t="shared" si="52"/>
        <v>1152.49</v>
      </c>
      <c r="Y34" s="395">
        <f t="shared" si="52"/>
        <v>-601.45857599999988</v>
      </c>
      <c r="Z34" s="394"/>
      <c r="AA34" s="393">
        <f t="shared" ref="AA34:AH34" si="53">SUM(AA8:AA33)</f>
        <v>684.22328799999991</v>
      </c>
      <c r="AB34" s="393">
        <f t="shared" si="53"/>
        <v>82.764712000000031</v>
      </c>
      <c r="AC34" s="393">
        <f t="shared" si="53"/>
        <v>0</v>
      </c>
      <c r="AD34" s="393">
        <f t="shared" si="53"/>
        <v>0</v>
      </c>
      <c r="AE34" s="393">
        <f t="shared" si="53"/>
        <v>0</v>
      </c>
      <c r="AF34" s="393">
        <f t="shared" si="53"/>
        <v>0</v>
      </c>
      <c r="AG34" s="393">
        <f t="shared" si="53"/>
        <v>82.764712000000031</v>
      </c>
      <c r="AH34" s="393">
        <f t="shared" si="53"/>
        <v>9507.4085759999998</v>
      </c>
      <c r="AI34" s="393"/>
    </row>
    <row r="35" spans="1:35" ht="12.75" thickTop="1">
      <c r="A35" s="344"/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</row>
    <row r="41" spans="1:35" hidden="1">
      <c r="A41" s="344"/>
      <c r="B41" s="344"/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</row>
    <row r="42" spans="1:35" hidden="1">
      <c r="A42" s="344"/>
      <c r="B42" s="688" t="s">
        <v>113</v>
      </c>
      <c r="C42" s="688"/>
      <c r="D42" s="688"/>
      <c r="E42" s="688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688"/>
      <c r="R42" s="688"/>
      <c r="S42" s="688"/>
      <c r="T42" s="688"/>
      <c r="U42" s="688"/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88"/>
      <c r="AH42" s="688"/>
      <c r="AI42" s="346"/>
    </row>
    <row r="43" spans="1:35" hidden="1">
      <c r="A43" s="344"/>
      <c r="B43" s="689" t="s">
        <v>471</v>
      </c>
      <c r="C43" s="689"/>
      <c r="D43" s="689"/>
      <c r="E43" s="689"/>
      <c r="F43" s="689"/>
      <c r="G43" s="689"/>
      <c r="H43" s="689"/>
      <c r="I43" s="689"/>
      <c r="J43" s="689"/>
      <c r="K43" s="689"/>
      <c r="L43" s="689"/>
      <c r="M43" s="689"/>
      <c r="N43" s="689"/>
      <c r="O43" s="689"/>
      <c r="P43" s="689"/>
      <c r="Q43" s="689"/>
      <c r="R43" s="689"/>
      <c r="S43" s="689"/>
      <c r="T43" s="689"/>
      <c r="U43" s="689"/>
      <c r="V43" s="689"/>
      <c r="W43" s="689"/>
      <c r="X43" s="689"/>
      <c r="Y43" s="689"/>
      <c r="Z43" s="689"/>
      <c r="AA43" s="689"/>
      <c r="AB43" s="689"/>
      <c r="AC43" s="689"/>
      <c r="AD43" s="689"/>
      <c r="AE43" s="689"/>
      <c r="AF43" s="689"/>
      <c r="AG43" s="689"/>
      <c r="AH43" s="689"/>
      <c r="AI43" s="347"/>
    </row>
    <row r="44" spans="1:35" hidden="1">
      <c r="A44" s="344"/>
      <c r="B44" s="348"/>
      <c r="C44" s="348"/>
      <c r="D44" s="348"/>
      <c r="E44" s="349" t="s">
        <v>44</v>
      </c>
      <c r="F44" s="349" t="s">
        <v>9</v>
      </c>
      <c r="G44" s="685" t="s">
        <v>2</v>
      </c>
      <c r="H44" s="686"/>
      <c r="I44" s="686"/>
      <c r="J44" s="686"/>
      <c r="K44" s="686"/>
      <c r="L44" s="686"/>
      <c r="M44" s="686"/>
      <c r="N44" s="687"/>
      <c r="O44" s="350"/>
      <c r="P44" s="351" t="s">
        <v>49</v>
      </c>
      <c r="Q44" s="352"/>
      <c r="R44" s="690" t="s">
        <v>30</v>
      </c>
      <c r="S44" s="691"/>
      <c r="T44" s="691"/>
      <c r="U44" s="691"/>
      <c r="V44" s="691"/>
      <c r="W44" s="692"/>
      <c r="X44" s="351" t="s">
        <v>56</v>
      </c>
      <c r="Y44" s="351" t="s">
        <v>31</v>
      </c>
      <c r="Z44" s="353"/>
      <c r="AA44" s="349" t="s">
        <v>91</v>
      </c>
      <c r="AB44" s="685" t="s">
        <v>3</v>
      </c>
      <c r="AC44" s="686"/>
      <c r="AD44" s="686"/>
      <c r="AE44" s="686"/>
      <c r="AF44" s="686"/>
      <c r="AG44" s="687"/>
      <c r="AH44" s="349" t="s">
        <v>0</v>
      </c>
      <c r="AI44" s="349"/>
    </row>
    <row r="45" spans="1:35" hidden="1">
      <c r="A45" s="344"/>
      <c r="B45" s="354" t="s">
        <v>42</v>
      </c>
      <c r="C45" s="354" t="s">
        <v>43</v>
      </c>
      <c r="D45" s="354"/>
      <c r="E45" s="355" t="s">
        <v>45</v>
      </c>
      <c r="F45" s="354" t="s">
        <v>46</v>
      </c>
      <c r="G45" s="349" t="s">
        <v>9</v>
      </c>
      <c r="H45" s="349" t="s">
        <v>47</v>
      </c>
      <c r="I45" s="349" t="s">
        <v>47</v>
      </c>
      <c r="J45" s="349" t="s">
        <v>76</v>
      </c>
      <c r="K45" s="349" t="s">
        <v>49</v>
      </c>
      <c r="L45" s="349" t="s">
        <v>51</v>
      </c>
      <c r="M45" s="349" t="s">
        <v>51</v>
      </c>
      <c r="N45" s="349" t="s">
        <v>54</v>
      </c>
      <c r="O45" s="350"/>
      <c r="P45" s="356" t="s">
        <v>50</v>
      </c>
      <c r="Q45" s="352" t="s">
        <v>58</v>
      </c>
      <c r="R45" s="352" t="s">
        <v>33</v>
      </c>
      <c r="S45" s="352" t="s">
        <v>60</v>
      </c>
      <c r="T45" s="352" t="s">
        <v>62</v>
      </c>
      <c r="U45" s="352" t="s">
        <v>63</v>
      </c>
      <c r="V45" s="352" t="s">
        <v>35</v>
      </c>
      <c r="W45" s="352" t="s">
        <v>31</v>
      </c>
      <c r="X45" s="356" t="s">
        <v>66</v>
      </c>
      <c r="Y45" s="356" t="s">
        <v>67</v>
      </c>
      <c r="Z45" s="353"/>
      <c r="AA45" s="354" t="s">
        <v>57</v>
      </c>
      <c r="AB45" s="349" t="s">
        <v>4</v>
      </c>
      <c r="AC45" s="349" t="s">
        <v>5</v>
      </c>
      <c r="AD45" s="349" t="s">
        <v>56</v>
      </c>
      <c r="AE45" s="349" t="s">
        <v>77</v>
      </c>
      <c r="AF45" s="349"/>
      <c r="AG45" s="349" t="s">
        <v>10</v>
      </c>
      <c r="AH45" s="354" t="s">
        <v>6</v>
      </c>
      <c r="AI45" s="354" t="s">
        <v>110</v>
      </c>
    </row>
    <row r="46" spans="1:35" hidden="1">
      <c r="A46" s="344"/>
      <c r="B46" s="357"/>
      <c r="C46" s="357"/>
      <c r="D46" s="357"/>
      <c r="E46" s="357"/>
      <c r="F46" s="357"/>
      <c r="G46" s="357" t="s">
        <v>73</v>
      </c>
      <c r="H46" s="357" t="s">
        <v>79</v>
      </c>
      <c r="I46" s="357" t="s">
        <v>48</v>
      </c>
      <c r="J46" s="357"/>
      <c r="K46" s="357" t="s">
        <v>50</v>
      </c>
      <c r="L46" s="357" t="s">
        <v>52</v>
      </c>
      <c r="M46" s="357" t="s">
        <v>53</v>
      </c>
      <c r="N46" s="357" t="s">
        <v>55</v>
      </c>
      <c r="O46" s="350"/>
      <c r="P46" s="358" t="s">
        <v>69</v>
      </c>
      <c r="Q46" s="351" t="s">
        <v>59</v>
      </c>
      <c r="R46" s="351" t="s">
        <v>34</v>
      </c>
      <c r="S46" s="351" t="s">
        <v>61</v>
      </c>
      <c r="T46" s="351" t="s">
        <v>61</v>
      </c>
      <c r="U46" s="351" t="s">
        <v>64</v>
      </c>
      <c r="V46" s="351" t="s">
        <v>36</v>
      </c>
      <c r="W46" s="351" t="s">
        <v>65</v>
      </c>
      <c r="X46" s="356" t="s">
        <v>40</v>
      </c>
      <c r="Y46" s="359" t="s">
        <v>466</v>
      </c>
      <c r="Z46" s="360"/>
      <c r="AA46" s="357" t="s">
        <v>90</v>
      </c>
      <c r="AB46" s="357"/>
      <c r="AC46" s="357"/>
      <c r="AD46" s="357" t="s">
        <v>75</v>
      </c>
      <c r="AE46" s="357" t="s">
        <v>78</v>
      </c>
      <c r="AF46" s="357" t="s">
        <v>101</v>
      </c>
      <c r="AG46" s="357" t="s">
        <v>70</v>
      </c>
      <c r="AH46" s="357" t="s">
        <v>7</v>
      </c>
      <c r="AI46" s="357"/>
    </row>
    <row r="47" spans="1:35" hidden="1">
      <c r="A47" s="344"/>
      <c r="B47" s="354"/>
      <c r="C47" s="361" t="s">
        <v>472</v>
      </c>
      <c r="D47" s="361" t="s">
        <v>103</v>
      </c>
      <c r="E47" s="354"/>
      <c r="F47" s="354"/>
      <c r="G47" s="362"/>
      <c r="H47" s="354"/>
      <c r="I47" s="354"/>
      <c r="J47" s="354"/>
      <c r="K47" s="354"/>
      <c r="L47" s="354"/>
      <c r="M47" s="354"/>
      <c r="N47" s="354"/>
      <c r="O47" s="350"/>
      <c r="P47" s="356"/>
      <c r="Q47" s="356"/>
      <c r="R47" s="356"/>
      <c r="S47" s="356"/>
      <c r="T47" s="356"/>
      <c r="U47" s="356"/>
      <c r="V47" s="356"/>
      <c r="W47" s="356"/>
      <c r="X47" s="356"/>
      <c r="Y47" s="363"/>
      <c r="Z47" s="353"/>
      <c r="AA47" s="354"/>
      <c r="AB47" s="354"/>
      <c r="AC47" s="354"/>
      <c r="AD47" s="354"/>
      <c r="AE47" s="354"/>
      <c r="AF47" s="354"/>
      <c r="AG47" s="354"/>
      <c r="AH47" s="362"/>
      <c r="AI47" s="362"/>
    </row>
    <row r="48" spans="1:35" ht="36" hidden="1" customHeight="1">
      <c r="A48" s="344"/>
      <c r="B48" s="364">
        <v>1</v>
      </c>
      <c r="C48" s="424" t="s">
        <v>430</v>
      </c>
      <c r="D48" s="425" t="s">
        <v>431</v>
      </c>
      <c r="E48" s="426">
        <v>15</v>
      </c>
      <c r="F48" s="427">
        <v>85</v>
      </c>
      <c r="G48" s="428">
        <f t="shared" ref="G48:G50" si="54">E48*F48</f>
        <v>1275</v>
      </c>
      <c r="H48" s="429">
        <v>0</v>
      </c>
      <c r="I48" s="429">
        <v>0</v>
      </c>
      <c r="J48" s="429">
        <v>0</v>
      </c>
      <c r="K48" s="429">
        <v>0</v>
      </c>
      <c r="L48" s="429">
        <v>0</v>
      </c>
      <c r="M48" s="429">
        <v>0</v>
      </c>
      <c r="N48" s="430">
        <f t="shared" ref="N48:N50" si="55">SUM(G48:M48)</f>
        <v>1275</v>
      </c>
      <c r="O48" s="431"/>
      <c r="P48" s="430">
        <f t="shared" ref="P48:P50" si="56">IF(F48=47.16,0,IF(F48&gt;47.16,K48*0.5,0))</f>
        <v>0</v>
      </c>
      <c r="Q48" s="430">
        <f t="shared" ref="Q48:Q50" si="57">G48+H48+I48+L48+P48+J48</f>
        <v>1275</v>
      </c>
      <c r="R48" s="430">
        <f t="shared" ref="R48:R50" si="58">VLOOKUP(Q48,Tarifa1,1)</f>
        <v>248.04</v>
      </c>
      <c r="S48" s="430">
        <f t="shared" ref="S48:S50" si="59">Q48-R48</f>
        <v>1026.96</v>
      </c>
      <c r="T48" s="432">
        <f t="shared" ref="T48:T50" si="60">VLOOKUP(Q48,Tarifa1,3)</f>
        <v>6.4000000000000001E-2</v>
      </c>
      <c r="U48" s="430">
        <f t="shared" ref="U48:U50" si="61">S48*T48</f>
        <v>65.725440000000006</v>
      </c>
      <c r="V48" s="430">
        <f t="shared" ref="V48:V50" si="62">VLOOKUP(Q48,Tarifa1,2)</f>
        <v>4.76</v>
      </c>
      <c r="W48" s="430">
        <f t="shared" ref="W48:W50" si="63">U48+V48</f>
        <v>70.485440000000011</v>
      </c>
      <c r="X48" s="430">
        <f t="shared" ref="X48:X50" si="64">VLOOKUP(Q48,Credito1,2)</f>
        <v>203.41499999999999</v>
      </c>
      <c r="Y48" s="430">
        <f t="shared" ref="Y48:Y50" si="65">W48-X48</f>
        <v>-132.92955999999998</v>
      </c>
      <c r="Z48" s="431"/>
      <c r="AA48" s="430">
        <f t="shared" ref="AA48:AA50" si="66">-IF(Y48&gt;0,0,Y48)</f>
        <v>132.92955999999998</v>
      </c>
      <c r="AB48" s="430">
        <f t="shared" ref="AB48:AB50" si="67">IF(Y48&lt;0,0,Y48)</f>
        <v>0</v>
      </c>
      <c r="AC48" s="430">
        <v>0</v>
      </c>
      <c r="AD48" s="433">
        <v>0</v>
      </c>
      <c r="AE48" s="433">
        <v>0</v>
      </c>
      <c r="AF48" s="433">
        <v>0</v>
      </c>
      <c r="AG48" s="430">
        <f t="shared" ref="AG48:AG50" si="68">SUM(AB48:AF48)</f>
        <v>0</v>
      </c>
      <c r="AH48" s="430">
        <f t="shared" ref="AH48:AH50" si="69">N48+AA48-AG48</f>
        <v>1407.92956</v>
      </c>
      <c r="AI48" s="371"/>
    </row>
    <row r="49" spans="1:35" ht="36" hidden="1" customHeight="1">
      <c r="A49" s="344"/>
      <c r="B49" s="364">
        <v>2</v>
      </c>
      <c r="C49" s="434" t="s">
        <v>345</v>
      </c>
      <c r="D49" s="435" t="s">
        <v>346</v>
      </c>
      <c r="E49" s="426">
        <v>15</v>
      </c>
      <c r="F49" s="427">
        <v>115</v>
      </c>
      <c r="G49" s="428">
        <f t="shared" si="54"/>
        <v>1725</v>
      </c>
      <c r="H49" s="429">
        <v>0</v>
      </c>
      <c r="I49" s="429">
        <v>0</v>
      </c>
      <c r="J49" s="429">
        <v>0</v>
      </c>
      <c r="K49" s="429">
        <v>0</v>
      </c>
      <c r="L49" s="429">
        <v>0</v>
      </c>
      <c r="M49" s="429">
        <v>0</v>
      </c>
      <c r="N49" s="430">
        <f t="shared" si="55"/>
        <v>1725</v>
      </c>
      <c r="O49" s="431"/>
      <c r="P49" s="430">
        <f t="shared" si="56"/>
        <v>0</v>
      </c>
      <c r="Q49" s="430">
        <f t="shared" si="57"/>
        <v>1725</v>
      </c>
      <c r="R49" s="430">
        <f t="shared" si="58"/>
        <v>248.04</v>
      </c>
      <c r="S49" s="430">
        <f t="shared" si="59"/>
        <v>1476.96</v>
      </c>
      <c r="T49" s="432">
        <f t="shared" si="60"/>
        <v>6.4000000000000001E-2</v>
      </c>
      <c r="U49" s="430">
        <f t="shared" si="61"/>
        <v>94.525440000000003</v>
      </c>
      <c r="V49" s="430">
        <f t="shared" si="62"/>
        <v>4.76</v>
      </c>
      <c r="W49" s="430">
        <f t="shared" si="63"/>
        <v>99.285440000000008</v>
      </c>
      <c r="X49" s="430">
        <f t="shared" si="64"/>
        <v>203.31</v>
      </c>
      <c r="Y49" s="430">
        <f t="shared" si="65"/>
        <v>-104.02455999999999</v>
      </c>
      <c r="Z49" s="431"/>
      <c r="AA49" s="446">
        <f t="shared" si="66"/>
        <v>104.02455999999999</v>
      </c>
      <c r="AB49" s="430">
        <f t="shared" si="67"/>
        <v>0</v>
      </c>
      <c r="AC49" s="430">
        <v>0</v>
      </c>
      <c r="AD49" s="433">
        <v>0</v>
      </c>
      <c r="AE49" s="433">
        <v>0</v>
      </c>
      <c r="AF49" s="433">
        <v>0</v>
      </c>
      <c r="AG49" s="430">
        <f t="shared" si="68"/>
        <v>0</v>
      </c>
      <c r="AH49" s="430">
        <f t="shared" si="69"/>
        <v>1829.0245600000001</v>
      </c>
      <c r="AI49" s="371"/>
    </row>
    <row r="50" spans="1:35" ht="36" hidden="1" customHeight="1">
      <c r="A50" s="344"/>
      <c r="B50" s="364">
        <v>3</v>
      </c>
      <c r="C50" s="434" t="s">
        <v>488</v>
      </c>
      <c r="D50" s="435" t="s">
        <v>447</v>
      </c>
      <c r="E50" s="426">
        <v>15</v>
      </c>
      <c r="F50" s="427">
        <v>61</v>
      </c>
      <c r="G50" s="428">
        <f t="shared" si="54"/>
        <v>915</v>
      </c>
      <c r="H50" s="429">
        <v>0</v>
      </c>
      <c r="I50" s="429">
        <v>0</v>
      </c>
      <c r="J50" s="429">
        <v>0</v>
      </c>
      <c r="K50" s="429">
        <v>0</v>
      </c>
      <c r="L50" s="429">
        <v>0</v>
      </c>
      <c r="M50" s="429">
        <v>0</v>
      </c>
      <c r="N50" s="430">
        <f t="shared" si="55"/>
        <v>915</v>
      </c>
      <c r="O50" s="431"/>
      <c r="P50" s="430">
        <f t="shared" si="56"/>
        <v>0</v>
      </c>
      <c r="Q50" s="430">
        <f t="shared" si="57"/>
        <v>915</v>
      </c>
      <c r="R50" s="430">
        <f t="shared" si="58"/>
        <v>248.04</v>
      </c>
      <c r="S50" s="430">
        <f t="shared" si="59"/>
        <v>666.96</v>
      </c>
      <c r="T50" s="432">
        <f t="shared" si="60"/>
        <v>6.4000000000000001E-2</v>
      </c>
      <c r="U50" s="430">
        <f t="shared" si="61"/>
        <v>42.68544</v>
      </c>
      <c r="V50" s="430">
        <f t="shared" si="62"/>
        <v>4.76</v>
      </c>
      <c r="W50" s="430">
        <f t="shared" si="63"/>
        <v>47.445439999999998</v>
      </c>
      <c r="X50" s="430">
        <f t="shared" si="64"/>
        <v>203.41499999999999</v>
      </c>
      <c r="Y50" s="430">
        <f t="shared" si="65"/>
        <v>-155.96956</v>
      </c>
      <c r="Z50" s="431"/>
      <c r="AA50" s="446">
        <f t="shared" si="66"/>
        <v>155.96956</v>
      </c>
      <c r="AB50" s="430">
        <f t="shared" si="67"/>
        <v>0</v>
      </c>
      <c r="AC50" s="430">
        <v>0</v>
      </c>
      <c r="AD50" s="433">
        <v>0</v>
      </c>
      <c r="AE50" s="433">
        <v>0</v>
      </c>
      <c r="AF50" s="433">
        <v>0</v>
      </c>
      <c r="AG50" s="430">
        <f t="shared" si="68"/>
        <v>0</v>
      </c>
      <c r="AH50" s="430">
        <f t="shared" si="69"/>
        <v>1070.96956</v>
      </c>
      <c r="AI50" s="371"/>
    </row>
    <row r="51" spans="1:35" ht="36" hidden="1" customHeight="1">
      <c r="A51" s="344"/>
      <c r="B51" s="364">
        <v>4</v>
      </c>
      <c r="C51" s="447" t="s">
        <v>398</v>
      </c>
      <c r="D51" s="448" t="s">
        <v>393</v>
      </c>
      <c r="E51" s="449">
        <v>15</v>
      </c>
      <c r="F51" s="450">
        <v>183</v>
      </c>
      <c r="G51" s="428">
        <f t="shared" ref="G51" si="70">E51*F51</f>
        <v>2745</v>
      </c>
      <c r="H51" s="429">
        <v>0</v>
      </c>
      <c r="I51" s="429">
        <v>0</v>
      </c>
      <c r="J51" s="429">
        <v>0</v>
      </c>
      <c r="K51" s="429">
        <v>0</v>
      </c>
      <c r="L51" s="429">
        <v>0</v>
      </c>
      <c r="M51" s="429">
        <v>0</v>
      </c>
      <c r="N51" s="430">
        <f t="shared" ref="N51" si="71">SUM(G51:M51)</f>
        <v>2745</v>
      </c>
      <c r="O51" s="431"/>
      <c r="P51" s="430">
        <f t="shared" ref="P51" si="72">IF(F51=47.16,0,IF(F51&gt;47.16,K51*0.5,0))</f>
        <v>0</v>
      </c>
      <c r="Q51" s="430">
        <f t="shared" ref="Q51" si="73">G51+H51+I51+L51+P51+J51</f>
        <v>2745</v>
      </c>
      <c r="R51" s="430">
        <f t="shared" ref="R51" si="74">VLOOKUP(Q51,Tarifa1,1)</f>
        <v>2105.21</v>
      </c>
      <c r="S51" s="430">
        <f t="shared" ref="S51" si="75">Q51-R51</f>
        <v>639.79</v>
      </c>
      <c r="T51" s="432">
        <f t="shared" ref="T51" si="76">VLOOKUP(Q51,Tarifa1,3)</f>
        <v>0.10879999999999999</v>
      </c>
      <c r="U51" s="430">
        <f t="shared" ref="U51" si="77">S51*T51</f>
        <v>69.609151999999995</v>
      </c>
      <c r="V51" s="430">
        <f t="shared" ref="V51" si="78">VLOOKUP(Q51,Tarifa1,2)</f>
        <v>123.62</v>
      </c>
      <c r="W51" s="430">
        <f t="shared" ref="W51" si="79">U51+V51</f>
        <v>193.229152</v>
      </c>
      <c r="X51" s="430">
        <f t="shared" ref="X51" si="80">VLOOKUP(Q51,Credito1,2)</f>
        <v>147.315</v>
      </c>
      <c r="Y51" s="430">
        <f t="shared" ref="Y51" si="81">W51-X51</f>
        <v>45.914152000000001</v>
      </c>
      <c r="Z51" s="431"/>
      <c r="AA51" s="446">
        <f t="shared" ref="AA51" si="82">-IF(Y51&gt;0,0,Y51)</f>
        <v>0</v>
      </c>
      <c r="AB51" s="430">
        <f t="shared" ref="AB51" si="83">IF(Y51&lt;0,0,Y51)</f>
        <v>45.914152000000001</v>
      </c>
      <c r="AC51" s="430">
        <v>0</v>
      </c>
      <c r="AD51" s="433">
        <v>0</v>
      </c>
      <c r="AE51" s="433">
        <v>0</v>
      </c>
      <c r="AF51" s="433">
        <v>0</v>
      </c>
      <c r="AG51" s="430">
        <f t="shared" ref="AG51" si="84">SUM(AB51:AF51)</f>
        <v>45.914152000000001</v>
      </c>
      <c r="AH51" s="430">
        <f t="shared" ref="AH51" si="85">N51+AA51-AG51</f>
        <v>2699.0858480000002</v>
      </c>
      <c r="AI51" s="371"/>
    </row>
    <row r="52" spans="1:35" ht="36" hidden="1" customHeight="1">
      <c r="A52" s="344"/>
      <c r="B52" s="364">
        <v>5</v>
      </c>
      <c r="C52" s="434" t="s">
        <v>458</v>
      </c>
      <c r="D52" s="435"/>
      <c r="E52" s="426">
        <v>15</v>
      </c>
      <c r="F52" s="427">
        <v>131</v>
      </c>
      <c r="G52" s="428">
        <f t="shared" ref="G52:G68" si="86">E52*F52</f>
        <v>1965</v>
      </c>
      <c r="H52" s="429">
        <v>0</v>
      </c>
      <c r="I52" s="429">
        <f t="shared" ref="I52:I68" si="87">H52</f>
        <v>0</v>
      </c>
      <c r="J52" s="429">
        <v>0</v>
      </c>
      <c r="K52" s="429">
        <v>0</v>
      </c>
      <c r="L52" s="429">
        <v>0</v>
      </c>
      <c r="M52" s="429">
        <v>0</v>
      </c>
      <c r="N52" s="428">
        <f t="shared" ref="N52:N68" si="88">SUM(G52:M52)</f>
        <v>1965</v>
      </c>
      <c r="O52" s="436"/>
      <c r="P52" s="428">
        <f t="shared" ref="P52:P68" si="89">IF(F52=47.16,0,IF(F52&gt;47.16,K52*0.5,0))</f>
        <v>0</v>
      </c>
      <c r="Q52" s="428">
        <f t="shared" ref="Q52:Q68" si="90">G52+H52+I52+L52+P52+J52</f>
        <v>1965</v>
      </c>
      <c r="R52" s="428">
        <f t="shared" ref="R52:R68" si="91">VLOOKUP(Q52,Tarifa1,1)</f>
        <v>248.04</v>
      </c>
      <c r="S52" s="428">
        <f t="shared" ref="S52:S68" si="92">Q52-R52</f>
        <v>1716.96</v>
      </c>
      <c r="T52" s="437">
        <f t="shared" ref="T52:T68" si="93">VLOOKUP(Q52,Tarifa1,3)</f>
        <v>6.4000000000000001E-2</v>
      </c>
      <c r="U52" s="428">
        <f t="shared" ref="U52:U68" si="94">S52*T52</f>
        <v>109.88544</v>
      </c>
      <c r="V52" s="428">
        <f t="shared" ref="V52:V68" si="95">VLOOKUP(Q52,Tarifa1,2)</f>
        <v>4.76</v>
      </c>
      <c r="W52" s="428">
        <f t="shared" ref="W52:W68" si="96">U52+V52</f>
        <v>114.64544000000001</v>
      </c>
      <c r="X52" s="428">
        <f t="shared" ref="X52:X68" si="97">VLOOKUP(Q52,Credito1,2)</f>
        <v>191.23</v>
      </c>
      <c r="Y52" s="428">
        <f t="shared" ref="Y52:Y68" si="98">W52-X52</f>
        <v>-76.584559999999982</v>
      </c>
      <c r="Z52" s="438"/>
      <c r="AA52" s="428">
        <f t="shared" ref="AA52:AA68" si="99">-IF(Y52&gt;0,0,Y52)</f>
        <v>76.584559999999982</v>
      </c>
      <c r="AB52" s="428">
        <f t="shared" ref="AB52:AB68" si="100">IF(Y52&lt;0,0,Y52)</f>
        <v>0</v>
      </c>
      <c r="AC52" s="428">
        <v>0</v>
      </c>
      <c r="AD52" s="429">
        <v>0</v>
      </c>
      <c r="AE52" s="429">
        <v>0</v>
      </c>
      <c r="AF52" s="439">
        <v>0</v>
      </c>
      <c r="AG52" s="428">
        <f t="shared" ref="AG52:AG68" si="101">SUM(AB52:AF52)</f>
        <v>0</v>
      </c>
      <c r="AH52" s="428">
        <f t="shared" ref="AH52:AH68" si="102">N52+AA52-AG52</f>
        <v>2041.58456</v>
      </c>
      <c r="AI52" s="371"/>
    </row>
    <row r="53" spans="1:35" hidden="1">
      <c r="A53" s="344"/>
      <c r="B53" s="364">
        <v>6</v>
      </c>
      <c r="C53" s="365"/>
      <c r="D53" s="366"/>
      <c r="E53" s="367">
        <v>15</v>
      </c>
      <c r="F53" s="368"/>
      <c r="G53" s="369">
        <f t="shared" si="86"/>
        <v>0</v>
      </c>
      <c r="H53" s="370">
        <v>0</v>
      </c>
      <c r="I53" s="370">
        <f t="shared" si="87"/>
        <v>0</v>
      </c>
      <c r="J53" s="370">
        <v>0</v>
      </c>
      <c r="K53" s="370">
        <v>0</v>
      </c>
      <c r="L53" s="370">
        <v>0</v>
      </c>
      <c r="M53" s="370">
        <v>0</v>
      </c>
      <c r="N53" s="371">
        <f t="shared" si="88"/>
        <v>0</v>
      </c>
      <c r="O53" s="372"/>
      <c r="P53" s="373">
        <f t="shared" si="89"/>
        <v>0</v>
      </c>
      <c r="Q53" s="373">
        <f t="shared" si="90"/>
        <v>0</v>
      </c>
      <c r="R53" s="373" t="e">
        <f t="shared" si="91"/>
        <v>#N/A</v>
      </c>
      <c r="S53" s="373" t="e">
        <f t="shared" si="92"/>
        <v>#N/A</v>
      </c>
      <c r="T53" s="374" t="e">
        <f t="shared" si="93"/>
        <v>#N/A</v>
      </c>
      <c r="U53" s="373" t="e">
        <f t="shared" si="94"/>
        <v>#N/A</v>
      </c>
      <c r="V53" s="373" t="e">
        <f t="shared" si="95"/>
        <v>#N/A</v>
      </c>
      <c r="W53" s="373" t="e">
        <f t="shared" si="96"/>
        <v>#N/A</v>
      </c>
      <c r="X53" s="373" t="e">
        <f t="shared" si="97"/>
        <v>#N/A</v>
      </c>
      <c r="Y53" s="373" t="e">
        <f t="shared" si="98"/>
        <v>#N/A</v>
      </c>
      <c r="Z53" s="375"/>
      <c r="AA53" s="371" t="e">
        <f t="shared" si="99"/>
        <v>#N/A</v>
      </c>
      <c r="AB53" s="371" t="e">
        <f t="shared" si="100"/>
        <v>#N/A</v>
      </c>
      <c r="AC53" s="371">
        <v>0</v>
      </c>
      <c r="AD53" s="370">
        <v>0</v>
      </c>
      <c r="AE53" s="370">
        <v>0</v>
      </c>
      <c r="AF53" s="376">
        <v>0</v>
      </c>
      <c r="AG53" s="371" t="e">
        <f t="shared" si="101"/>
        <v>#N/A</v>
      </c>
      <c r="AH53" s="371" t="e">
        <f t="shared" si="102"/>
        <v>#N/A</v>
      </c>
      <c r="AI53" s="371"/>
    </row>
    <row r="54" spans="1:35" hidden="1">
      <c r="A54" s="344"/>
      <c r="B54" s="364">
        <v>7</v>
      </c>
      <c r="C54" s="365"/>
      <c r="D54" s="366"/>
      <c r="E54" s="367">
        <v>10</v>
      </c>
      <c r="F54" s="368"/>
      <c r="G54" s="369">
        <f t="shared" si="86"/>
        <v>0</v>
      </c>
      <c r="H54" s="370">
        <v>0</v>
      </c>
      <c r="I54" s="370">
        <f t="shared" si="87"/>
        <v>0</v>
      </c>
      <c r="J54" s="370">
        <v>0</v>
      </c>
      <c r="K54" s="370">
        <v>0</v>
      </c>
      <c r="L54" s="370">
        <v>0</v>
      </c>
      <c r="M54" s="370">
        <v>0</v>
      </c>
      <c r="N54" s="371">
        <f t="shared" si="88"/>
        <v>0</v>
      </c>
      <c r="O54" s="372"/>
      <c r="P54" s="373">
        <f t="shared" si="89"/>
        <v>0</v>
      </c>
      <c r="Q54" s="373">
        <f t="shared" si="90"/>
        <v>0</v>
      </c>
      <c r="R54" s="373" t="e">
        <f t="shared" si="91"/>
        <v>#N/A</v>
      </c>
      <c r="S54" s="373" t="e">
        <f t="shared" si="92"/>
        <v>#N/A</v>
      </c>
      <c r="T54" s="374" t="e">
        <f t="shared" si="93"/>
        <v>#N/A</v>
      </c>
      <c r="U54" s="373" t="e">
        <f t="shared" si="94"/>
        <v>#N/A</v>
      </c>
      <c r="V54" s="373" t="e">
        <f t="shared" si="95"/>
        <v>#N/A</v>
      </c>
      <c r="W54" s="373" t="e">
        <f t="shared" si="96"/>
        <v>#N/A</v>
      </c>
      <c r="X54" s="373" t="e">
        <f t="shared" si="97"/>
        <v>#N/A</v>
      </c>
      <c r="Y54" s="373" t="e">
        <f t="shared" si="98"/>
        <v>#N/A</v>
      </c>
      <c r="Z54" s="375"/>
      <c r="AA54" s="371" t="e">
        <f t="shared" si="99"/>
        <v>#N/A</v>
      </c>
      <c r="AB54" s="371" t="e">
        <f t="shared" si="100"/>
        <v>#N/A</v>
      </c>
      <c r="AC54" s="371">
        <v>0</v>
      </c>
      <c r="AD54" s="370">
        <v>0</v>
      </c>
      <c r="AE54" s="370">
        <v>0</v>
      </c>
      <c r="AF54" s="376">
        <v>0</v>
      </c>
      <c r="AG54" s="371" t="e">
        <f t="shared" si="101"/>
        <v>#N/A</v>
      </c>
      <c r="AH54" s="371" t="e">
        <f t="shared" si="102"/>
        <v>#N/A</v>
      </c>
      <c r="AI54" s="371"/>
    </row>
    <row r="55" spans="1:35" hidden="1">
      <c r="A55" s="344"/>
      <c r="B55" s="364">
        <v>8</v>
      </c>
      <c r="C55" s="365"/>
      <c r="D55" s="366"/>
      <c r="E55" s="367"/>
      <c r="F55" s="368"/>
      <c r="G55" s="369">
        <f t="shared" si="86"/>
        <v>0</v>
      </c>
      <c r="H55" s="370">
        <v>0</v>
      </c>
      <c r="I55" s="370">
        <f t="shared" si="87"/>
        <v>0</v>
      </c>
      <c r="J55" s="370">
        <v>0</v>
      </c>
      <c r="K55" s="370">
        <v>0</v>
      </c>
      <c r="L55" s="370">
        <v>0</v>
      </c>
      <c r="M55" s="370">
        <v>0</v>
      </c>
      <c r="N55" s="371">
        <f t="shared" si="88"/>
        <v>0</v>
      </c>
      <c r="O55" s="372"/>
      <c r="P55" s="373">
        <f t="shared" si="89"/>
        <v>0</v>
      </c>
      <c r="Q55" s="373">
        <f t="shared" si="90"/>
        <v>0</v>
      </c>
      <c r="R55" s="373" t="e">
        <f t="shared" si="91"/>
        <v>#N/A</v>
      </c>
      <c r="S55" s="373" t="e">
        <f t="shared" si="92"/>
        <v>#N/A</v>
      </c>
      <c r="T55" s="374" t="e">
        <f t="shared" si="93"/>
        <v>#N/A</v>
      </c>
      <c r="U55" s="373" t="e">
        <f t="shared" si="94"/>
        <v>#N/A</v>
      </c>
      <c r="V55" s="373" t="e">
        <f t="shared" si="95"/>
        <v>#N/A</v>
      </c>
      <c r="W55" s="373" t="e">
        <f t="shared" si="96"/>
        <v>#N/A</v>
      </c>
      <c r="X55" s="373" t="e">
        <f t="shared" si="97"/>
        <v>#N/A</v>
      </c>
      <c r="Y55" s="373" t="e">
        <f t="shared" si="98"/>
        <v>#N/A</v>
      </c>
      <c r="Z55" s="375"/>
      <c r="AA55" s="371" t="e">
        <f t="shared" si="99"/>
        <v>#N/A</v>
      </c>
      <c r="AB55" s="371" t="e">
        <f t="shared" si="100"/>
        <v>#N/A</v>
      </c>
      <c r="AC55" s="371">
        <v>0</v>
      </c>
      <c r="AD55" s="370">
        <v>0</v>
      </c>
      <c r="AE55" s="370">
        <v>0</v>
      </c>
      <c r="AF55" s="376">
        <v>0</v>
      </c>
      <c r="AG55" s="371" t="e">
        <f t="shared" si="101"/>
        <v>#N/A</v>
      </c>
      <c r="AH55" s="371" t="e">
        <f t="shared" si="102"/>
        <v>#N/A</v>
      </c>
      <c r="AI55" s="371"/>
    </row>
    <row r="56" spans="1:35" hidden="1">
      <c r="A56" s="344"/>
      <c r="B56" s="364">
        <v>9</v>
      </c>
      <c r="C56" s="365"/>
      <c r="D56" s="366"/>
      <c r="E56" s="367"/>
      <c r="F56" s="368"/>
      <c r="G56" s="369">
        <f t="shared" si="86"/>
        <v>0</v>
      </c>
      <c r="H56" s="370">
        <v>0</v>
      </c>
      <c r="I56" s="370">
        <f t="shared" si="87"/>
        <v>0</v>
      </c>
      <c r="J56" s="370">
        <v>0</v>
      </c>
      <c r="K56" s="370">
        <v>0</v>
      </c>
      <c r="L56" s="370">
        <v>0</v>
      </c>
      <c r="M56" s="370">
        <v>0</v>
      </c>
      <c r="N56" s="371">
        <f t="shared" si="88"/>
        <v>0</v>
      </c>
      <c r="O56" s="372"/>
      <c r="P56" s="373">
        <f t="shared" si="89"/>
        <v>0</v>
      </c>
      <c r="Q56" s="373">
        <f t="shared" si="90"/>
        <v>0</v>
      </c>
      <c r="R56" s="373" t="e">
        <f t="shared" si="91"/>
        <v>#N/A</v>
      </c>
      <c r="S56" s="373" t="e">
        <f t="shared" si="92"/>
        <v>#N/A</v>
      </c>
      <c r="T56" s="374" t="e">
        <f t="shared" si="93"/>
        <v>#N/A</v>
      </c>
      <c r="U56" s="373" t="e">
        <f t="shared" si="94"/>
        <v>#N/A</v>
      </c>
      <c r="V56" s="373" t="e">
        <f t="shared" si="95"/>
        <v>#N/A</v>
      </c>
      <c r="W56" s="373" t="e">
        <f t="shared" si="96"/>
        <v>#N/A</v>
      </c>
      <c r="X56" s="373" t="e">
        <f t="shared" si="97"/>
        <v>#N/A</v>
      </c>
      <c r="Y56" s="373" t="e">
        <f t="shared" si="98"/>
        <v>#N/A</v>
      </c>
      <c r="Z56" s="375"/>
      <c r="AA56" s="371" t="e">
        <f t="shared" si="99"/>
        <v>#N/A</v>
      </c>
      <c r="AB56" s="371" t="e">
        <f t="shared" si="100"/>
        <v>#N/A</v>
      </c>
      <c r="AC56" s="371">
        <v>0</v>
      </c>
      <c r="AD56" s="370">
        <v>0</v>
      </c>
      <c r="AE56" s="370">
        <v>0</v>
      </c>
      <c r="AF56" s="376">
        <v>0</v>
      </c>
      <c r="AG56" s="371" t="e">
        <f t="shared" si="101"/>
        <v>#N/A</v>
      </c>
      <c r="AH56" s="371" t="e">
        <f t="shared" si="102"/>
        <v>#N/A</v>
      </c>
      <c r="AI56" s="371"/>
    </row>
    <row r="57" spans="1:35" hidden="1">
      <c r="A57" s="344"/>
      <c r="B57" s="364">
        <v>10</v>
      </c>
      <c r="C57" s="365"/>
      <c r="D57" s="366"/>
      <c r="E57" s="367">
        <v>15</v>
      </c>
      <c r="F57" s="368">
        <v>91.6</v>
      </c>
      <c r="G57" s="369">
        <f t="shared" si="86"/>
        <v>1374</v>
      </c>
      <c r="H57" s="370">
        <v>0</v>
      </c>
      <c r="I57" s="370">
        <f t="shared" si="87"/>
        <v>0</v>
      </c>
      <c r="J57" s="370">
        <v>0</v>
      </c>
      <c r="K57" s="370">
        <v>0</v>
      </c>
      <c r="L57" s="370">
        <v>0</v>
      </c>
      <c r="M57" s="370">
        <v>0</v>
      </c>
      <c r="N57" s="371">
        <f t="shared" si="88"/>
        <v>1374</v>
      </c>
      <c r="O57" s="372"/>
      <c r="P57" s="373">
        <f t="shared" si="89"/>
        <v>0</v>
      </c>
      <c r="Q57" s="373">
        <f t="shared" si="90"/>
        <v>1374</v>
      </c>
      <c r="R57" s="373">
        <f t="shared" si="91"/>
        <v>248.04</v>
      </c>
      <c r="S57" s="373">
        <f t="shared" si="92"/>
        <v>1125.96</v>
      </c>
      <c r="T57" s="374">
        <f t="shared" si="93"/>
        <v>6.4000000000000001E-2</v>
      </c>
      <c r="U57" s="373">
        <f t="shared" si="94"/>
        <v>72.061440000000005</v>
      </c>
      <c r="V57" s="373">
        <f t="shared" si="95"/>
        <v>4.76</v>
      </c>
      <c r="W57" s="373">
        <f t="shared" si="96"/>
        <v>76.82144000000001</v>
      </c>
      <c r="X57" s="373">
        <f t="shared" si="97"/>
        <v>203.31</v>
      </c>
      <c r="Y57" s="373">
        <f t="shared" si="98"/>
        <v>-126.48855999999999</v>
      </c>
      <c r="Z57" s="375"/>
      <c r="AA57" s="371">
        <f t="shared" si="99"/>
        <v>126.48855999999999</v>
      </c>
      <c r="AB57" s="371">
        <f t="shared" si="100"/>
        <v>0</v>
      </c>
      <c r="AC57" s="371">
        <v>0</v>
      </c>
      <c r="AD57" s="370">
        <v>0</v>
      </c>
      <c r="AE57" s="370">
        <v>0</v>
      </c>
      <c r="AF57" s="376">
        <v>0</v>
      </c>
      <c r="AG57" s="371">
        <f t="shared" si="101"/>
        <v>0</v>
      </c>
      <c r="AH57" s="371">
        <f t="shared" si="102"/>
        <v>1500.48856</v>
      </c>
      <c r="AI57" s="371"/>
    </row>
    <row r="58" spans="1:35" hidden="1">
      <c r="A58" s="344"/>
      <c r="B58" s="364">
        <v>11</v>
      </c>
      <c r="C58" s="365"/>
      <c r="D58" s="366"/>
      <c r="E58" s="367"/>
      <c r="F58" s="368"/>
      <c r="G58" s="369">
        <f t="shared" si="86"/>
        <v>0</v>
      </c>
      <c r="H58" s="370">
        <v>0</v>
      </c>
      <c r="I58" s="370">
        <f t="shared" si="87"/>
        <v>0</v>
      </c>
      <c r="J58" s="370">
        <v>0</v>
      </c>
      <c r="K58" s="370">
        <v>0</v>
      </c>
      <c r="L58" s="370">
        <v>0</v>
      </c>
      <c r="M58" s="370">
        <v>0</v>
      </c>
      <c r="N58" s="371">
        <f t="shared" si="88"/>
        <v>0</v>
      </c>
      <c r="O58" s="372"/>
      <c r="P58" s="373">
        <f t="shared" si="89"/>
        <v>0</v>
      </c>
      <c r="Q58" s="373">
        <f t="shared" si="90"/>
        <v>0</v>
      </c>
      <c r="R58" s="373" t="e">
        <f t="shared" si="91"/>
        <v>#N/A</v>
      </c>
      <c r="S58" s="373" t="e">
        <f t="shared" si="92"/>
        <v>#N/A</v>
      </c>
      <c r="T58" s="374" t="e">
        <f t="shared" si="93"/>
        <v>#N/A</v>
      </c>
      <c r="U58" s="373" t="e">
        <f t="shared" si="94"/>
        <v>#N/A</v>
      </c>
      <c r="V58" s="373" t="e">
        <f t="shared" si="95"/>
        <v>#N/A</v>
      </c>
      <c r="W58" s="373" t="e">
        <f t="shared" si="96"/>
        <v>#N/A</v>
      </c>
      <c r="X58" s="373" t="e">
        <f t="shared" si="97"/>
        <v>#N/A</v>
      </c>
      <c r="Y58" s="373" t="e">
        <f t="shared" si="98"/>
        <v>#N/A</v>
      </c>
      <c r="Z58" s="375"/>
      <c r="AA58" s="371" t="e">
        <f t="shared" si="99"/>
        <v>#N/A</v>
      </c>
      <c r="AB58" s="371" t="e">
        <f t="shared" si="100"/>
        <v>#N/A</v>
      </c>
      <c r="AC58" s="371">
        <v>0</v>
      </c>
      <c r="AD58" s="370">
        <v>0</v>
      </c>
      <c r="AE58" s="370">
        <v>0</v>
      </c>
      <c r="AF58" s="376">
        <v>0</v>
      </c>
      <c r="AG58" s="371" t="e">
        <f t="shared" si="101"/>
        <v>#N/A</v>
      </c>
      <c r="AH58" s="371" t="e">
        <f t="shared" si="102"/>
        <v>#N/A</v>
      </c>
      <c r="AI58" s="371"/>
    </row>
    <row r="59" spans="1:35" hidden="1">
      <c r="A59" s="344"/>
      <c r="B59" s="364">
        <v>12</v>
      </c>
      <c r="C59" s="365"/>
      <c r="D59" s="366"/>
      <c r="E59" s="367"/>
      <c r="F59" s="368"/>
      <c r="G59" s="369">
        <f t="shared" si="86"/>
        <v>0</v>
      </c>
      <c r="H59" s="370">
        <v>0</v>
      </c>
      <c r="I59" s="370">
        <f t="shared" si="87"/>
        <v>0</v>
      </c>
      <c r="J59" s="370">
        <v>0</v>
      </c>
      <c r="K59" s="370">
        <v>0</v>
      </c>
      <c r="L59" s="370">
        <v>0</v>
      </c>
      <c r="M59" s="370">
        <v>0</v>
      </c>
      <c r="N59" s="371">
        <f t="shared" si="88"/>
        <v>0</v>
      </c>
      <c r="O59" s="372"/>
      <c r="P59" s="373">
        <f t="shared" si="89"/>
        <v>0</v>
      </c>
      <c r="Q59" s="373">
        <f t="shared" si="90"/>
        <v>0</v>
      </c>
      <c r="R59" s="373" t="e">
        <f t="shared" si="91"/>
        <v>#N/A</v>
      </c>
      <c r="S59" s="373" t="e">
        <f t="shared" si="92"/>
        <v>#N/A</v>
      </c>
      <c r="T59" s="374" t="e">
        <f t="shared" si="93"/>
        <v>#N/A</v>
      </c>
      <c r="U59" s="373" t="e">
        <f t="shared" si="94"/>
        <v>#N/A</v>
      </c>
      <c r="V59" s="373" t="e">
        <f t="shared" si="95"/>
        <v>#N/A</v>
      </c>
      <c r="W59" s="373" t="e">
        <f t="shared" si="96"/>
        <v>#N/A</v>
      </c>
      <c r="X59" s="373" t="e">
        <f t="shared" si="97"/>
        <v>#N/A</v>
      </c>
      <c r="Y59" s="373" t="e">
        <f t="shared" si="98"/>
        <v>#N/A</v>
      </c>
      <c r="Z59" s="375"/>
      <c r="AA59" s="371" t="e">
        <f t="shared" si="99"/>
        <v>#N/A</v>
      </c>
      <c r="AB59" s="371" t="e">
        <f t="shared" si="100"/>
        <v>#N/A</v>
      </c>
      <c r="AC59" s="371">
        <v>0</v>
      </c>
      <c r="AD59" s="370">
        <v>0</v>
      </c>
      <c r="AE59" s="370">
        <v>0</v>
      </c>
      <c r="AF59" s="376">
        <v>0</v>
      </c>
      <c r="AG59" s="371" t="e">
        <f t="shared" si="101"/>
        <v>#N/A</v>
      </c>
      <c r="AH59" s="371" t="e">
        <f t="shared" si="102"/>
        <v>#N/A</v>
      </c>
      <c r="AI59" s="371"/>
    </row>
    <row r="60" spans="1:35" hidden="1">
      <c r="A60" s="344"/>
      <c r="B60" s="364">
        <v>13</v>
      </c>
      <c r="C60" s="365"/>
      <c r="D60" s="366"/>
      <c r="E60" s="367"/>
      <c r="F60" s="368"/>
      <c r="G60" s="369">
        <f t="shared" si="86"/>
        <v>0</v>
      </c>
      <c r="H60" s="370">
        <v>0</v>
      </c>
      <c r="I60" s="370">
        <f t="shared" si="87"/>
        <v>0</v>
      </c>
      <c r="J60" s="370">
        <v>0</v>
      </c>
      <c r="K60" s="370">
        <v>0</v>
      </c>
      <c r="L60" s="370">
        <v>0</v>
      </c>
      <c r="M60" s="370">
        <v>0</v>
      </c>
      <c r="N60" s="371">
        <f t="shared" si="88"/>
        <v>0</v>
      </c>
      <c r="O60" s="372"/>
      <c r="P60" s="373">
        <f t="shared" si="89"/>
        <v>0</v>
      </c>
      <c r="Q60" s="373">
        <f t="shared" si="90"/>
        <v>0</v>
      </c>
      <c r="R60" s="373" t="e">
        <f t="shared" si="91"/>
        <v>#N/A</v>
      </c>
      <c r="S60" s="373" t="e">
        <f t="shared" si="92"/>
        <v>#N/A</v>
      </c>
      <c r="T60" s="374" t="e">
        <f t="shared" si="93"/>
        <v>#N/A</v>
      </c>
      <c r="U60" s="373" t="e">
        <f t="shared" si="94"/>
        <v>#N/A</v>
      </c>
      <c r="V60" s="373" t="e">
        <f t="shared" si="95"/>
        <v>#N/A</v>
      </c>
      <c r="W60" s="373" t="e">
        <f t="shared" si="96"/>
        <v>#N/A</v>
      </c>
      <c r="X60" s="373" t="e">
        <f t="shared" si="97"/>
        <v>#N/A</v>
      </c>
      <c r="Y60" s="373" t="e">
        <f t="shared" si="98"/>
        <v>#N/A</v>
      </c>
      <c r="Z60" s="375"/>
      <c r="AA60" s="371" t="e">
        <f t="shared" si="99"/>
        <v>#N/A</v>
      </c>
      <c r="AB60" s="371" t="e">
        <f t="shared" si="100"/>
        <v>#N/A</v>
      </c>
      <c r="AC60" s="371">
        <v>0</v>
      </c>
      <c r="AD60" s="370">
        <v>0</v>
      </c>
      <c r="AE60" s="370">
        <v>0</v>
      </c>
      <c r="AF60" s="376">
        <v>0</v>
      </c>
      <c r="AG60" s="371" t="e">
        <f t="shared" si="101"/>
        <v>#N/A</v>
      </c>
      <c r="AH60" s="371" t="e">
        <f t="shared" si="102"/>
        <v>#N/A</v>
      </c>
      <c r="AI60" s="371"/>
    </row>
    <row r="61" spans="1:35" hidden="1">
      <c r="A61" s="344"/>
      <c r="B61" s="364">
        <v>14</v>
      </c>
      <c r="C61" s="365"/>
      <c r="D61" s="366"/>
      <c r="E61" s="367"/>
      <c r="F61" s="368"/>
      <c r="G61" s="369">
        <f t="shared" si="86"/>
        <v>0</v>
      </c>
      <c r="H61" s="370">
        <v>0</v>
      </c>
      <c r="I61" s="370">
        <f t="shared" si="87"/>
        <v>0</v>
      </c>
      <c r="J61" s="370">
        <v>0</v>
      </c>
      <c r="K61" s="370">
        <v>0</v>
      </c>
      <c r="L61" s="370">
        <v>0</v>
      </c>
      <c r="M61" s="370">
        <v>0</v>
      </c>
      <c r="N61" s="371">
        <f t="shared" si="88"/>
        <v>0</v>
      </c>
      <c r="O61" s="372"/>
      <c r="P61" s="373">
        <f t="shared" si="89"/>
        <v>0</v>
      </c>
      <c r="Q61" s="373">
        <f t="shared" si="90"/>
        <v>0</v>
      </c>
      <c r="R61" s="373" t="e">
        <f t="shared" si="91"/>
        <v>#N/A</v>
      </c>
      <c r="S61" s="373" t="e">
        <f t="shared" si="92"/>
        <v>#N/A</v>
      </c>
      <c r="T61" s="374" t="e">
        <f t="shared" si="93"/>
        <v>#N/A</v>
      </c>
      <c r="U61" s="373" t="e">
        <f t="shared" si="94"/>
        <v>#N/A</v>
      </c>
      <c r="V61" s="373" t="e">
        <f t="shared" si="95"/>
        <v>#N/A</v>
      </c>
      <c r="W61" s="373" t="e">
        <f t="shared" si="96"/>
        <v>#N/A</v>
      </c>
      <c r="X61" s="373" t="e">
        <f t="shared" si="97"/>
        <v>#N/A</v>
      </c>
      <c r="Y61" s="373" t="e">
        <f t="shared" si="98"/>
        <v>#N/A</v>
      </c>
      <c r="Z61" s="375"/>
      <c r="AA61" s="371" t="e">
        <f t="shared" si="99"/>
        <v>#N/A</v>
      </c>
      <c r="AB61" s="371" t="e">
        <f t="shared" si="100"/>
        <v>#N/A</v>
      </c>
      <c r="AC61" s="371">
        <v>0</v>
      </c>
      <c r="AD61" s="370">
        <v>0</v>
      </c>
      <c r="AE61" s="370">
        <v>0</v>
      </c>
      <c r="AF61" s="376">
        <v>0</v>
      </c>
      <c r="AG61" s="371" t="e">
        <f t="shared" si="101"/>
        <v>#N/A</v>
      </c>
      <c r="AH61" s="371" t="e">
        <f t="shared" si="102"/>
        <v>#N/A</v>
      </c>
      <c r="AI61" s="371"/>
    </row>
    <row r="62" spans="1:35" hidden="1">
      <c r="A62" s="344"/>
      <c r="B62" s="364">
        <v>15</v>
      </c>
      <c r="C62" s="365"/>
      <c r="D62" s="366"/>
      <c r="E62" s="367">
        <v>15</v>
      </c>
      <c r="F62" s="368"/>
      <c r="G62" s="369">
        <f t="shared" si="86"/>
        <v>0</v>
      </c>
      <c r="H62" s="370">
        <v>0</v>
      </c>
      <c r="I62" s="370">
        <f t="shared" si="87"/>
        <v>0</v>
      </c>
      <c r="J62" s="370">
        <v>0</v>
      </c>
      <c r="K62" s="370">
        <v>0</v>
      </c>
      <c r="L62" s="370">
        <v>0</v>
      </c>
      <c r="M62" s="370">
        <v>0</v>
      </c>
      <c r="N62" s="371">
        <f t="shared" si="88"/>
        <v>0</v>
      </c>
      <c r="O62" s="372"/>
      <c r="P62" s="373">
        <f t="shared" si="89"/>
        <v>0</v>
      </c>
      <c r="Q62" s="373">
        <f t="shared" si="90"/>
        <v>0</v>
      </c>
      <c r="R62" s="373" t="e">
        <f t="shared" si="91"/>
        <v>#N/A</v>
      </c>
      <c r="S62" s="373" t="e">
        <f t="shared" si="92"/>
        <v>#N/A</v>
      </c>
      <c r="T62" s="374" t="e">
        <f t="shared" si="93"/>
        <v>#N/A</v>
      </c>
      <c r="U62" s="373" t="e">
        <f t="shared" si="94"/>
        <v>#N/A</v>
      </c>
      <c r="V62" s="373" t="e">
        <f t="shared" si="95"/>
        <v>#N/A</v>
      </c>
      <c r="W62" s="373" t="e">
        <f t="shared" si="96"/>
        <v>#N/A</v>
      </c>
      <c r="X62" s="373" t="e">
        <f t="shared" si="97"/>
        <v>#N/A</v>
      </c>
      <c r="Y62" s="373" t="e">
        <f t="shared" si="98"/>
        <v>#N/A</v>
      </c>
      <c r="Z62" s="375"/>
      <c r="AA62" s="371" t="e">
        <f t="shared" si="99"/>
        <v>#N/A</v>
      </c>
      <c r="AB62" s="371" t="e">
        <f t="shared" si="100"/>
        <v>#N/A</v>
      </c>
      <c r="AC62" s="371">
        <v>0</v>
      </c>
      <c r="AD62" s="370">
        <v>0</v>
      </c>
      <c r="AE62" s="370">
        <v>0</v>
      </c>
      <c r="AF62" s="376">
        <v>0</v>
      </c>
      <c r="AG62" s="371" t="e">
        <f t="shared" si="101"/>
        <v>#N/A</v>
      </c>
      <c r="AH62" s="371" t="e">
        <f t="shared" si="102"/>
        <v>#N/A</v>
      </c>
      <c r="AI62" s="371"/>
    </row>
    <row r="63" spans="1:35" hidden="1">
      <c r="A63" s="344"/>
      <c r="B63" s="364">
        <v>16</v>
      </c>
      <c r="C63" s="365"/>
      <c r="D63" s="366"/>
      <c r="E63" s="367">
        <v>15</v>
      </c>
      <c r="F63" s="368"/>
      <c r="G63" s="369">
        <f t="shared" si="86"/>
        <v>0</v>
      </c>
      <c r="H63" s="370">
        <v>0</v>
      </c>
      <c r="I63" s="370">
        <f t="shared" si="87"/>
        <v>0</v>
      </c>
      <c r="J63" s="370">
        <v>0</v>
      </c>
      <c r="K63" s="370">
        <v>0</v>
      </c>
      <c r="L63" s="370">
        <v>0</v>
      </c>
      <c r="M63" s="370">
        <v>0</v>
      </c>
      <c r="N63" s="371">
        <f t="shared" si="88"/>
        <v>0</v>
      </c>
      <c r="O63" s="372"/>
      <c r="P63" s="373">
        <f t="shared" si="89"/>
        <v>0</v>
      </c>
      <c r="Q63" s="373">
        <f t="shared" si="90"/>
        <v>0</v>
      </c>
      <c r="R63" s="373" t="e">
        <f t="shared" si="91"/>
        <v>#N/A</v>
      </c>
      <c r="S63" s="373" t="e">
        <f t="shared" si="92"/>
        <v>#N/A</v>
      </c>
      <c r="T63" s="374" t="e">
        <f t="shared" si="93"/>
        <v>#N/A</v>
      </c>
      <c r="U63" s="373" t="e">
        <f t="shared" si="94"/>
        <v>#N/A</v>
      </c>
      <c r="V63" s="373" t="e">
        <f t="shared" si="95"/>
        <v>#N/A</v>
      </c>
      <c r="W63" s="373" t="e">
        <f t="shared" si="96"/>
        <v>#N/A</v>
      </c>
      <c r="X63" s="373" t="e">
        <f t="shared" si="97"/>
        <v>#N/A</v>
      </c>
      <c r="Y63" s="373" t="e">
        <f t="shared" si="98"/>
        <v>#N/A</v>
      </c>
      <c r="Z63" s="375"/>
      <c r="AA63" s="371" t="e">
        <f t="shared" si="99"/>
        <v>#N/A</v>
      </c>
      <c r="AB63" s="371" t="e">
        <f t="shared" si="100"/>
        <v>#N/A</v>
      </c>
      <c r="AC63" s="371">
        <v>0</v>
      </c>
      <c r="AD63" s="370">
        <v>0</v>
      </c>
      <c r="AE63" s="370">
        <v>0</v>
      </c>
      <c r="AF63" s="376">
        <v>0</v>
      </c>
      <c r="AG63" s="371" t="e">
        <f t="shared" si="101"/>
        <v>#N/A</v>
      </c>
      <c r="AH63" s="371" t="e">
        <f t="shared" si="102"/>
        <v>#N/A</v>
      </c>
      <c r="AI63" s="371"/>
    </row>
    <row r="64" spans="1:35" hidden="1">
      <c r="A64" s="344"/>
      <c r="B64" s="364">
        <v>17</v>
      </c>
      <c r="C64" s="365"/>
      <c r="D64" s="366"/>
      <c r="E64" s="367">
        <v>15</v>
      </c>
      <c r="F64" s="368"/>
      <c r="G64" s="369">
        <f t="shared" si="86"/>
        <v>0</v>
      </c>
      <c r="H64" s="370">
        <v>0</v>
      </c>
      <c r="I64" s="370">
        <f t="shared" si="87"/>
        <v>0</v>
      </c>
      <c r="J64" s="370">
        <v>0</v>
      </c>
      <c r="K64" s="370">
        <v>0</v>
      </c>
      <c r="L64" s="370">
        <v>0</v>
      </c>
      <c r="M64" s="370">
        <v>0</v>
      </c>
      <c r="N64" s="371">
        <f t="shared" si="88"/>
        <v>0</v>
      </c>
      <c r="O64" s="372"/>
      <c r="P64" s="373">
        <f t="shared" si="89"/>
        <v>0</v>
      </c>
      <c r="Q64" s="373">
        <f t="shared" si="90"/>
        <v>0</v>
      </c>
      <c r="R64" s="373" t="e">
        <f t="shared" si="91"/>
        <v>#N/A</v>
      </c>
      <c r="S64" s="373" t="e">
        <f t="shared" si="92"/>
        <v>#N/A</v>
      </c>
      <c r="T64" s="374" t="e">
        <f t="shared" si="93"/>
        <v>#N/A</v>
      </c>
      <c r="U64" s="373" t="e">
        <f t="shared" si="94"/>
        <v>#N/A</v>
      </c>
      <c r="V64" s="373" t="e">
        <f t="shared" si="95"/>
        <v>#N/A</v>
      </c>
      <c r="W64" s="373" t="e">
        <f t="shared" si="96"/>
        <v>#N/A</v>
      </c>
      <c r="X64" s="373" t="e">
        <f t="shared" si="97"/>
        <v>#N/A</v>
      </c>
      <c r="Y64" s="373" t="e">
        <f t="shared" si="98"/>
        <v>#N/A</v>
      </c>
      <c r="Z64" s="375"/>
      <c r="AA64" s="371" t="e">
        <f t="shared" si="99"/>
        <v>#N/A</v>
      </c>
      <c r="AB64" s="371" t="e">
        <f t="shared" si="100"/>
        <v>#N/A</v>
      </c>
      <c r="AC64" s="371">
        <v>0</v>
      </c>
      <c r="AD64" s="370">
        <v>0</v>
      </c>
      <c r="AE64" s="370">
        <v>0</v>
      </c>
      <c r="AF64" s="376">
        <v>0</v>
      </c>
      <c r="AG64" s="371" t="e">
        <f t="shared" si="101"/>
        <v>#N/A</v>
      </c>
      <c r="AH64" s="371" t="e">
        <f t="shared" si="102"/>
        <v>#N/A</v>
      </c>
      <c r="AI64" s="371"/>
    </row>
    <row r="65" spans="1:35" hidden="1">
      <c r="A65" s="344"/>
      <c r="B65" s="364">
        <v>18</v>
      </c>
      <c r="C65" s="365"/>
      <c r="D65" s="366"/>
      <c r="E65" s="367">
        <v>15</v>
      </c>
      <c r="F65" s="368"/>
      <c r="G65" s="369">
        <f t="shared" si="86"/>
        <v>0</v>
      </c>
      <c r="H65" s="370">
        <v>0</v>
      </c>
      <c r="I65" s="370">
        <f t="shared" si="87"/>
        <v>0</v>
      </c>
      <c r="J65" s="370">
        <v>0</v>
      </c>
      <c r="K65" s="370">
        <v>0</v>
      </c>
      <c r="L65" s="370">
        <v>0</v>
      </c>
      <c r="M65" s="370">
        <v>0</v>
      </c>
      <c r="N65" s="371">
        <f t="shared" si="88"/>
        <v>0</v>
      </c>
      <c r="O65" s="372"/>
      <c r="P65" s="373">
        <f t="shared" si="89"/>
        <v>0</v>
      </c>
      <c r="Q65" s="373">
        <f t="shared" si="90"/>
        <v>0</v>
      </c>
      <c r="R65" s="373" t="e">
        <f t="shared" si="91"/>
        <v>#N/A</v>
      </c>
      <c r="S65" s="373" t="e">
        <f t="shared" si="92"/>
        <v>#N/A</v>
      </c>
      <c r="T65" s="374" t="e">
        <f t="shared" si="93"/>
        <v>#N/A</v>
      </c>
      <c r="U65" s="373" t="e">
        <f t="shared" si="94"/>
        <v>#N/A</v>
      </c>
      <c r="V65" s="373" t="e">
        <f t="shared" si="95"/>
        <v>#N/A</v>
      </c>
      <c r="W65" s="373" t="e">
        <f t="shared" si="96"/>
        <v>#N/A</v>
      </c>
      <c r="X65" s="373" t="e">
        <f t="shared" si="97"/>
        <v>#N/A</v>
      </c>
      <c r="Y65" s="373" t="e">
        <f t="shared" si="98"/>
        <v>#N/A</v>
      </c>
      <c r="Z65" s="375"/>
      <c r="AA65" s="371" t="e">
        <f t="shared" si="99"/>
        <v>#N/A</v>
      </c>
      <c r="AB65" s="371" t="e">
        <f t="shared" si="100"/>
        <v>#N/A</v>
      </c>
      <c r="AC65" s="371">
        <v>0</v>
      </c>
      <c r="AD65" s="370">
        <v>0</v>
      </c>
      <c r="AE65" s="370">
        <v>0</v>
      </c>
      <c r="AF65" s="376">
        <v>0</v>
      </c>
      <c r="AG65" s="371" t="e">
        <f t="shared" si="101"/>
        <v>#N/A</v>
      </c>
      <c r="AH65" s="371" t="e">
        <f t="shared" si="102"/>
        <v>#N/A</v>
      </c>
      <c r="AI65" s="371"/>
    </row>
    <row r="66" spans="1:35" hidden="1">
      <c r="A66" s="344"/>
      <c r="B66" s="364">
        <v>19</v>
      </c>
      <c r="C66" s="365"/>
      <c r="D66" s="366"/>
      <c r="E66" s="367">
        <v>15</v>
      </c>
      <c r="F66" s="368"/>
      <c r="G66" s="369">
        <f t="shared" si="86"/>
        <v>0</v>
      </c>
      <c r="H66" s="370">
        <v>0</v>
      </c>
      <c r="I66" s="370">
        <f t="shared" si="87"/>
        <v>0</v>
      </c>
      <c r="J66" s="370">
        <v>0</v>
      </c>
      <c r="K66" s="370">
        <v>0</v>
      </c>
      <c r="L66" s="370">
        <v>0</v>
      </c>
      <c r="M66" s="370">
        <v>0</v>
      </c>
      <c r="N66" s="371">
        <f t="shared" si="88"/>
        <v>0</v>
      </c>
      <c r="O66" s="372"/>
      <c r="P66" s="373">
        <f t="shared" si="89"/>
        <v>0</v>
      </c>
      <c r="Q66" s="373">
        <f t="shared" si="90"/>
        <v>0</v>
      </c>
      <c r="R66" s="373" t="e">
        <f t="shared" si="91"/>
        <v>#N/A</v>
      </c>
      <c r="S66" s="373" t="e">
        <f t="shared" si="92"/>
        <v>#N/A</v>
      </c>
      <c r="T66" s="374" t="e">
        <f t="shared" si="93"/>
        <v>#N/A</v>
      </c>
      <c r="U66" s="373" t="e">
        <f t="shared" si="94"/>
        <v>#N/A</v>
      </c>
      <c r="V66" s="373" t="e">
        <f t="shared" si="95"/>
        <v>#N/A</v>
      </c>
      <c r="W66" s="373" t="e">
        <f t="shared" si="96"/>
        <v>#N/A</v>
      </c>
      <c r="X66" s="373" t="e">
        <f t="shared" si="97"/>
        <v>#N/A</v>
      </c>
      <c r="Y66" s="373" t="e">
        <f t="shared" si="98"/>
        <v>#N/A</v>
      </c>
      <c r="Z66" s="375"/>
      <c r="AA66" s="371" t="e">
        <f t="shared" si="99"/>
        <v>#N/A</v>
      </c>
      <c r="AB66" s="371" t="e">
        <f t="shared" si="100"/>
        <v>#N/A</v>
      </c>
      <c r="AC66" s="371">
        <v>0</v>
      </c>
      <c r="AD66" s="370">
        <v>0</v>
      </c>
      <c r="AE66" s="370">
        <v>0</v>
      </c>
      <c r="AF66" s="376">
        <v>0</v>
      </c>
      <c r="AG66" s="371" t="e">
        <f t="shared" si="101"/>
        <v>#N/A</v>
      </c>
      <c r="AH66" s="371" t="e">
        <f t="shared" si="102"/>
        <v>#N/A</v>
      </c>
      <c r="AI66" s="371"/>
    </row>
    <row r="67" spans="1:35" hidden="1">
      <c r="A67" s="344"/>
      <c r="B67" s="364">
        <v>20</v>
      </c>
      <c r="C67" s="365"/>
      <c r="D67" s="366"/>
      <c r="E67" s="367">
        <v>15</v>
      </c>
      <c r="F67" s="368"/>
      <c r="G67" s="369">
        <f t="shared" si="86"/>
        <v>0</v>
      </c>
      <c r="H67" s="370">
        <v>0</v>
      </c>
      <c r="I67" s="370">
        <f t="shared" si="87"/>
        <v>0</v>
      </c>
      <c r="J67" s="370">
        <v>0</v>
      </c>
      <c r="K67" s="370">
        <v>0</v>
      </c>
      <c r="L67" s="370">
        <v>0</v>
      </c>
      <c r="M67" s="370">
        <v>0</v>
      </c>
      <c r="N67" s="371">
        <f t="shared" si="88"/>
        <v>0</v>
      </c>
      <c r="O67" s="372"/>
      <c r="P67" s="373">
        <f t="shared" si="89"/>
        <v>0</v>
      </c>
      <c r="Q67" s="373">
        <f t="shared" si="90"/>
        <v>0</v>
      </c>
      <c r="R67" s="373" t="e">
        <f t="shared" si="91"/>
        <v>#N/A</v>
      </c>
      <c r="S67" s="373" t="e">
        <f t="shared" si="92"/>
        <v>#N/A</v>
      </c>
      <c r="T67" s="374" t="e">
        <f t="shared" si="93"/>
        <v>#N/A</v>
      </c>
      <c r="U67" s="373" t="e">
        <f t="shared" si="94"/>
        <v>#N/A</v>
      </c>
      <c r="V67" s="373" t="e">
        <f t="shared" si="95"/>
        <v>#N/A</v>
      </c>
      <c r="W67" s="373" t="e">
        <f t="shared" si="96"/>
        <v>#N/A</v>
      </c>
      <c r="X67" s="373" t="e">
        <f t="shared" si="97"/>
        <v>#N/A</v>
      </c>
      <c r="Y67" s="373" t="e">
        <f t="shared" si="98"/>
        <v>#N/A</v>
      </c>
      <c r="Z67" s="375"/>
      <c r="AA67" s="371" t="e">
        <f t="shared" si="99"/>
        <v>#N/A</v>
      </c>
      <c r="AB67" s="371" t="e">
        <f t="shared" si="100"/>
        <v>#N/A</v>
      </c>
      <c r="AC67" s="371">
        <v>0</v>
      </c>
      <c r="AD67" s="370">
        <v>0</v>
      </c>
      <c r="AE67" s="370">
        <v>0</v>
      </c>
      <c r="AF67" s="376">
        <v>0</v>
      </c>
      <c r="AG67" s="371" t="e">
        <f t="shared" si="101"/>
        <v>#N/A</v>
      </c>
      <c r="AH67" s="371" t="e">
        <f t="shared" si="102"/>
        <v>#N/A</v>
      </c>
      <c r="AI67" s="371"/>
    </row>
    <row r="68" spans="1:35" hidden="1">
      <c r="A68" s="344"/>
      <c r="B68" s="364">
        <v>21</v>
      </c>
      <c r="C68" s="365"/>
      <c r="D68" s="366"/>
      <c r="E68" s="367">
        <v>15</v>
      </c>
      <c r="F68" s="368"/>
      <c r="G68" s="369">
        <f t="shared" si="86"/>
        <v>0</v>
      </c>
      <c r="H68" s="370">
        <v>0</v>
      </c>
      <c r="I68" s="370">
        <f t="shared" si="87"/>
        <v>0</v>
      </c>
      <c r="J68" s="370">
        <v>0</v>
      </c>
      <c r="K68" s="370">
        <v>0</v>
      </c>
      <c r="L68" s="370">
        <v>0</v>
      </c>
      <c r="M68" s="370">
        <v>0</v>
      </c>
      <c r="N68" s="371">
        <f t="shared" si="88"/>
        <v>0</v>
      </c>
      <c r="O68" s="372"/>
      <c r="P68" s="373">
        <f t="shared" si="89"/>
        <v>0</v>
      </c>
      <c r="Q68" s="373">
        <f t="shared" si="90"/>
        <v>0</v>
      </c>
      <c r="R68" s="373" t="e">
        <f t="shared" si="91"/>
        <v>#N/A</v>
      </c>
      <c r="S68" s="373" t="e">
        <f t="shared" si="92"/>
        <v>#N/A</v>
      </c>
      <c r="T68" s="374" t="e">
        <f t="shared" si="93"/>
        <v>#N/A</v>
      </c>
      <c r="U68" s="373" t="e">
        <f t="shared" si="94"/>
        <v>#N/A</v>
      </c>
      <c r="V68" s="373" t="e">
        <f t="shared" si="95"/>
        <v>#N/A</v>
      </c>
      <c r="W68" s="373" t="e">
        <f t="shared" si="96"/>
        <v>#N/A</v>
      </c>
      <c r="X68" s="373" t="e">
        <f t="shared" si="97"/>
        <v>#N/A</v>
      </c>
      <c r="Y68" s="373" t="e">
        <f t="shared" si="98"/>
        <v>#N/A</v>
      </c>
      <c r="Z68" s="375"/>
      <c r="AA68" s="371" t="e">
        <f t="shared" si="99"/>
        <v>#N/A</v>
      </c>
      <c r="AB68" s="371" t="e">
        <f t="shared" si="100"/>
        <v>#N/A</v>
      </c>
      <c r="AC68" s="371">
        <v>0</v>
      </c>
      <c r="AD68" s="370">
        <v>0</v>
      </c>
      <c r="AE68" s="370">
        <v>0</v>
      </c>
      <c r="AF68" s="376">
        <v>0</v>
      </c>
      <c r="AG68" s="371" t="e">
        <f t="shared" si="101"/>
        <v>#N/A</v>
      </c>
      <c r="AH68" s="371" t="e">
        <f t="shared" si="102"/>
        <v>#N/A</v>
      </c>
      <c r="AI68" s="371"/>
    </row>
    <row r="69" spans="1:35" hidden="1">
      <c r="A69" s="344"/>
      <c r="B69" s="364"/>
      <c r="C69" s="365"/>
      <c r="D69" s="366"/>
      <c r="E69" s="367"/>
      <c r="F69" s="368"/>
      <c r="G69" s="369"/>
      <c r="H69" s="370"/>
      <c r="I69" s="370"/>
      <c r="J69" s="370"/>
      <c r="K69" s="370"/>
      <c r="L69" s="370"/>
      <c r="M69" s="370"/>
      <c r="N69" s="371"/>
      <c r="O69" s="372"/>
      <c r="P69" s="373"/>
      <c r="Q69" s="373"/>
      <c r="R69" s="373"/>
      <c r="S69" s="373"/>
      <c r="T69" s="374"/>
      <c r="U69" s="373"/>
      <c r="V69" s="373"/>
      <c r="W69" s="373"/>
      <c r="X69" s="373"/>
      <c r="Y69" s="373"/>
      <c r="Z69" s="375"/>
      <c r="AA69" s="371"/>
      <c r="AB69" s="371"/>
      <c r="AC69" s="371"/>
      <c r="AD69" s="370"/>
      <c r="AE69" s="370"/>
      <c r="AF69" s="376"/>
      <c r="AG69" s="371"/>
      <c r="AH69" s="371"/>
      <c r="AI69" s="371"/>
    </row>
    <row r="70" spans="1:35" hidden="1">
      <c r="A70" s="344"/>
      <c r="B70" s="377"/>
      <c r="C70" s="378"/>
      <c r="D70" s="378"/>
      <c r="E70" s="377"/>
      <c r="F70" s="379"/>
      <c r="G70" s="380"/>
      <c r="H70" s="381"/>
      <c r="I70" s="381"/>
      <c r="J70" s="381"/>
      <c r="K70" s="381"/>
      <c r="L70" s="381"/>
      <c r="M70" s="381"/>
      <c r="N70" s="381"/>
      <c r="O70" s="372"/>
      <c r="P70" s="382"/>
      <c r="Q70" s="383"/>
      <c r="R70" s="383"/>
      <c r="S70" s="383"/>
      <c r="T70" s="384"/>
      <c r="U70" s="383"/>
      <c r="V70" s="383"/>
      <c r="W70" s="383"/>
      <c r="X70" s="383"/>
      <c r="Y70" s="383"/>
      <c r="Z70" s="385"/>
      <c r="AA70" s="381"/>
      <c r="AB70" s="381"/>
      <c r="AC70" s="381"/>
      <c r="AD70" s="381"/>
      <c r="AE70" s="381"/>
      <c r="AF70" s="381"/>
      <c r="AG70" s="381"/>
      <c r="AH70" s="386"/>
      <c r="AI70" s="386"/>
    </row>
    <row r="71" spans="1:35" hidden="1">
      <c r="A71" s="344"/>
      <c r="B71" s="387"/>
      <c r="C71" s="387"/>
      <c r="D71" s="387"/>
      <c r="E71" s="388"/>
      <c r="F71" s="387"/>
      <c r="G71" s="389"/>
      <c r="H71" s="389"/>
      <c r="I71" s="389"/>
      <c r="J71" s="389"/>
      <c r="K71" s="389"/>
      <c r="L71" s="389"/>
      <c r="M71" s="389"/>
      <c r="N71" s="389"/>
      <c r="O71" s="390"/>
      <c r="P71" s="391"/>
      <c r="Q71" s="392"/>
      <c r="R71" s="392"/>
      <c r="S71" s="392"/>
      <c r="T71" s="392"/>
      <c r="U71" s="392"/>
      <c r="V71" s="392"/>
      <c r="W71" s="392"/>
      <c r="X71" s="392"/>
      <c r="Y71" s="392"/>
      <c r="Z71" s="392"/>
      <c r="AA71" s="392"/>
      <c r="AB71" s="392"/>
      <c r="AC71" s="392"/>
      <c r="AD71" s="392"/>
      <c r="AE71" s="392"/>
      <c r="AF71" s="392"/>
      <c r="AG71" s="392"/>
      <c r="AH71" s="392"/>
      <c r="AI71" s="392"/>
    </row>
    <row r="72" spans="1:35" ht="12.75" hidden="1" thickBot="1">
      <c r="A72" s="344"/>
      <c r="B72" s="685" t="s">
        <v>71</v>
      </c>
      <c r="C72" s="686"/>
      <c r="D72" s="686"/>
      <c r="E72" s="686"/>
      <c r="F72" s="687"/>
      <c r="G72" s="393">
        <f t="shared" ref="G72:N72" si="103">SUM(G48:G71)</f>
        <v>9999</v>
      </c>
      <c r="H72" s="393">
        <f t="shared" si="103"/>
        <v>0</v>
      </c>
      <c r="I72" s="393">
        <f t="shared" si="103"/>
        <v>0</v>
      </c>
      <c r="J72" s="393">
        <f t="shared" si="103"/>
        <v>0</v>
      </c>
      <c r="K72" s="393">
        <f t="shared" si="103"/>
        <v>0</v>
      </c>
      <c r="L72" s="393">
        <f t="shared" si="103"/>
        <v>0</v>
      </c>
      <c r="M72" s="393">
        <f t="shared" si="103"/>
        <v>0</v>
      </c>
      <c r="N72" s="393">
        <f t="shared" si="103"/>
        <v>9999</v>
      </c>
      <c r="O72" s="394"/>
      <c r="P72" s="395">
        <f t="shared" ref="P72:Y72" si="104">SUM(P48:P71)</f>
        <v>0</v>
      </c>
      <c r="Q72" s="395">
        <f t="shared" si="104"/>
        <v>9999</v>
      </c>
      <c r="R72" s="395" t="e">
        <f t="shared" si="104"/>
        <v>#N/A</v>
      </c>
      <c r="S72" s="395" t="e">
        <f t="shared" si="104"/>
        <v>#N/A</v>
      </c>
      <c r="T72" s="395" t="e">
        <f t="shared" si="104"/>
        <v>#N/A</v>
      </c>
      <c r="U72" s="395" t="e">
        <f t="shared" si="104"/>
        <v>#N/A</v>
      </c>
      <c r="V72" s="395" t="e">
        <f t="shared" si="104"/>
        <v>#N/A</v>
      </c>
      <c r="W72" s="395" t="e">
        <f t="shared" si="104"/>
        <v>#N/A</v>
      </c>
      <c r="X72" s="395" t="e">
        <f t="shared" si="104"/>
        <v>#N/A</v>
      </c>
      <c r="Y72" s="395" t="e">
        <f t="shared" si="104"/>
        <v>#N/A</v>
      </c>
      <c r="Z72" s="394"/>
      <c r="AA72" s="393" t="e">
        <f t="shared" ref="AA72:AH72" si="105">SUM(AA48:AA71)</f>
        <v>#N/A</v>
      </c>
      <c r="AB72" s="393" t="e">
        <f t="shared" si="105"/>
        <v>#N/A</v>
      </c>
      <c r="AC72" s="393">
        <f t="shared" si="105"/>
        <v>0</v>
      </c>
      <c r="AD72" s="393">
        <f t="shared" si="105"/>
        <v>0</v>
      </c>
      <c r="AE72" s="393">
        <f t="shared" si="105"/>
        <v>0</v>
      </c>
      <c r="AF72" s="393">
        <f t="shared" si="105"/>
        <v>0</v>
      </c>
      <c r="AG72" s="393" t="e">
        <f t="shared" si="105"/>
        <v>#N/A</v>
      </c>
      <c r="AH72" s="393" t="e">
        <f t="shared" si="105"/>
        <v>#N/A</v>
      </c>
      <c r="AI72" s="393"/>
    </row>
    <row r="73" spans="1:35" ht="12.75" hidden="1" thickTop="1"/>
  </sheetData>
  <mergeCells count="12">
    <mergeCell ref="B72:F72"/>
    <mergeCell ref="B2:AH2"/>
    <mergeCell ref="B3:AH3"/>
    <mergeCell ref="G4:N4"/>
    <mergeCell ref="R4:W4"/>
    <mergeCell ref="AB4:AG4"/>
    <mergeCell ref="B34:F34"/>
    <mergeCell ref="B42:AH42"/>
    <mergeCell ref="B43:AH43"/>
    <mergeCell ref="G44:N44"/>
    <mergeCell ref="R44:W44"/>
    <mergeCell ref="AB44:AG44"/>
  </mergeCells>
  <pageMargins left="0" right="0.23622047244094491" top="0" bottom="0" header="0.31496062992125984" footer="0.31496062992125984"/>
  <pageSetup paperSize="5" scale="6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9"/>
  <sheetViews>
    <sheetView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1" style="7" bestFit="1" customWidth="1"/>
    <col min="4" max="4" width="31.5703125" style="7" customWidth="1"/>
    <col min="5" max="5" width="6.5703125" style="7" customWidth="1"/>
    <col min="6" max="6" width="10" style="7" customWidth="1"/>
    <col min="7" max="7" width="13" style="7" bestFit="1" customWidth="1"/>
    <col min="8" max="8" width="11.85546875" style="7" hidden="1" customWidth="1"/>
    <col min="9" max="9" width="12.140625" style="7" hidden="1" customWidth="1"/>
    <col min="10" max="10" width="11.28515625" style="7" bestFit="1" customWidth="1"/>
    <col min="11" max="11" width="7.85546875" style="7" bestFit="1" customWidth="1"/>
    <col min="12" max="12" width="12.7109375" style="7" hidden="1" customWidth="1"/>
    <col min="13" max="13" width="10.85546875" style="7" hidden="1" customWidth="1"/>
    <col min="14" max="14" width="14.570312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3.140625" style="7" hidden="1" customWidth="1"/>
    <col min="27" max="27" width="10.28515625" style="7" customWidth="1"/>
    <col min="28" max="28" width="8.5703125" style="7" bestFit="1" customWidth="1"/>
    <col min="29" max="29" width="11.28515625" style="7" hidden="1" customWidth="1"/>
    <col min="30" max="31" width="10.42578125" style="7" hidden="1" customWidth="1"/>
    <col min="32" max="32" width="10.5703125" style="7" bestFit="1" customWidth="1"/>
    <col min="33" max="33" width="11.140625" style="7" customWidth="1"/>
    <col min="34" max="34" width="14.42578125" style="7" bestFit="1" customWidth="1"/>
    <col min="35" max="35" width="34.28515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279"/>
      <c r="AJ2" s="7"/>
    </row>
    <row r="3" spans="1:38" s="140" customFormat="1">
      <c r="A3" s="7"/>
      <c r="B3" s="662" t="s">
        <v>485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280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483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397" t="s">
        <v>291</v>
      </c>
      <c r="D8" s="398" t="s">
        <v>292</v>
      </c>
      <c r="E8" s="399">
        <v>15</v>
      </c>
      <c r="F8" s="400">
        <v>115</v>
      </c>
      <c r="G8" s="405">
        <f>E8*F8</f>
        <v>1725</v>
      </c>
      <c r="H8" s="406"/>
      <c r="I8" s="406"/>
      <c r="J8" s="406">
        <v>0</v>
      </c>
      <c r="K8" s="406">
        <v>0</v>
      </c>
      <c r="L8" s="406">
        <v>0</v>
      </c>
      <c r="M8" s="406">
        <v>0</v>
      </c>
      <c r="N8" s="405">
        <f>SUM(G8:M8)</f>
        <v>1725</v>
      </c>
      <c r="O8" s="413"/>
      <c r="P8" s="405">
        <f>IF(F8=47.16,0,IF(F8&gt;47.16,K8*0.5,0))</f>
        <v>0</v>
      </c>
      <c r="Q8" s="405">
        <f>G8+H8+I8+L8+P8+J8</f>
        <v>1725</v>
      </c>
      <c r="R8" s="405">
        <f>VLOOKUP(Q8,Tarifa1,1)</f>
        <v>248.04</v>
      </c>
      <c r="S8" s="405">
        <f>Q8-R8</f>
        <v>1476.96</v>
      </c>
      <c r="T8" s="414">
        <f>VLOOKUP(Q8,Tarifa1,3)</f>
        <v>6.4000000000000001E-2</v>
      </c>
      <c r="U8" s="405">
        <f>S8*T8</f>
        <v>94.525440000000003</v>
      </c>
      <c r="V8" s="405">
        <f>VLOOKUP(Q8,Tarifa1,2)</f>
        <v>4.76</v>
      </c>
      <c r="W8" s="405">
        <f>U8+V8</f>
        <v>99.285440000000008</v>
      </c>
      <c r="X8" s="405">
        <f>VLOOKUP(Q8,Credito1,2)</f>
        <v>203.31</v>
      </c>
      <c r="Y8" s="405">
        <f>W8-X8</f>
        <v>-104.02455999999999</v>
      </c>
      <c r="Z8" s="410"/>
      <c r="AA8" s="441">
        <f>-IF(Y8&gt;0,0,Y8)</f>
        <v>104.02455999999999</v>
      </c>
      <c r="AB8" s="405">
        <f>IF(Y8&lt;0,0,Y8)</f>
        <v>0</v>
      </c>
      <c r="AC8" s="405">
        <v>0</v>
      </c>
      <c r="AD8" s="406">
        <v>0</v>
      </c>
      <c r="AE8" s="406">
        <v>0</v>
      </c>
      <c r="AF8" s="415">
        <v>0</v>
      </c>
      <c r="AG8" s="405">
        <f>SUM(AB8:AF8)</f>
        <v>0</v>
      </c>
      <c r="AH8" s="405">
        <f>N8+AA8-AG8</f>
        <v>1829.0245600000001</v>
      </c>
      <c r="AI8" s="405"/>
      <c r="AJ8" s="52"/>
      <c r="AK8" s="111">
        <v>41</v>
      </c>
      <c r="AL8" s="111" t="e">
        <f>#REF!-AK8</f>
        <v>#REF!</v>
      </c>
    </row>
    <row r="9" spans="1:38" s="140" customFormat="1" ht="30" customHeight="1">
      <c r="A9" s="7"/>
      <c r="B9" s="108">
        <v>2</v>
      </c>
      <c r="C9" s="397" t="s">
        <v>410</v>
      </c>
      <c r="D9" s="398" t="s">
        <v>104</v>
      </c>
      <c r="E9" s="399">
        <v>15</v>
      </c>
      <c r="F9" s="400">
        <v>85</v>
      </c>
      <c r="G9" s="405">
        <f>E9*F9</f>
        <v>1275</v>
      </c>
      <c r="H9" s="406"/>
      <c r="I9" s="406"/>
      <c r="J9" s="406">
        <v>0</v>
      </c>
      <c r="K9" s="406">
        <v>0</v>
      </c>
      <c r="L9" s="406">
        <v>0</v>
      </c>
      <c r="M9" s="406">
        <v>0</v>
      </c>
      <c r="N9" s="405">
        <f>SUM(G9:M9)</f>
        <v>1275</v>
      </c>
      <c r="O9" s="413"/>
      <c r="P9" s="405">
        <f>IF(F9=47.16,0,IF(F9&gt;47.16,K9*0.5,0))</f>
        <v>0</v>
      </c>
      <c r="Q9" s="405">
        <f>G9+H9+I9+L9+P9+J9</f>
        <v>1275</v>
      </c>
      <c r="R9" s="405">
        <f>VLOOKUP(Q9,Tarifa1,1)</f>
        <v>248.04</v>
      </c>
      <c r="S9" s="405">
        <f>Q9-R9</f>
        <v>1026.96</v>
      </c>
      <c r="T9" s="414">
        <f>VLOOKUP(Q9,Tarifa1,3)</f>
        <v>6.4000000000000001E-2</v>
      </c>
      <c r="U9" s="405">
        <f>S9*T9</f>
        <v>65.725440000000006</v>
      </c>
      <c r="V9" s="405">
        <f>VLOOKUP(Q9,Tarifa1,2)</f>
        <v>4.76</v>
      </c>
      <c r="W9" s="405">
        <f>U9+V9</f>
        <v>70.485440000000011</v>
      </c>
      <c r="X9" s="405">
        <f>VLOOKUP(Q9,Credito1,2)</f>
        <v>203.41499999999999</v>
      </c>
      <c r="Y9" s="405">
        <f>W9-X9</f>
        <v>-132.92955999999998</v>
      </c>
      <c r="Z9" s="410"/>
      <c r="AA9" s="441">
        <f>-IF(Y9&gt;0,0,Y9)</f>
        <v>132.92955999999998</v>
      </c>
      <c r="AB9" s="405">
        <f>IF(Y9&lt;0,0,Y9)</f>
        <v>0</v>
      </c>
      <c r="AC9" s="405">
        <v>0</v>
      </c>
      <c r="AD9" s="406">
        <v>0</v>
      </c>
      <c r="AE9" s="406">
        <v>0</v>
      </c>
      <c r="AF9" s="415">
        <v>0</v>
      </c>
      <c r="AG9" s="405">
        <f>SUM(AB9:AF9)</f>
        <v>0</v>
      </c>
      <c r="AH9" s="405">
        <f>N9+AA9-AG9</f>
        <v>1407.92956</v>
      </c>
      <c r="AI9" s="405"/>
      <c r="AJ9" s="52"/>
      <c r="AK9" s="111">
        <v>56</v>
      </c>
      <c r="AL9" s="111" t="e">
        <f>-AK9-#REF!</f>
        <v>#REF!</v>
      </c>
    </row>
    <row r="10" spans="1:38" s="140" customFormat="1" ht="30" customHeight="1">
      <c r="A10" s="7"/>
      <c r="B10" s="108">
        <v>3</v>
      </c>
      <c r="C10" s="397" t="s">
        <v>411</v>
      </c>
      <c r="D10" s="398" t="s">
        <v>412</v>
      </c>
      <c r="E10" s="399">
        <v>15</v>
      </c>
      <c r="F10" s="400">
        <v>130</v>
      </c>
      <c r="G10" s="405">
        <f>E10*F10</f>
        <v>1950</v>
      </c>
      <c r="H10" s="406"/>
      <c r="I10" s="406"/>
      <c r="J10" s="406">
        <v>0</v>
      </c>
      <c r="K10" s="406">
        <v>0</v>
      </c>
      <c r="L10" s="406">
        <v>0</v>
      </c>
      <c r="M10" s="406">
        <v>0</v>
      </c>
      <c r="N10" s="405">
        <f>SUM(G10:M10)</f>
        <v>1950</v>
      </c>
      <c r="O10" s="413"/>
      <c r="P10" s="405">
        <f>IF(F10=47.16,0,IF(F10&gt;47.16,K10*0.5,0))</f>
        <v>0</v>
      </c>
      <c r="Q10" s="405">
        <f>G10+H10+I10+L10+P10+J10</f>
        <v>1950</v>
      </c>
      <c r="R10" s="405">
        <f>VLOOKUP(Q10,Tarifa1,1)</f>
        <v>248.04</v>
      </c>
      <c r="S10" s="405">
        <f>Q10-R10</f>
        <v>1701.96</v>
      </c>
      <c r="T10" s="414">
        <f>VLOOKUP(Q10,Tarifa1,3)</f>
        <v>6.4000000000000001E-2</v>
      </c>
      <c r="U10" s="405">
        <f>S10*T10</f>
        <v>108.92544000000001</v>
      </c>
      <c r="V10" s="405">
        <f>VLOOKUP(Q10,Tarifa1,2)</f>
        <v>4.76</v>
      </c>
      <c r="W10" s="405">
        <f>U10+V10</f>
        <v>113.68544000000001</v>
      </c>
      <c r="X10" s="405">
        <f>VLOOKUP(Q10,Credito1,2)</f>
        <v>191.23</v>
      </c>
      <c r="Y10" s="405">
        <f>W10-X10</f>
        <v>-77.544559999999976</v>
      </c>
      <c r="Z10" s="410"/>
      <c r="AA10" s="441">
        <f>-IF(Y10&gt;0,0,Y10)</f>
        <v>77.544559999999976</v>
      </c>
      <c r="AB10" s="405">
        <f>IF(Y10&lt;0,0,Y10)</f>
        <v>0</v>
      </c>
      <c r="AC10" s="405">
        <v>0</v>
      </c>
      <c r="AD10" s="406">
        <v>0</v>
      </c>
      <c r="AE10" s="406">
        <v>0</v>
      </c>
      <c r="AF10" s="415">
        <v>0</v>
      </c>
      <c r="AG10" s="405">
        <f>SUM(AB10:AF10)</f>
        <v>0</v>
      </c>
      <c r="AH10" s="405">
        <f>N10+AA10-AG10</f>
        <v>2027.54456</v>
      </c>
      <c r="AI10" s="405"/>
      <c r="AJ10" s="52"/>
      <c r="AK10" s="111">
        <v>57</v>
      </c>
      <c r="AL10" s="111" t="e">
        <f>-AK10-#REF!</f>
        <v>#REF!</v>
      </c>
    </row>
    <row r="11" spans="1:38" s="140" customFormat="1" ht="30" customHeight="1">
      <c r="A11" s="7"/>
      <c r="B11" s="108">
        <v>4</v>
      </c>
      <c r="C11" s="397" t="s">
        <v>450</v>
      </c>
      <c r="D11" s="398" t="s">
        <v>451</v>
      </c>
      <c r="E11" s="399">
        <v>15</v>
      </c>
      <c r="F11" s="400">
        <v>120.92</v>
      </c>
      <c r="G11" s="405">
        <f t="shared" ref="G11:G12" si="0">E11*F11</f>
        <v>1813.8</v>
      </c>
      <c r="H11" s="406"/>
      <c r="I11" s="406"/>
      <c r="J11" s="406">
        <v>0</v>
      </c>
      <c r="K11" s="406">
        <v>0</v>
      </c>
      <c r="L11" s="406">
        <v>0</v>
      </c>
      <c r="M11" s="406">
        <v>0</v>
      </c>
      <c r="N11" s="405">
        <f t="shared" ref="N11:N12" si="1">SUM(G11:M11)</f>
        <v>1813.8</v>
      </c>
      <c r="O11" s="413"/>
      <c r="P11" s="405">
        <f t="shared" ref="P11:P12" si="2">IF(F11=47.16,0,IF(F11&gt;47.16,K11*0.5,0))</f>
        <v>0</v>
      </c>
      <c r="Q11" s="405">
        <f t="shared" ref="Q11:Q12" si="3">G11+H11+I11+L11+P11+J11</f>
        <v>1813.8</v>
      </c>
      <c r="R11" s="405">
        <f t="shared" ref="R11:R12" si="4">VLOOKUP(Q11,Tarifa1,1)</f>
        <v>248.04</v>
      </c>
      <c r="S11" s="405">
        <f t="shared" ref="S11:S12" si="5">Q11-R11</f>
        <v>1565.76</v>
      </c>
      <c r="T11" s="414">
        <f t="shared" ref="T11:T12" si="6">VLOOKUP(Q11,Tarifa1,3)</f>
        <v>6.4000000000000001E-2</v>
      </c>
      <c r="U11" s="405">
        <f t="shared" ref="U11:U12" si="7">S11*T11</f>
        <v>100.20864</v>
      </c>
      <c r="V11" s="405">
        <f t="shared" ref="V11:V12" si="8">VLOOKUP(Q11,Tarifa1,2)</f>
        <v>4.76</v>
      </c>
      <c r="W11" s="405">
        <f t="shared" ref="W11:W12" si="9">U11+V11</f>
        <v>104.96864000000001</v>
      </c>
      <c r="X11" s="405">
        <f t="shared" ref="X11:X12" si="10">VLOOKUP(Q11,Credito1,2)</f>
        <v>191.23</v>
      </c>
      <c r="Y11" s="405">
        <f t="shared" ref="Y11:Y12" si="11">W11-X11</f>
        <v>-86.261359999999982</v>
      </c>
      <c r="Z11" s="410"/>
      <c r="AA11" s="441">
        <f t="shared" ref="AA11:AA12" si="12">-IF(Y11&gt;0,0,Y11)</f>
        <v>86.261359999999982</v>
      </c>
      <c r="AB11" s="405">
        <f t="shared" ref="AB11:AB12" si="13">IF(Y11&lt;0,0,Y11)</f>
        <v>0</v>
      </c>
      <c r="AC11" s="405">
        <v>0</v>
      </c>
      <c r="AD11" s="406">
        <v>0</v>
      </c>
      <c r="AE11" s="406">
        <v>0</v>
      </c>
      <c r="AF11" s="415">
        <v>0</v>
      </c>
      <c r="AG11" s="405">
        <f t="shared" ref="AG11:AG12" si="14">SUM(AB11:AF11)</f>
        <v>0</v>
      </c>
      <c r="AH11" s="405">
        <f t="shared" ref="AH11:AH12" si="15">N11+AA11-AG11</f>
        <v>1900.0613599999999</v>
      </c>
      <c r="AI11" s="405"/>
      <c r="AJ11" s="52"/>
      <c r="AK11" s="111">
        <v>58</v>
      </c>
      <c r="AL11" s="111">
        <f>-AK11-AA8</f>
        <v>-162.02456000000001</v>
      </c>
    </row>
    <row r="12" spans="1:38" s="140" customFormat="1" ht="30" customHeight="1">
      <c r="A12" s="7"/>
      <c r="B12" s="108">
        <v>5</v>
      </c>
      <c r="C12" s="397" t="s">
        <v>416</v>
      </c>
      <c r="D12" s="398" t="s">
        <v>451</v>
      </c>
      <c r="E12" s="399">
        <v>15</v>
      </c>
      <c r="F12" s="400">
        <v>120.92</v>
      </c>
      <c r="G12" s="405">
        <f t="shared" si="0"/>
        <v>1813.8</v>
      </c>
      <c r="H12" s="406"/>
      <c r="I12" s="406"/>
      <c r="J12" s="406">
        <v>0</v>
      </c>
      <c r="K12" s="406">
        <v>0</v>
      </c>
      <c r="L12" s="406">
        <v>0</v>
      </c>
      <c r="M12" s="406">
        <v>0</v>
      </c>
      <c r="N12" s="405">
        <f t="shared" si="1"/>
        <v>1813.8</v>
      </c>
      <c r="O12" s="413"/>
      <c r="P12" s="405">
        <f t="shared" si="2"/>
        <v>0</v>
      </c>
      <c r="Q12" s="405">
        <f t="shared" si="3"/>
        <v>1813.8</v>
      </c>
      <c r="R12" s="405">
        <f t="shared" si="4"/>
        <v>248.04</v>
      </c>
      <c r="S12" s="405">
        <f t="shared" si="5"/>
        <v>1565.76</v>
      </c>
      <c r="T12" s="414">
        <f t="shared" si="6"/>
        <v>6.4000000000000001E-2</v>
      </c>
      <c r="U12" s="405">
        <f t="shared" si="7"/>
        <v>100.20864</v>
      </c>
      <c r="V12" s="405">
        <f t="shared" si="8"/>
        <v>4.76</v>
      </c>
      <c r="W12" s="405">
        <f t="shared" si="9"/>
        <v>104.96864000000001</v>
      </c>
      <c r="X12" s="405">
        <f t="shared" si="10"/>
        <v>191.23</v>
      </c>
      <c r="Y12" s="405">
        <f t="shared" si="11"/>
        <v>-86.261359999999982</v>
      </c>
      <c r="Z12" s="410"/>
      <c r="AA12" s="441">
        <f t="shared" si="12"/>
        <v>86.261359999999982</v>
      </c>
      <c r="AB12" s="405">
        <f t="shared" si="13"/>
        <v>0</v>
      </c>
      <c r="AC12" s="405">
        <v>0</v>
      </c>
      <c r="AD12" s="406">
        <v>0</v>
      </c>
      <c r="AE12" s="406">
        <v>0</v>
      </c>
      <c r="AF12" s="415">
        <v>0</v>
      </c>
      <c r="AG12" s="405">
        <f t="shared" si="14"/>
        <v>0</v>
      </c>
      <c r="AH12" s="405">
        <f t="shared" si="15"/>
        <v>1900.0613599999999</v>
      </c>
      <c r="AI12" s="405"/>
      <c r="AJ12" s="52"/>
      <c r="AK12" s="257"/>
      <c r="AL12" s="257"/>
    </row>
    <row r="13" spans="1:38" s="140" customFormat="1" ht="30" hidden="1" customHeight="1">
      <c r="A13" s="7"/>
      <c r="B13" s="108">
        <v>6</v>
      </c>
      <c r="AI13" s="111"/>
      <c r="AJ13" s="52"/>
      <c r="AK13" s="257"/>
      <c r="AL13" s="257"/>
    </row>
    <row r="14" spans="1:38" s="140" customFormat="1" ht="30" hidden="1" customHeight="1">
      <c r="A14" s="7"/>
      <c r="B14" s="108">
        <v>7</v>
      </c>
      <c r="C14" s="263"/>
      <c r="D14" s="268"/>
      <c r="E14" s="264"/>
      <c r="F14" s="265"/>
      <c r="G14" s="266"/>
      <c r="H14" s="267"/>
      <c r="I14" s="267"/>
      <c r="J14" s="267"/>
      <c r="K14" s="267"/>
      <c r="L14" s="267"/>
      <c r="M14" s="267"/>
      <c r="N14" s="266"/>
      <c r="O14" s="273"/>
      <c r="P14" s="266"/>
      <c r="Q14" s="266"/>
      <c r="R14" s="266"/>
      <c r="S14" s="266"/>
      <c r="T14" s="274"/>
      <c r="U14" s="266"/>
      <c r="V14" s="266"/>
      <c r="W14" s="266"/>
      <c r="X14" s="266"/>
      <c r="Y14" s="266"/>
      <c r="Z14" s="269"/>
      <c r="AA14" s="277"/>
      <c r="AB14" s="266"/>
      <c r="AC14" s="266"/>
      <c r="AD14" s="267"/>
      <c r="AE14" s="267"/>
      <c r="AF14" s="275"/>
      <c r="AG14" s="266"/>
      <c r="AH14" s="266"/>
      <c r="AI14" s="111"/>
      <c r="AJ14" s="52"/>
      <c r="AK14" s="257"/>
      <c r="AL14" s="257"/>
    </row>
    <row r="15" spans="1:38" s="140" customFormat="1" ht="30" hidden="1" customHeight="1">
      <c r="A15" s="7"/>
      <c r="B15" s="108">
        <v>8</v>
      </c>
      <c r="C15" s="263"/>
      <c r="D15" s="268"/>
      <c r="E15" s="264"/>
      <c r="F15" s="265"/>
      <c r="G15" s="266"/>
      <c r="H15" s="267"/>
      <c r="I15" s="267"/>
      <c r="J15" s="267"/>
      <c r="K15" s="267"/>
      <c r="L15" s="267"/>
      <c r="M15" s="267"/>
      <c r="N15" s="266"/>
      <c r="O15" s="273"/>
      <c r="P15" s="266"/>
      <c r="Q15" s="266"/>
      <c r="R15" s="266"/>
      <c r="S15" s="266"/>
      <c r="T15" s="274"/>
      <c r="U15" s="266"/>
      <c r="V15" s="266"/>
      <c r="W15" s="266"/>
      <c r="X15" s="266"/>
      <c r="Y15" s="266"/>
      <c r="Z15" s="269"/>
      <c r="AA15" s="277"/>
      <c r="AB15" s="266"/>
      <c r="AC15" s="266"/>
      <c r="AD15" s="267"/>
      <c r="AE15" s="267"/>
      <c r="AF15" s="275"/>
      <c r="AG15" s="266"/>
      <c r="AH15" s="266"/>
      <c r="AI15" s="111"/>
      <c r="AJ15" s="52"/>
      <c r="AK15" s="257"/>
      <c r="AL15" s="257"/>
    </row>
    <row r="16" spans="1:38" s="140" customFormat="1" ht="30" hidden="1" customHeight="1">
      <c r="A16" s="7"/>
      <c r="B16" s="108">
        <v>9</v>
      </c>
      <c r="C16" s="263"/>
      <c r="D16" s="268"/>
      <c r="E16" s="264"/>
      <c r="F16" s="265"/>
      <c r="G16" s="266"/>
      <c r="H16" s="267"/>
      <c r="I16" s="267"/>
      <c r="J16" s="267"/>
      <c r="K16" s="267"/>
      <c r="L16" s="267"/>
      <c r="M16" s="267"/>
      <c r="N16" s="266"/>
      <c r="O16" s="273"/>
      <c r="P16" s="266"/>
      <c r="Q16" s="266"/>
      <c r="R16" s="266"/>
      <c r="S16" s="266"/>
      <c r="T16" s="274"/>
      <c r="U16" s="266"/>
      <c r="V16" s="266"/>
      <c r="W16" s="266"/>
      <c r="X16" s="266"/>
      <c r="Y16" s="266"/>
      <c r="Z16" s="269"/>
      <c r="AA16" s="277"/>
      <c r="AB16" s="266"/>
      <c r="AC16" s="266"/>
      <c r="AD16" s="267"/>
      <c r="AE16" s="267"/>
      <c r="AF16" s="275"/>
      <c r="AG16" s="266"/>
      <c r="AH16" s="266"/>
      <c r="AI16" s="111"/>
      <c r="AJ16" s="52"/>
      <c r="AK16" s="257"/>
      <c r="AL16" s="257"/>
    </row>
    <row r="17" spans="1:38" s="140" customFormat="1" ht="30" hidden="1" customHeight="1">
      <c r="A17" s="7"/>
      <c r="B17" s="108">
        <v>10</v>
      </c>
      <c r="C17" s="263"/>
      <c r="D17" s="268"/>
      <c r="E17" s="264"/>
      <c r="F17" s="265"/>
      <c r="G17" s="266"/>
      <c r="H17" s="267"/>
      <c r="I17" s="267"/>
      <c r="J17" s="267"/>
      <c r="K17" s="267"/>
      <c r="L17" s="267"/>
      <c r="M17" s="267"/>
      <c r="N17" s="266"/>
      <c r="O17" s="273"/>
      <c r="P17" s="266"/>
      <c r="Q17" s="266"/>
      <c r="R17" s="266"/>
      <c r="S17" s="266"/>
      <c r="T17" s="274"/>
      <c r="U17" s="266"/>
      <c r="V17" s="266"/>
      <c r="W17" s="266"/>
      <c r="X17" s="266"/>
      <c r="Y17" s="266"/>
      <c r="Z17" s="269"/>
      <c r="AA17" s="277"/>
      <c r="AB17" s="266"/>
      <c r="AC17" s="266"/>
      <c r="AD17" s="267"/>
      <c r="AE17" s="267"/>
      <c r="AF17" s="275"/>
      <c r="AG17" s="266"/>
      <c r="AH17" s="266"/>
      <c r="AI17" s="111"/>
      <c r="AJ17" s="52"/>
      <c r="AK17" s="257"/>
      <c r="AL17" s="257"/>
    </row>
    <row r="18" spans="1:38" s="140" customFormat="1" ht="30" hidden="1" customHeight="1">
      <c r="A18" s="7"/>
      <c r="B18" s="253">
        <v>11</v>
      </c>
      <c r="C18" s="270"/>
      <c r="D18" s="271"/>
      <c r="E18" s="272"/>
      <c r="F18" s="265"/>
      <c r="G18" s="266"/>
      <c r="H18" s="267"/>
      <c r="I18" s="267"/>
      <c r="J18" s="267"/>
      <c r="K18" s="267"/>
      <c r="L18" s="267"/>
      <c r="M18" s="267"/>
      <c r="N18" s="266"/>
      <c r="O18" s="273"/>
      <c r="P18" s="266"/>
      <c r="Q18" s="266"/>
      <c r="R18" s="266"/>
      <c r="S18" s="266"/>
      <c r="T18" s="274"/>
      <c r="U18" s="266"/>
      <c r="V18" s="266"/>
      <c r="W18" s="266"/>
      <c r="X18" s="266"/>
      <c r="Y18" s="266"/>
      <c r="Z18" s="269"/>
      <c r="AA18" s="277"/>
      <c r="AB18" s="266"/>
      <c r="AC18" s="266"/>
      <c r="AD18" s="267"/>
      <c r="AE18" s="267"/>
      <c r="AF18" s="275"/>
      <c r="AG18" s="266"/>
      <c r="AH18" s="266"/>
      <c r="AI18" s="278"/>
      <c r="AJ18" s="52"/>
      <c r="AK18" s="257"/>
      <c r="AL18" s="257"/>
    </row>
    <row r="19" spans="1:38" s="140" customFormat="1">
      <c r="A19" s="7"/>
      <c r="B19" s="100"/>
      <c r="C19" s="115"/>
      <c r="D19" s="115"/>
      <c r="E19" s="100"/>
      <c r="F19" s="101"/>
      <c r="G19" s="118"/>
      <c r="H19" s="102"/>
      <c r="I19" s="102"/>
      <c r="J19" s="102"/>
      <c r="K19" s="102"/>
      <c r="L19" s="102"/>
      <c r="M19" s="102"/>
      <c r="N19" s="102"/>
      <c r="O19" s="94"/>
      <c r="P19" s="103"/>
      <c r="Q19" s="104"/>
      <c r="R19" s="104"/>
      <c r="S19" s="104"/>
      <c r="T19" s="136"/>
      <c r="U19" s="104"/>
      <c r="V19" s="104"/>
      <c r="W19" s="104"/>
      <c r="X19" s="104"/>
      <c r="Y19" s="104"/>
      <c r="Z19" s="132"/>
      <c r="AA19" s="102"/>
      <c r="AB19" s="102"/>
      <c r="AC19" s="102"/>
      <c r="AD19" s="102"/>
      <c r="AE19" s="102"/>
      <c r="AF19" s="102"/>
      <c r="AG19" s="102"/>
      <c r="AH19" s="105"/>
      <c r="AI19" s="105"/>
      <c r="AJ19" s="7"/>
      <c r="AK19" s="105"/>
      <c r="AL19" s="105"/>
    </row>
    <row r="20" spans="1:38" s="140" customFormat="1">
      <c r="A20" s="7"/>
      <c r="B20" s="93"/>
      <c r="C20" s="93"/>
      <c r="D20" s="93"/>
      <c r="E20" s="92"/>
      <c r="F20" s="93"/>
      <c r="G20" s="95"/>
      <c r="H20" s="95"/>
      <c r="I20" s="95"/>
      <c r="J20" s="95"/>
      <c r="K20" s="95"/>
      <c r="L20" s="95"/>
      <c r="M20" s="95"/>
      <c r="N20" s="95"/>
      <c r="O20" s="96"/>
      <c r="P20" s="9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7"/>
      <c r="AK20" s="98"/>
      <c r="AL20" s="98"/>
    </row>
    <row r="21" spans="1:38" s="140" customFormat="1" ht="15.75" thickBot="1">
      <c r="A21" s="7"/>
      <c r="B21" s="634" t="s">
        <v>71</v>
      </c>
      <c r="C21" s="635"/>
      <c r="D21" s="635"/>
      <c r="E21" s="635"/>
      <c r="F21" s="636"/>
      <c r="G21" s="114">
        <f t="shared" ref="G21:N21" si="16">SUM(G8:G20)</f>
        <v>8577.6</v>
      </c>
      <c r="H21" s="114">
        <f t="shared" si="16"/>
        <v>0</v>
      </c>
      <c r="I21" s="114">
        <f t="shared" si="16"/>
        <v>0</v>
      </c>
      <c r="J21" s="114">
        <f t="shared" si="16"/>
        <v>0</v>
      </c>
      <c r="K21" s="114">
        <f t="shared" si="16"/>
        <v>0</v>
      </c>
      <c r="L21" s="114">
        <f t="shared" si="16"/>
        <v>0</v>
      </c>
      <c r="M21" s="114">
        <f t="shared" si="16"/>
        <v>0</v>
      </c>
      <c r="N21" s="114">
        <f t="shared" si="16"/>
        <v>8577.6</v>
      </c>
      <c r="O21" s="133"/>
      <c r="P21" s="135">
        <f t="shared" ref="P21:Y21" si="17">SUM(P8:P20)</f>
        <v>0</v>
      </c>
      <c r="Q21" s="135">
        <f t="shared" si="17"/>
        <v>8577.6</v>
      </c>
      <c r="R21" s="135">
        <f t="shared" si="17"/>
        <v>1240.2</v>
      </c>
      <c r="S21" s="135">
        <f t="shared" si="17"/>
        <v>7337.4000000000005</v>
      </c>
      <c r="T21" s="135">
        <f t="shared" si="17"/>
        <v>0.32</v>
      </c>
      <c r="U21" s="135">
        <f t="shared" si="17"/>
        <v>469.59360000000004</v>
      </c>
      <c r="V21" s="135">
        <f t="shared" si="17"/>
        <v>23.799999999999997</v>
      </c>
      <c r="W21" s="135">
        <f t="shared" si="17"/>
        <v>493.39360000000005</v>
      </c>
      <c r="X21" s="135">
        <f t="shared" si="17"/>
        <v>980.41500000000008</v>
      </c>
      <c r="Y21" s="135">
        <f t="shared" si="17"/>
        <v>-487.02139999999991</v>
      </c>
      <c r="Z21" s="133"/>
      <c r="AA21" s="114">
        <v>355.5</v>
      </c>
      <c r="AB21" s="114">
        <f t="shared" ref="AB21:AH21" si="18">SUM(AB8:AB20)</f>
        <v>0</v>
      </c>
      <c r="AC21" s="114">
        <f t="shared" si="18"/>
        <v>0</v>
      </c>
      <c r="AD21" s="114">
        <f t="shared" si="18"/>
        <v>0</v>
      </c>
      <c r="AE21" s="114">
        <f t="shared" si="18"/>
        <v>0</v>
      </c>
      <c r="AF21" s="114">
        <f t="shared" si="18"/>
        <v>0</v>
      </c>
      <c r="AG21" s="114">
        <f t="shared" si="18"/>
        <v>0</v>
      </c>
      <c r="AH21" s="114">
        <f t="shared" si="18"/>
        <v>9064.6214</v>
      </c>
      <c r="AI21" s="114"/>
      <c r="AJ21" s="7"/>
      <c r="AK21" s="114">
        <f t="shared" ref="AK21:AL21" si="19">SUM(AK8:AK20)</f>
        <v>212</v>
      </c>
      <c r="AL21" s="114" t="e">
        <f t="shared" si="19"/>
        <v>#REF!</v>
      </c>
    </row>
    <row r="22" spans="1:38" s="140" customFormat="1" ht="13.5" thickTop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5" spans="1:38">
      <c r="C25" s="52"/>
      <c r="D25" s="52"/>
    </row>
    <row r="26" spans="1:38">
      <c r="C26" s="52"/>
      <c r="D26" s="52"/>
    </row>
    <row r="27" spans="1:38">
      <c r="C27" s="52"/>
      <c r="D27" s="52"/>
    </row>
    <row r="29" spans="1:38">
      <c r="C29" s="144"/>
      <c r="D29" s="144"/>
    </row>
  </sheetData>
  <mergeCells count="6">
    <mergeCell ref="B21:F21"/>
    <mergeCell ref="B2:AH2"/>
    <mergeCell ref="B3:AH3"/>
    <mergeCell ref="G4:N4"/>
    <mergeCell ref="R4:W4"/>
    <mergeCell ref="AB4:AG4"/>
  </mergeCells>
  <pageMargins left="0" right="0" top="0" bottom="0" header="0.31496062992125984" footer="0.31496062992125984"/>
  <pageSetup paperSize="5" scale="76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zoomScale="68" zoomScaleNormal="68" workbookViewId="0">
      <selection activeCell="B4" sqref="B4"/>
    </sheetView>
  </sheetViews>
  <sheetFormatPr baseColWidth="10" defaultRowHeight="12.75"/>
  <cols>
    <col min="1" max="1" width="2.42578125" customWidth="1"/>
    <col min="2" max="2" width="21" customWidth="1"/>
    <col min="3" max="3" width="64" customWidth="1"/>
    <col min="4" max="4" width="69.85546875" customWidth="1"/>
    <col min="5" max="5" width="25.140625" customWidth="1"/>
    <col min="6" max="6" width="89.140625" customWidth="1"/>
  </cols>
  <sheetData>
    <row r="1" spans="1:7">
      <c r="A1" s="344"/>
      <c r="B1" s="344"/>
      <c r="C1" s="344"/>
      <c r="D1" s="344"/>
      <c r="E1" s="344"/>
      <c r="F1" s="344"/>
      <c r="G1" s="345"/>
    </row>
    <row r="2" spans="1:7" ht="13.5" customHeight="1">
      <c r="A2" s="344"/>
      <c r="B2" s="688" t="s">
        <v>113</v>
      </c>
      <c r="C2" s="688"/>
      <c r="D2" s="688"/>
      <c r="E2" s="688"/>
      <c r="F2" s="688"/>
      <c r="G2" s="345"/>
    </row>
    <row r="3" spans="1:7" ht="15.75" customHeight="1">
      <c r="A3" s="344"/>
      <c r="B3" s="693" t="s">
        <v>690</v>
      </c>
      <c r="C3" s="693"/>
      <c r="D3" s="693"/>
      <c r="E3" s="693"/>
      <c r="F3" s="693"/>
      <c r="G3" s="345"/>
    </row>
    <row r="4" spans="1:7">
      <c r="A4" s="344"/>
      <c r="B4" s="348"/>
      <c r="C4" s="348"/>
      <c r="D4" s="348"/>
      <c r="E4" s="349" t="s">
        <v>9</v>
      </c>
      <c r="F4" s="349"/>
      <c r="G4" s="345"/>
    </row>
    <row r="5" spans="1:7">
      <c r="A5" s="344"/>
      <c r="B5" s="354" t="s">
        <v>42</v>
      </c>
      <c r="C5" s="354" t="s">
        <v>43</v>
      </c>
      <c r="D5" s="354"/>
      <c r="E5" s="354" t="s">
        <v>552</v>
      </c>
      <c r="F5" s="354" t="s">
        <v>110</v>
      </c>
      <c r="G5" s="345"/>
    </row>
    <row r="6" spans="1:7">
      <c r="A6" s="344"/>
      <c r="B6" s="357"/>
      <c r="C6" s="357"/>
      <c r="D6" s="357"/>
      <c r="E6" s="357"/>
      <c r="F6" s="357"/>
      <c r="G6" s="345"/>
    </row>
    <row r="7" spans="1:7" ht="15.75">
      <c r="A7" s="344"/>
      <c r="B7" s="292"/>
      <c r="C7" s="567" t="s">
        <v>623</v>
      </c>
      <c r="D7" s="567" t="s">
        <v>103</v>
      </c>
      <c r="E7" s="292"/>
      <c r="F7" s="362"/>
      <c r="G7" s="345"/>
    </row>
    <row r="8" spans="1:7" ht="39.950000000000003" customHeight="1">
      <c r="A8" s="344"/>
      <c r="B8" s="301">
        <v>1</v>
      </c>
      <c r="C8" s="151" t="s">
        <v>509</v>
      </c>
      <c r="D8" s="152" t="s">
        <v>510</v>
      </c>
      <c r="E8" s="282">
        <v>1000</v>
      </c>
      <c r="F8" s="371"/>
      <c r="G8" s="345"/>
    </row>
    <row r="9" spans="1:7" ht="39.950000000000003" customHeight="1">
      <c r="A9" s="344"/>
      <c r="B9" s="301">
        <v>2</v>
      </c>
      <c r="C9" s="151" t="s">
        <v>513</v>
      </c>
      <c r="D9" s="152" t="s">
        <v>514</v>
      </c>
      <c r="E9" s="282">
        <v>1000</v>
      </c>
      <c r="F9" s="371"/>
      <c r="G9" s="345"/>
    </row>
    <row r="10" spans="1:7" ht="39.950000000000003" customHeight="1">
      <c r="A10" s="344"/>
      <c r="B10" s="301">
        <v>3</v>
      </c>
      <c r="C10" s="603" t="s">
        <v>624</v>
      </c>
      <c r="D10" s="604" t="s">
        <v>625</v>
      </c>
      <c r="E10" s="282">
        <v>1000</v>
      </c>
      <c r="F10" s="371"/>
      <c r="G10" s="345"/>
    </row>
    <row r="11" spans="1:7" ht="39.950000000000003" customHeight="1">
      <c r="A11" s="344"/>
      <c r="B11" s="301"/>
      <c r="C11" s="605" t="s">
        <v>626</v>
      </c>
      <c r="D11" s="606"/>
      <c r="E11" s="282"/>
      <c r="F11" s="371"/>
      <c r="G11" s="345"/>
    </row>
    <row r="12" spans="1:7" ht="39.950000000000003" customHeight="1">
      <c r="A12" s="344"/>
      <c r="B12" s="301">
        <v>4</v>
      </c>
      <c r="C12" s="607" t="s">
        <v>502</v>
      </c>
      <c r="D12" s="608" t="s">
        <v>503</v>
      </c>
      <c r="E12" s="282">
        <v>1000</v>
      </c>
      <c r="F12" s="371"/>
      <c r="G12" s="345"/>
    </row>
    <row r="13" spans="1:7" ht="39.950000000000003" customHeight="1">
      <c r="A13" s="344"/>
      <c r="B13" s="301">
        <v>5</v>
      </c>
      <c r="C13" s="151" t="s">
        <v>504</v>
      </c>
      <c r="D13" s="152" t="s">
        <v>505</v>
      </c>
      <c r="E13" s="282">
        <v>1000</v>
      </c>
      <c r="F13" s="371"/>
      <c r="G13" s="345"/>
    </row>
    <row r="14" spans="1:7" ht="39.950000000000003" customHeight="1">
      <c r="A14" s="344"/>
      <c r="B14" s="301">
        <v>6</v>
      </c>
      <c r="C14" s="151" t="s">
        <v>506</v>
      </c>
      <c r="D14" s="152" t="s">
        <v>507</v>
      </c>
      <c r="E14" s="282">
        <v>1000</v>
      </c>
      <c r="F14" s="371"/>
      <c r="G14" s="345"/>
    </row>
    <row r="15" spans="1:7" ht="39.950000000000003" customHeight="1">
      <c r="A15" s="344"/>
      <c r="B15" s="301">
        <v>7</v>
      </c>
      <c r="C15" s="151" t="s">
        <v>508</v>
      </c>
      <c r="D15" s="152" t="s">
        <v>637</v>
      </c>
      <c r="E15" s="282">
        <v>1000</v>
      </c>
      <c r="F15" s="371"/>
      <c r="G15" s="345"/>
    </row>
    <row r="16" spans="1:7" ht="39.950000000000003" customHeight="1">
      <c r="A16" s="344"/>
      <c r="B16" s="301">
        <v>8</v>
      </c>
      <c r="C16" s="291" t="s">
        <v>498</v>
      </c>
      <c r="D16" s="569" t="s">
        <v>499</v>
      </c>
      <c r="E16" s="282">
        <v>1000</v>
      </c>
      <c r="F16" s="371"/>
      <c r="G16" s="345"/>
    </row>
    <row r="17" spans="1:7" ht="39.950000000000003" customHeight="1">
      <c r="A17" s="344"/>
      <c r="B17" s="301">
        <v>9</v>
      </c>
      <c r="C17" s="151" t="s">
        <v>511</v>
      </c>
      <c r="D17" s="152" t="s">
        <v>512</v>
      </c>
      <c r="E17" s="282">
        <v>1000</v>
      </c>
      <c r="F17" s="371"/>
      <c r="G17" s="345"/>
    </row>
    <row r="18" spans="1:7" ht="39.950000000000003" customHeight="1">
      <c r="A18" s="344"/>
      <c r="B18" s="301">
        <v>10</v>
      </c>
      <c r="C18" s="151" t="s">
        <v>500</v>
      </c>
      <c r="D18" s="152" t="s">
        <v>501</v>
      </c>
      <c r="E18" s="282">
        <v>1000</v>
      </c>
      <c r="F18" s="371"/>
      <c r="G18" s="345"/>
    </row>
    <row r="19" spans="1:7" ht="39.950000000000003" customHeight="1">
      <c r="A19" s="344"/>
      <c r="B19" s="301">
        <v>11</v>
      </c>
      <c r="C19" s="151" t="s">
        <v>515</v>
      </c>
      <c r="D19" s="152" t="s">
        <v>516</v>
      </c>
      <c r="E19" s="282">
        <v>1000</v>
      </c>
      <c r="F19" s="371"/>
      <c r="G19" s="345"/>
    </row>
    <row r="20" spans="1:7" ht="39.950000000000003" customHeight="1">
      <c r="A20" s="344"/>
      <c r="B20" s="301">
        <v>12</v>
      </c>
      <c r="C20" s="151" t="s">
        <v>517</v>
      </c>
      <c r="D20" s="152" t="s">
        <v>518</v>
      </c>
      <c r="E20" s="282">
        <v>1000</v>
      </c>
      <c r="F20" s="371"/>
      <c r="G20" s="345"/>
    </row>
    <row r="21" spans="1:7" ht="39.950000000000003" customHeight="1">
      <c r="A21" s="344"/>
      <c r="B21" s="301">
        <v>13</v>
      </c>
      <c r="C21" s="151" t="s">
        <v>519</v>
      </c>
      <c r="D21" s="152" t="s">
        <v>520</v>
      </c>
      <c r="E21" s="282">
        <v>1000</v>
      </c>
      <c r="F21" s="371"/>
      <c r="G21" s="345"/>
    </row>
    <row r="22" spans="1:7" ht="39.950000000000003" customHeight="1">
      <c r="A22" s="344"/>
      <c r="B22" s="301">
        <v>14</v>
      </c>
      <c r="C22" s="151" t="s">
        <v>521</v>
      </c>
      <c r="D22" s="152" t="s">
        <v>522</v>
      </c>
      <c r="E22" s="282">
        <v>1000</v>
      </c>
      <c r="F22" s="371"/>
      <c r="G22" s="345"/>
    </row>
    <row r="23" spans="1:7" ht="39.950000000000003" customHeight="1">
      <c r="A23" s="344"/>
      <c r="B23" s="301">
        <v>15</v>
      </c>
      <c r="C23" s="151" t="s">
        <v>523</v>
      </c>
      <c r="D23" s="152" t="s">
        <v>524</v>
      </c>
      <c r="E23" s="282">
        <v>1000</v>
      </c>
      <c r="F23" s="371"/>
      <c r="G23" s="345"/>
    </row>
    <row r="24" spans="1:7" ht="39.950000000000003" customHeight="1">
      <c r="A24" s="344"/>
      <c r="B24" s="301">
        <v>16</v>
      </c>
      <c r="C24" s="151" t="s">
        <v>525</v>
      </c>
      <c r="D24" s="152" t="s">
        <v>526</v>
      </c>
      <c r="E24" s="282">
        <v>1000</v>
      </c>
      <c r="F24" s="371"/>
      <c r="G24" s="345"/>
    </row>
    <row r="25" spans="1:7" ht="39.950000000000003" customHeight="1">
      <c r="A25" s="344"/>
      <c r="B25" s="301">
        <v>17</v>
      </c>
      <c r="C25" s="151" t="s">
        <v>527</v>
      </c>
      <c r="D25" s="152" t="s">
        <v>528</v>
      </c>
      <c r="E25" s="282">
        <v>1000</v>
      </c>
      <c r="F25" s="371"/>
      <c r="G25" s="345"/>
    </row>
    <row r="26" spans="1:7" ht="39.950000000000003" customHeight="1">
      <c r="A26" s="344"/>
      <c r="B26" s="301">
        <v>18</v>
      </c>
      <c r="C26" s="291" t="s">
        <v>656</v>
      </c>
      <c r="D26" s="569" t="s">
        <v>497</v>
      </c>
      <c r="E26" s="282">
        <v>1000</v>
      </c>
      <c r="F26" s="371"/>
      <c r="G26" s="345"/>
    </row>
    <row r="27" spans="1:7" ht="39.950000000000003" customHeight="1">
      <c r="A27" s="344"/>
      <c r="B27" s="301">
        <v>19</v>
      </c>
      <c r="C27" s="291" t="s">
        <v>638</v>
      </c>
      <c r="D27" s="569" t="s">
        <v>639</v>
      </c>
      <c r="E27" s="282">
        <v>1000</v>
      </c>
      <c r="F27" s="371"/>
      <c r="G27" s="345"/>
    </row>
    <row r="28" spans="1:7" ht="39.950000000000003" customHeight="1">
      <c r="A28" s="344"/>
      <c r="B28" s="301">
        <v>20</v>
      </c>
      <c r="C28" s="291" t="s">
        <v>640</v>
      </c>
      <c r="D28" s="569" t="s">
        <v>641</v>
      </c>
      <c r="E28" s="282">
        <v>1000</v>
      </c>
      <c r="F28" s="371"/>
      <c r="G28" s="345"/>
    </row>
    <row r="29" spans="1:7" ht="39.950000000000003" customHeight="1">
      <c r="A29" s="344"/>
      <c r="B29" s="301">
        <v>21</v>
      </c>
      <c r="C29" s="291" t="s">
        <v>642</v>
      </c>
      <c r="D29" s="569" t="s">
        <v>643</v>
      </c>
      <c r="E29" s="282">
        <v>1000</v>
      </c>
      <c r="F29" s="371"/>
      <c r="G29" s="345"/>
    </row>
    <row r="30" spans="1:7" ht="39.950000000000003" customHeight="1">
      <c r="A30" s="344"/>
      <c r="B30" s="301">
        <v>22</v>
      </c>
      <c r="C30" s="291" t="s">
        <v>644</v>
      </c>
      <c r="D30" s="569" t="s">
        <v>645</v>
      </c>
      <c r="E30" s="282">
        <v>1000</v>
      </c>
      <c r="F30" s="371"/>
      <c r="G30" s="345"/>
    </row>
    <row r="31" spans="1:7" ht="39.950000000000003" customHeight="1">
      <c r="A31" s="344"/>
      <c r="B31" s="301">
        <v>23</v>
      </c>
      <c r="C31" s="291" t="s">
        <v>646</v>
      </c>
      <c r="D31" s="569" t="s">
        <v>647</v>
      </c>
      <c r="E31" s="282">
        <v>1000</v>
      </c>
      <c r="F31" s="371"/>
      <c r="G31" s="345"/>
    </row>
    <row r="32" spans="1:7" ht="39.950000000000003" customHeight="1">
      <c r="A32" s="344"/>
      <c r="B32" s="301">
        <v>24</v>
      </c>
      <c r="C32" s="291" t="s">
        <v>648</v>
      </c>
      <c r="D32" s="569" t="s">
        <v>649</v>
      </c>
      <c r="E32" s="282">
        <v>1000</v>
      </c>
      <c r="F32" s="371"/>
      <c r="G32" s="345"/>
    </row>
    <row r="33" spans="1:7" ht="39.950000000000003" customHeight="1">
      <c r="A33" s="344"/>
      <c r="B33" s="301">
        <v>25</v>
      </c>
      <c r="C33" s="291" t="s">
        <v>495</v>
      </c>
      <c r="D33" s="569" t="s">
        <v>496</v>
      </c>
      <c r="E33" s="282">
        <v>1000</v>
      </c>
      <c r="F33" s="371"/>
      <c r="G33" s="345"/>
    </row>
    <row r="34" spans="1:7" ht="15" hidden="1">
      <c r="A34" s="344"/>
      <c r="B34" s="301"/>
      <c r="C34" s="151"/>
      <c r="D34" s="152"/>
      <c r="E34" s="282">
        <v>1000</v>
      </c>
      <c r="F34" s="371"/>
      <c r="G34" s="345"/>
    </row>
    <row r="35" spans="1:7" ht="15" hidden="1">
      <c r="A35" s="344"/>
      <c r="B35" s="301"/>
      <c r="C35" s="151"/>
      <c r="D35" s="152"/>
      <c r="E35" s="282">
        <v>1000</v>
      </c>
      <c r="F35" s="371"/>
      <c r="G35" s="345"/>
    </row>
    <row r="36" spans="1:7" ht="15" hidden="1">
      <c r="A36" s="344"/>
      <c r="B36" s="301"/>
      <c r="C36" s="151"/>
      <c r="D36" s="152"/>
      <c r="E36" s="282">
        <v>1000</v>
      </c>
      <c r="F36" s="371"/>
      <c r="G36" s="345"/>
    </row>
    <row r="37" spans="1:7" ht="15">
      <c r="A37" s="344"/>
      <c r="B37" s="303"/>
      <c r="C37" s="304"/>
      <c r="D37" s="304"/>
      <c r="E37" s="305"/>
      <c r="F37" s="386"/>
      <c r="G37" s="345"/>
    </row>
    <row r="38" spans="1:7" ht="15">
      <c r="A38" s="344"/>
      <c r="B38" s="312"/>
      <c r="C38" s="312"/>
      <c r="D38" s="312"/>
      <c r="E38" s="312"/>
      <c r="F38" s="392"/>
      <c r="G38" s="345"/>
    </row>
    <row r="39" spans="1:7" ht="25.5" customHeight="1">
      <c r="A39" s="344"/>
      <c r="B39" s="648" t="s">
        <v>71</v>
      </c>
      <c r="C39" s="649"/>
      <c r="D39" s="649"/>
      <c r="E39" s="570">
        <f>SUM(E8:E33)</f>
        <v>25000</v>
      </c>
      <c r="F39" s="504"/>
      <c r="G39" s="345"/>
    </row>
    <row r="40" spans="1:7" ht="15">
      <c r="A40" s="344"/>
      <c r="B40" s="323"/>
      <c r="C40" s="323"/>
      <c r="D40" s="323"/>
      <c r="E40" s="323"/>
      <c r="F40" s="344"/>
      <c r="G40" s="345"/>
    </row>
    <row r="41" spans="1:7" ht="15">
      <c r="A41" s="345"/>
      <c r="B41" s="568"/>
      <c r="C41" s="568"/>
      <c r="D41" s="568"/>
      <c r="E41" s="568"/>
      <c r="F41" s="345"/>
      <c r="G41" s="345"/>
    </row>
    <row r="42" spans="1:7" ht="15">
      <c r="B42" s="568"/>
      <c r="C42" s="568"/>
      <c r="D42" s="568"/>
      <c r="E42" s="568"/>
    </row>
    <row r="43" spans="1:7" ht="15">
      <c r="B43" s="568"/>
      <c r="C43" s="568"/>
      <c r="D43" s="568"/>
      <c r="E43" s="568"/>
    </row>
    <row r="44" spans="1:7" ht="15">
      <c r="B44" s="568"/>
      <c r="C44" s="568"/>
      <c r="D44" s="568"/>
      <c r="E44" s="568"/>
    </row>
    <row r="45" spans="1:7" ht="15">
      <c r="B45" s="568"/>
      <c r="C45" s="568"/>
      <c r="D45" s="568"/>
      <c r="E45" s="568"/>
    </row>
    <row r="46" spans="1:7" ht="15">
      <c r="B46" s="568"/>
      <c r="C46" s="568"/>
      <c r="D46" s="568"/>
      <c r="E46" s="568"/>
    </row>
    <row r="47" spans="1:7" ht="15">
      <c r="B47" s="568"/>
      <c r="C47" s="568"/>
      <c r="D47" s="568"/>
      <c r="E47" s="568"/>
    </row>
    <row r="48" spans="1:7" ht="15">
      <c r="B48" s="568"/>
      <c r="C48" s="568"/>
      <c r="D48" s="568"/>
      <c r="E48" s="568"/>
    </row>
  </sheetData>
  <mergeCells count="3">
    <mergeCell ref="B2:F2"/>
    <mergeCell ref="B3:F3"/>
    <mergeCell ref="B39:D39"/>
  </mergeCells>
  <pageMargins left="0.7" right="0.7" top="0.75" bottom="0.75" header="0.3" footer="0.3"/>
  <pageSetup paperSize="9" scale="41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B1:E8"/>
  <sheetViews>
    <sheetView tabSelected="1" workbookViewId="0">
      <selection activeCell="E8" sqref="E8"/>
    </sheetView>
  </sheetViews>
  <sheetFormatPr baseColWidth="10" defaultRowHeight="12.75"/>
  <cols>
    <col min="5" max="5" width="12.28515625" bestFit="1" customWidth="1"/>
  </cols>
  <sheetData>
    <row r="1" spans="2:5">
      <c r="C1" s="695" t="s">
        <v>664</v>
      </c>
      <c r="D1" s="695"/>
      <c r="E1" s="695"/>
    </row>
    <row r="2" spans="2:5">
      <c r="C2" s="695"/>
      <c r="D2" s="695"/>
      <c r="E2" s="695"/>
    </row>
    <row r="4" spans="2:5">
      <c r="B4" s="694" t="s">
        <v>652</v>
      </c>
      <c r="C4" s="694"/>
      <c r="D4" s="694"/>
      <c r="E4" s="602">
        <f>'  APOYOS MENSUALES ESCUELAS '!AH47</f>
        <v>39500</v>
      </c>
    </row>
    <row r="5" spans="2:5">
      <c r="B5" s="694" t="s">
        <v>653</v>
      </c>
      <c r="C5" s="694"/>
      <c r="D5" s="694"/>
      <c r="E5" s="602">
        <f>'APOYOS MENSUALES COMUNIDADES'!D34</f>
        <v>26733</v>
      </c>
    </row>
    <row r="6" spans="2:5">
      <c r="B6" s="694" t="s">
        <v>623</v>
      </c>
      <c r="C6" s="694"/>
      <c r="D6" s="694"/>
      <c r="E6" s="602">
        <f>'AGENTES MUNICIPALES'!E39</f>
        <v>25000</v>
      </c>
    </row>
    <row r="7" spans="2:5">
      <c r="B7" s="694" t="s">
        <v>654</v>
      </c>
      <c r="C7" s="694"/>
      <c r="D7" s="694"/>
      <c r="E7" s="602">
        <v>23260</v>
      </c>
    </row>
    <row r="8" spans="2:5">
      <c r="B8" s="600"/>
      <c r="C8" s="600"/>
      <c r="D8" s="601" t="s">
        <v>0</v>
      </c>
      <c r="E8" s="602">
        <f>SUM(E4:E7)</f>
        <v>114493</v>
      </c>
    </row>
  </sheetData>
  <mergeCells count="5">
    <mergeCell ref="B4:D4"/>
    <mergeCell ref="B5:D5"/>
    <mergeCell ref="B6:D6"/>
    <mergeCell ref="B7:D7"/>
    <mergeCell ref="C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1"/>
  <sheetViews>
    <sheetView zoomScale="54" zoomScaleNormal="54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7.42578125" style="7" customWidth="1"/>
    <col min="3" max="3" width="48.28515625" style="7" customWidth="1"/>
    <col min="4" max="4" width="25.7109375" style="7" customWidth="1"/>
    <col min="5" max="5" width="6.5703125" style="7" customWidth="1"/>
    <col min="6" max="6" width="10" style="7" customWidth="1"/>
    <col min="7" max="7" width="15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0.7109375" style="7" bestFit="1" customWidth="1"/>
    <col min="12" max="12" width="15.28515625" style="7" bestFit="1" customWidth="1"/>
    <col min="13" max="13" width="13.140625" style="7" customWidth="1"/>
    <col min="14" max="14" width="14.425781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3.85546875" style="159" bestFit="1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1.140625" style="159" customWidth="1"/>
    <col min="34" max="34" width="14.42578125" style="159" bestFit="1" customWidth="1"/>
    <col min="35" max="35" width="36.42578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1" spans="1:38" ht="15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4"/>
      <c r="AB1" s="324"/>
      <c r="AC1" s="324"/>
      <c r="AD1" s="324"/>
      <c r="AE1" s="324"/>
      <c r="AF1" s="324"/>
      <c r="AG1" s="324"/>
      <c r="AH1" s="324"/>
      <c r="AI1" s="323"/>
    </row>
    <row r="2" spans="1:38" s="140" customFormat="1" ht="15">
      <c r="A2" s="323"/>
      <c r="B2" s="651" t="s">
        <v>113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325"/>
      <c r="AJ2" s="7"/>
    </row>
    <row r="3" spans="1:38" s="140" customFormat="1" ht="15">
      <c r="A3" s="323"/>
      <c r="B3" s="652" t="str">
        <f>'  SEGURIDAD PUBLICA  '!B3:AH3</f>
        <v>NOMINA DEL 01 AL 15 DE NOVIEMBRE DE 2015</v>
      </c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652"/>
      <c r="Y3" s="652"/>
      <c r="Z3" s="652"/>
      <c r="AA3" s="652"/>
      <c r="AB3" s="652"/>
      <c r="AC3" s="652"/>
      <c r="AD3" s="652"/>
      <c r="AE3" s="652"/>
      <c r="AF3" s="652"/>
      <c r="AG3" s="652"/>
      <c r="AH3" s="652"/>
      <c r="AI3" s="326"/>
      <c r="AJ3" s="7"/>
    </row>
    <row r="4" spans="1:38" s="140" customFormat="1" ht="15.75">
      <c r="A4" s="323"/>
      <c r="B4" s="327"/>
      <c r="C4" s="327"/>
      <c r="D4" s="327"/>
      <c r="E4" s="328" t="s">
        <v>44</v>
      </c>
      <c r="F4" s="328" t="s">
        <v>9</v>
      </c>
      <c r="G4" s="648" t="s">
        <v>2</v>
      </c>
      <c r="H4" s="649"/>
      <c r="I4" s="649"/>
      <c r="J4" s="649"/>
      <c r="K4" s="649"/>
      <c r="L4" s="649"/>
      <c r="M4" s="649"/>
      <c r="N4" s="650"/>
      <c r="O4" s="329"/>
      <c r="P4" s="330" t="s">
        <v>49</v>
      </c>
      <c r="Q4" s="331"/>
      <c r="R4" s="653" t="s">
        <v>30</v>
      </c>
      <c r="S4" s="654"/>
      <c r="T4" s="654"/>
      <c r="U4" s="654"/>
      <c r="V4" s="654"/>
      <c r="W4" s="655"/>
      <c r="X4" s="330" t="s">
        <v>56</v>
      </c>
      <c r="Y4" s="330" t="s">
        <v>31</v>
      </c>
      <c r="Z4" s="332"/>
      <c r="AA4" s="333" t="s">
        <v>91</v>
      </c>
      <c r="AB4" s="656" t="s">
        <v>3</v>
      </c>
      <c r="AC4" s="657"/>
      <c r="AD4" s="657"/>
      <c r="AE4" s="657"/>
      <c r="AF4" s="657"/>
      <c r="AG4" s="658"/>
      <c r="AH4" s="333" t="s">
        <v>0</v>
      </c>
      <c r="AI4" s="328"/>
      <c r="AJ4" s="7"/>
      <c r="AK4" s="80" t="s">
        <v>31</v>
      </c>
      <c r="AL4" s="80"/>
    </row>
    <row r="5" spans="1:38" s="140" customFormat="1" ht="15.75">
      <c r="A5" s="323"/>
      <c r="B5" s="292" t="s">
        <v>42</v>
      </c>
      <c r="C5" s="292" t="s">
        <v>43</v>
      </c>
      <c r="D5" s="334" t="s">
        <v>103</v>
      </c>
      <c r="E5" s="335" t="s">
        <v>45</v>
      </c>
      <c r="F5" s="292" t="s">
        <v>46</v>
      </c>
      <c r="G5" s="328" t="s">
        <v>9</v>
      </c>
      <c r="H5" s="328" t="s">
        <v>47</v>
      </c>
      <c r="I5" s="328" t="s">
        <v>47</v>
      </c>
      <c r="J5" s="328" t="s">
        <v>76</v>
      </c>
      <c r="K5" s="328" t="s">
        <v>49</v>
      </c>
      <c r="L5" s="328" t="s">
        <v>51</v>
      </c>
      <c r="M5" s="328" t="s">
        <v>51</v>
      </c>
      <c r="N5" s="328" t="s">
        <v>54</v>
      </c>
      <c r="O5" s="329"/>
      <c r="P5" s="336" t="s">
        <v>50</v>
      </c>
      <c r="Q5" s="331" t="s">
        <v>58</v>
      </c>
      <c r="R5" s="331" t="s">
        <v>33</v>
      </c>
      <c r="S5" s="331" t="s">
        <v>60</v>
      </c>
      <c r="T5" s="331" t="s">
        <v>62</v>
      </c>
      <c r="U5" s="331" t="s">
        <v>63</v>
      </c>
      <c r="V5" s="331" t="s">
        <v>35</v>
      </c>
      <c r="W5" s="331" t="s">
        <v>31</v>
      </c>
      <c r="X5" s="336" t="s">
        <v>66</v>
      </c>
      <c r="Y5" s="336" t="s">
        <v>67</v>
      </c>
      <c r="Z5" s="332"/>
      <c r="AA5" s="337" t="s">
        <v>57</v>
      </c>
      <c r="AB5" s="333" t="s">
        <v>4</v>
      </c>
      <c r="AC5" s="333" t="s">
        <v>5</v>
      </c>
      <c r="AD5" s="333" t="s">
        <v>56</v>
      </c>
      <c r="AE5" s="333" t="s">
        <v>77</v>
      </c>
      <c r="AF5" s="333"/>
      <c r="AG5" s="333" t="s">
        <v>10</v>
      </c>
      <c r="AH5" s="337" t="s">
        <v>6</v>
      </c>
      <c r="AI5" s="292" t="s">
        <v>110</v>
      </c>
      <c r="AJ5" s="7"/>
      <c r="AK5" s="85" t="s">
        <v>105</v>
      </c>
      <c r="AL5" s="85" t="s">
        <v>107</v>
      </c>
    </row>
    <row r="6" spans="1:38" s="140" customFormat="1" ht="16.5" customHeight="1">
      <c r="A6" s="323"/>
      <c r="B6" s="338"/>
      <c r="C6" s="338"/>
      <c r="D6" s="339"/>
      <c r="E6" s="338"/>
      <c r="F6" s="338"/>
      <c r="G6" s="338" t="s">
        <v>73</v>
      </c>
      <c r="H6" s="338" t="s">
        <v>79</v>
      </c>
      <c r="I6" s="338" t="s">
        <v>48</v>
      </c>
      <c r="J6" s="338"/>
      <c r="K6" s="338" t="s">
        <v>50</v>
      </c>
      <c r="L6" s="338" t="s">
        <v>52</v>
      </c>
      <c r="M6" s="338" t="s">
        <v>53</v>
      </c>
      <c r="N6" s="338" t="s">
        <v>55</v>
      </c>
      <c r="O6" s="329"/>
      <c r="P6" s="340" t="s">
        <v>69</v>
      </c>
      <c r="Q6" s="330" t="s">
        <v>59</v>
      </c>
      <c r="R6" s="330" t="s">
        <v>34</v>
      </c>
      <c r="S6" s="330" t="s">
        <v>61</v>
      </c>
      <c r="T6" s="330" t="s">
        <v>61</v>
      </c>
      <c r="U6" s="330" t="s">
        <v>64</v>
      </c>
      <c r="V6" s="330" t="s">
        <v>36</v>
      </c>
      <c r="W6" s="330" t="s">
        <v>65</v>
      </c>
      <c r="X6" s="336" t="s">
        <v>40</v>
      </c>
      <c r="Y6" s="341" t="s">
        <v>465</v>
      </c>
      <c r="Z6" s="342"/>
      <c r="AA6" s="343" t="s">
        <v>90</v>
      </c>
      <c r="AB6" s="343"/>
      <c r="AC6" s="343"/>
      <c r="AD6" s="343" t="s">
        <v>75</v>
      </c>
      <c r="AE6" s="343" t="s">
        <v>78</v>
      </c>
      <c r="AF6" s="343" t="s">
        <v>101</v>
      </c>
      <c r="AG6" s="343" t="s">
        <v>70</v>
      </c>
      <c r="AH6" s="343" t="s">
        <v>7</v>
      </c>
      <c r="AI6" s="338"/>
      <c r="AJ6" s="7"/>
      <c r="AK6" s="88" t="s">
        <v>106</v>
      </c>
      <c r="AL6" s="88"/>
    </row>
    <row r="7" spans="1:38" s="140" customFormat="1" ht="30" customHeight="1">
      <c r="A7" s="323"/>
      <c r="B7" s="292"/>
      <c r="C7" s="293" t="s">
        <v>321</v>
      </c>
      <c r="D7" s="293"/>
      <c r="E7" s="292"/>
      <c r="F7" s="292"/>
      <c r="G7" s="294"/>
      <c r="H7" s="292"/>
      <c r="I7" s="292"/>
      <c r="J7" s="292"/>
      <c r="K7" s="292"/>
      <c r="L7" s="292"/>
      <c r="M7" s="292"/>
      <c r="N7" s="295"/>
      <c r="O7" s="296"/>
      <c r="P7" s="297"/>
      <c r="Q7" s="297"/>
      <c r="R7" s="297"/>
      <c r="S7" s="297"/>
      <c r="T7" s="297"/>
      <c r="U7" s="297"/>
      <c r="V7" s="297"/>
      <c r="W7" s="297"/>
      <c r="X7" s="297"/>
      <c r="Y7" s="298"/>
      <c r="Z7" s="299"/>
      <c r="AA7" s="295"/>
      <c r="AB7" s="295"/>
      <c r="AC7" s="295"/>
      <c r="AD7" s="295"/>
      <c r="AE7" s="295"/>
      <c r="AF7" s="295"/>
      <c r="AG7" s="295"/>
      <c r="AH7" s="300"/>
      <c r="AI7" s="294"/>
      <c r="AJ7" s="7"/>
      <c r="AK7" s="116"/>
      <c r="AL7" s="116"/>
    </row>
    <row r="8" spans="1:38" s="140" customFormat="1" ht="48" customHeight="1">
      <c r="A8" s="7"/>
      <c r="B8" s="301">
        <v>1</v>
      </c>
      <c r="C8" s="151" t="s">
        <v>203</v>
      </c>
      <c r="D8" s="152" t="s">
        <v>204</v>
      </c>
      <c r="E8" s="281">
        <v>15</v>
      </c>
      <c r="F8" s="282">
        <v>238</v>
      </c>
      <c r="G8" s="283">
        <f t="shared" ref="G8:G16" si="0">E8*F8</f>
        <v>3570</v>
      </c>
      <c r="H8" s="284">
        <v>0</v>
      </c>
      <c r="I8" s="284">
        <v>0</v>
      </c>
      <c r="J8" s="284">
        <v>0</v>
      </c>
      <c r="K8" s="284">
        <v>0</v>
      </c>
      <c r="L8" s="284">
        <v>0</v>
      </c>
      <c r="M8" s="284">
        <v>0</v>
      </c>
      <c r="N8" s="285">
        <f t="shared" ref="N8:N16" si="1">SUM(G8:M8)</f>
        <v>3570</v>
      </c>
      <c r="O8" s="286"/>
      <c r="P8" s="287">
        <f t="shared" ref="P8:P16" si="2">IF(F8=47.16,0,IF(F8&gt;47.16,K8*0.5,0))</f>
        <v>0</v>
      </c>
      <c r="Q8" s="287">
        <f t="shared" ref="Q8:Q16" si="3">G8+H8+I8+L8+P8+J8</f>
        <v>3570</v>
      </c>
      <c r="R8" s="287">
        <f t="shared" ref="R8:R16" si="4">VLOOKUP(Q8,Tarifa1,1)</f>
        <v>2105.21</v>
      </c>
      <c r="S8" s="287">
        <f t="shared" ref="S8:S16" si="5">Q8-R8</f>
        <v>1464.79</v>
      </c>
      <c r="T8" s="288">
        <f t="shared" ref="T8:T16" si="6">VLOOKUP(Q8,Tarifa1,3)</f>
        <v>0.10879999999999999</v>
      </c>
      <c r="U8" s="287">
        <f t="shared" ref="U8:U16" si="7">S8*T8</f>
        <v>159.36915199999999</v>
      </c>
      <c r="V8" s="287">
        <f t="shared" ref="V8:V16" si="8">VLOOKUP(Q8,Tarifa1,2)</f>
        <v>123.62</v>
      </c>
      <c r="W8" s="287">
        <f t="shared" ref="W8:W16" si="9">U8+V8</f>
        <v>282.98915199999999</v>
      </c>
      <c r="X8" s="287">
        <f t="shared" ref="X8:X16" si="10">VLOOKUP(Q8,Credito1,2)</f>
        <v>108.80500000000001</v>
      </c>
      <c r="Y8" s="287">
        <f t="shared" ref="Y8:Y16" si="11">W8-X8</f>
        <v>174.18415199999998</v>
      </c>
      <c r="Z8" s="289"/>
      <c r="AA8" s="285">
        <f t="shared" ref="AA8:AA16" si="12">-IF(Y8&gt;0,0,Y8)</f>
        <v>0</v>
      </c>
      <c r="AB8" s="285">
        <f t="shared" ref="AB8:AB16" si="13">IF(Y8&lt;0,0,Y8)</f>
        <v>174.18415199999998</v>
      </c>
      <c r="AC8" s="285">
        <v>0</v>
      </c>
      <c r="AD8" s="290">
        <v>0</v>
      </c>
      <c r="AE8" s="290">
        <v>0</v>
      </c>
      <c r="AF8" s="290">
        <v>0</v>
      </c>
      <c r="AG8" s="285">
        <f t="shared" ref="AG8:AG16" si="14">SUM(AB8:AF8)</f>
        <v>174.18415199999998</v>
      </c>
      <c r="AH8" s="285">
        <f t="shared" ref="AH8:AH16" si="15">N8+AA8-AG8</f>
        <v>3395.8158480000002</v>
      </c>
      <c r="AI8" s="111"/>
      <c r="AJ8" s="52"/>
      <c r="AK8" s="111">
        <v>940</v>
      </c>
      <c r="AL8" s="111">
        <f>AB8-AK8</f>
        <v>-765.81584799999996</v>
      </c>
    </row>
    <row r="9" spans="1:38" s="140" customFormat="1" ht="48" hidden="1" customHeight="1">
      <c r="A9" s="7"/>
      <c r="B9" s="301">
        <v>2</v>
      </c>
      <c r="C9" s="151"/>
      <c r="D9" s="152"/>
      <c r="E9" s="281"/>
      <c r="F9" s="282"/>
      <c r="G9" s="283"/>
      <c r="H9" s="284"/>
      <c r="I9" s="284"/>
      <c r="J9" s="284"/>
      <c r="K9" s="284"/>
      <c r="L9" s="284"/>
      <c r="M9" s="284"/>
      <c r="N9" s="285"/>
      <c r="O9" s="286"/>
      <c r="P9" s="287"/>
      <c r="Q9" s="287"/>
      <c r="R9" s="287"/>
      <c r="S9" s="287"/>
      <c r="T9" s="288"/>
      <c r="U9" s="287"/>
      <c r="V9" s="287"/>
      <c r="W9" s="287"/>
      <c r="X9" s="287"/>
      <c r="Y9" s="287"/>
      <c r="Z9" s="289"/>
      <c r="AA9" s="396"/>
      <c r="AB9" s="285"/>
      <c r="AC9" s="285"/>
      <c r="AD9" s="290"/>
      <c r="AE9" s="290"/>
      <c r="AF9" s="290"/>
      <c r="AG9" s="285"/>
      <c r="AH9" s="285"/>
      <c r="AI9" s="111"/>
      <c r="AJ9" s="52"/>
      <c r="AK9" s="111"/>
      <c r="AL9" s="111"/>
    </row>
    <row r="10" spans="1:38" s="140" customFormat="1" ht="39.75" customHeight="1">
      <c r="A10" s="7"/>
      <c r="B10" s="301">
        <v>2</v>
      </c>
      <c r="C10" s="151" t="s">
        <v>205</v>
      </c>
      <c r="D10" s="152" t="s">
        <v>206</v>
      </c>
      <c r="E10" s="281">
        <v>15</v>
      </c>
      <c r="F10" s="282">
        <v>170</v>
      </c>
      <c r="G10" s="283">
        <f t="shared" si="0"/>
        <v>2550</v>
      </c>
      <c r="H10" s="284">
        <v>0</v>
      </c>
      <c r="I10" s="284">
        <f>H10</f>
        <v>0</v>
      </c>
      <c r="J10" s="284">
        <v>0</v>
      </c>
      <c r="K10" s="284">
        <v>0</v>
      </c>
      <c r="L10" s="284">
        <v>0</v>
      </c>
      <c r="M10" s="284">
        <v>0</v>
      </c>
      <c r="N10" s="285">
        <f t="shared" si="1"/>
        <v>2550</v>
      </c>
      <c r="O10" s="286"/>
      <c r="P10" s="287">
        <f t="shared" si="2"/>
        <v>0</v>
      </c>
      <c r="Q10" s="287">
        <f t="shared" si="3"/>
        <v>2550</v>
      </c>
      <c r="R10" s="287">
        <f t="shared" si="4"/>
        <v>2105.21</v>
      </c>
      <c r="S10" s="287">
        <f t="shared" si="5"/>
        <v>444.78999999999996</v>
      </c>
      <c r="T10" s="288">
        <f t="shared" si="6"/>
        <v>0.10879999999999999</v>
      </c>
      <c r="U10" s="287">
        <f t="shared" si="7"/>
        <v>48.393151999999994</v>
      </c>
      <c r="V10" s="287">
        <f t="shared" si="8"/>
        <v>123.62</v>
      </c>
      <c r="W10" s="287">
        <f t="shared" si="9"/>
        <v>172.01315199999999</v>
      </c>
      <c r="X10" s="287">
        <f t="shared" si="10"/>
        <v>162.435</v>
      </c>
      <c r="Y10" s="287">
        <f t="shared" si="11"/>
        <v>9.5781519999999887</v>
      </c>
      <c r="Z10" s="289"/>
      <c r="AA10" s="285">
        <f t="shared" si="12"/>
        <v>0</v>
      </c>
      <c r="AB10" s="285">
        <f t="shared" si="13"/>
        <v>9.5781519999999887</v>
      </c>
      <c r="AC10" s="285">
        <v>0</v>
      </c>
      <c r="AD10" s="290">
        <v>0</v>
      </c>
      <c r="AE10" s="290">
        <v>0</v>
      </c>
      <c r="AF10" s="290">
        <v>0</v>
      </c>
      <c r="AG10" s="285">
        <f t="shared" si="14"/>
        <v>9.5781519999999887</v>
      </c>
      <c r="AH10" s="285">
        <f t="shared" si="15"/>
        <v>2540.421848</v>
      </c>
      <c r="AI10" s="111"/>
      <c r="AJ10" s="52"/>
      <c r="AK10" s="111">
        <v>4.1399999999999864</v>
      </c>
      <c r="AL10" s="111">
        <f>AB10-AK10</f>
        <v>5.4381520000000023</v>
      </c>
    </row>
    <row r="11" spans="1:38" s="140" customFormat="1" ht="15.75">
      <c r="A11" s="7"/>
      <c r="B11" s="301"/>
      <c r="C11" s="302" t="s">
        <v>307</v>
      </c>
      <c r="D11" s="302"/>
      <c r="E11" s="281"/>
      <c r="F11" s="282"/>
      <c r="G11" s="283"/>
      <c r="H11" s="284"/>
      <c r="I11" s="284"/>
      <c r="J11" s="284"/>
      <c r="K11" s="284"/>
      <c r="L11" s="284"/>
      <c r="M11" s="284"/>
      <c r="N11" s="285"/>
      <c r="O11" s="286"/>
      <c r="P11" s="287"/>
      <c r="Q11" s="287"/>
      <c r="R11" s="287"/>
      <c r="S11" s="287"/>
      <c r="T11" s="288"/>
      <c r="U11" s="287"/>
      <c r="V11" s="287"/>
      <c r="W11" s="287"/>
      <c r="X11" s="287"/>
      <c r="Y11" s="287"/>
      <c r="Z11" s="289"/>
      <c r="AA11" s="285"/>
      <c r="AB11" s="285"/>
      <c r="AC11" s="285"/>
      <c r="AD11" s="290"/>
      <c r="AE11" s="290"/>
      <c r="AF11" s="290"/>
      <c r="AG11" s="285"/>
      <c r="AH11" s="285"/>
      <c r="AI11" s="111"/>
      <c r="AJ11" s="52"/>
      <c r="AK11" s="111"/>
      <c r="AL11" s="111"/>
    </row>
    <row r="12" spans="1:38" s="140" customFormat="1" ht="30" customHeight="1">
      <c r="A12" s="7"/>
      <c r="B12" s="301">
        <v>3</v>
      </c>
      <c r="C12" s="151" t="s">
        <v>207</v>
      </c>
      <c r="D12" s="152" t="s">
        <v>208</v>
      </c>
      <c r="E12" s="281">
        <v>15</v>
      </c>
      <c r="F12" s="282">
        <v>160</v>
      </c>
      <c r="G12" s="283">
        <f t="shared" si="0"/>
        <v>2400</v>
      </c>
      <c r="H12" s="284">
        <v>0</v>
      </c>
      <c r="I12" s="284">
        <f>H12</f>
        <v>0</v>
      </c>
      <c r="J12" s="284">
        <v>0</v>
      </c>
      <c r="K12" s="284">
        <v>0</v>
      </c>
      <c r="L12" s="284">
        <v>0</v>
      </c>
      <c r="M12" s="284">
        <v>0</v>
      </c>
      <c r="N12" s="285">
        <f t="shared" si="1"/>
        <v>2400</v>
      </c>
      <c r="O12" s="286"/>
      <c r="P12" s="287">
        <f t="shared" si="2"/>
        <v>0</v>
      </c>
      <c r="Q12" s="287">
        <f t="shared" si="3"/>
        <v>2400</v>
      </c>
      <c r="R12" s="287">
        <f t="shared" si="4"/>
        <v>2105.21</v>
      </c>
      <c r="S12" s="287">
        <f t="shared" si="5"/>
        <v>294.78999999999996</v>
      </c>
      <c r="T12" s="288">
        <f t="shared" si="6"/>
        <v>0.10879999999999999</v>
      </c>
      <c r="U12" s="287">
        <f t="shared" si="7"/>
        <v>32.073151999999993</v>
      </c>
      <c r="V12" s="287">
        <f t="shared" si="8"/>
        <v>123.62</v>
      </c>
      <c r="W12" s="287">
        <f t="shared" si="9"/>
        <v>155.693152</v>
      </c>
      <c r="X12" s="287">
        <f t="shared" si="10"/>
        <v>162.435</v>
      </c>
      <c r="Y12" s="287">
        <f t="shared" si="11"/>
        <v>-6.7418480000000045</v>
      </c>
      <c r="Z12" s="289"/>
      <c r="AA12" s="285">
        <f t="shared" si="12"/>
        <v>6.7418480000000045</v>
      </c>
      <c r="AB12" s="285">
        <f t="shared" si="13"/>
        <v>0</v>
      </c>
      <c r="AC12" s="285">
        <v>0</v>
      </c>
      <c r="AD12" s="290">
        <v>0</v>
      </c>
      <c r="AE12" s="290">
        <v>0</v>
      </c>
      <c r="AF12" s="290">
        <v>0</v>
      </c>
      <c r="AG12" s="285">
        <f t="shared" si="14"/>
        <v>0</v>
      </c>
      <c r="AH12" s="285">
        <f t="shared" si="15"/>
        <v>2406.7418480000001</v>
      </c>
      <c r="AI12" s="111"/>
      <c r="AJ12" s="52"/>
      <c r="AK12" s="111">
        <v>-132.51</v>
      </c>
      <c r="AL12" s="111">
        <f>-AK12-AA12</f>
        <v>125.76815199999999</v>
      </c>
    </row>
    <row r="13" spans="1:38" s="140" customFormat="1" ht="51.75" customHeight="1">
      <c r="A13" s="7"/>
      <c r="B13" s="301"/>
      <c r="C13" s="302" t="s">
        <v>308</v>
      </c>
      <c r="D13" s="302"/>
      <c r="E13" s="281"/>
      <c r="F13" s="282"/>
      <c r="G13" s="283"/>
      <c r="H13" s="284"/>
      <c r="I13" s="284"/>
      <c r="J13" s="284"/>
      <c r="K13" s="284"/>
      <c r="L13" s="284"/>
      <c r="M13" s="284"/>
      <c r="N13" s="285"/>
      <c r="O13" s="286"/>
      <c r="P13" s="287"/>
      <c r="Q13" s="287"/>
      <c r="R13" s="287"/>
      <c r="S13" s="287"/>
      <c r="T13" s="288"/>
      <c r="U13" s="287"/>
      <c r="V13" s="287"/>
      <c r="W13" s="287"/>
      <c r="X13" s="287"/>
      <c r="Y13" s="287"/>
      <c r="Z13" s="289"/>
      <c r="AA13" s="285"/>
      <c r="AB13" s="285"/>
      <c r="AC13" s="285"/>
      <c r="AD13" s="290"/>
      <c r="AE13" s="290"/>
      <c r="AF13" s="290"/>
      <c r="AG13" s="285"/>
      <c r="AH13" s="285"/>
      <c r="AI13" s="111"/>
      <c r="AJ13" s="52"/>
      <c r="AK13" s="111"/>
      <c r="AL13" s="111"/>
    </row>
    <row r="14" spans="1:38" s="140" customFormat="1" ht="57.75" customHeight="1">
      <c r="A14" s="7"/>
      <c r="B14" s="301">
        <v>4</v>
      </c>
      <c r="C14" s="151" t="s">
        <v>209</v>
      </c>
      <c r="D14" s="152" t="s">
        <v>468</v>
      </c>
      <c r="E14" s="281">
        <v>15</v>
      </c>
      <c r="F14" s="282">
        <v>167</v>
      </c>
      <c r="G14" s="283">
        <f t="shared" si="0"/>
        <v>2505</v>
      </c>
      <c r="H14" s="284">
        <v>0</v>
      </c>
      <c r="I14" s="284">
        <f>H14</f>
        <v>0</v>
      </c>
      <c r="J14" s="284">
        <v>0</v>
      </c>
      <c r="K14" s="284">
        <v>0</v>
      </c>
      <c r="L14" s="284">
        <v>0</v>
      </c>
      <c r="M14" s="284">
        <v>0</v>
      </c>
      <c r="N14" s="285">
        <f t="shared" si="1"/>
        <v>2505</v>
      </c>
      <c r="O14" s="286"/>
      <c r="P14" s="287">
        <f t="shared" si="2"/>
        <v>0</v>
      </c>
      <c r="Q14" s="287">
        <f t="shared" si="3"/>
        <v>2505</v>
      </c>
      <c r="R14" s="287">
        <f t="shared" si="4"/>
        <v>2105.21</v>
      </c>
      <c r="S14" s="287">
        <f t="shared" si="5"/>
        <v>399.78999999999996</v>
      </c>
      <c r="T14" s="288">
        <f t="shared" si="6"/>
        <v>0.10879999999999999</v>
      </c>
      <c r="U14" s="287">
        <f t="shared" si="7"/>
        <v>43.497151999999993</v>
      </c>
      <c r="V14" s="287">
        <f t="shared" si="8"/>
        <v>123.62</v>
      </c>
      <c r="W14" s="287">
        <f t="shared" si="9"/>
        <v>167.117152</v>
      </c>
      <c r="X14" s="287">
        <f t="shared" si="10"/>
        <v>162.435</v>
      </c>
      <c r="Y14" s="287">
        <f t="shared" si="11"/>
        <v>4.6821520000000021</v>
      </c>
      <c r="Z14" s="289"/>
      <c r="AA14" s="285">
        <f t="shared" si="12"/>
        <v>0</v>
      </c>
      <c r="AB14" s="285">
        <f t="shared" si="13"/>
        <v>4.6821520000000021</v>
      </c>
      <c r="AC14" s="285">
        <v>0</v>
      </c>
      <c r="AD14" s="290">
        <v>0</v>
      </c>
      <c r="AE14" s="290">
        <v>0</v>
      </c>
      <c r="AF14" s="290">
        <v>0</v>
      </c>
      <c r="AG14" s="285">
        <f t="shared" si="14"/>
        <v>4.6821520000000021</v>
      </c>
      <c r="AH14" s="285">
        <f t="shared" si="15"/>
        <v>2500.3178480000001</v>
      </c>
      <c r="AI14" s="111"/>
      <c r="AJ14" s="52"/>
      <c r="AK14" s="111">
        <v>73</v>
      </c>
      <c r="AL14" s="111">
        <f>AB14-AK14</f>
        <v>-68.317847999999998</v>
      </c>
    </row>
    <row r="15" spans="1:38" s="140" customFormat="1" ht="24.6" customHeight="1">
      <c r="A15" s="7"/>
      <c r="B15" s="301"/>
      <c r="C15" s="302" t="s">
        <v>309</v>
      </c>
      <c r="D15" s="302"/>
      <c r="E15" s="281"/>
      <c r="F15" s="282"/>
      <c r="G15" s="283"/>
      <c r="H15" s="284"/>
      <c r="I15" s="284"/>
      <c r="J15" s="284"/>
      <c r="K15" s="284"/>
      <c r="L15" s="284"/>
      <c r="M15" s="284"/>
      <c r="N15" s="285"/>
      <c r="O15" s="286"/>
      <c r="P15" s="287"/>
      <c r="Q15" s="287"/>
      <c r="R15" s="287"/>
      <c r="S15" s="287"/>
      <c r="T15" s="288"/>
      <c r="U15" s="287"/>
      <c r="V15" s="287"/>
      <c r="W15" s="287"/>
      <c r="X15" s="287"/>
      <c r="Y15" s="287"/>
      <c r="Z15" s="289"/>
      <c r="AA15" s="285"/>
      <c r="AB15" s="285"/>
      <c r="AC15" s="285"/>
      <c r="AD15" s="290"/>
      <c r="AE15" s="290"/>
      <c r="AF15" s="290"/>
      <c r="AG15" s="285"/>
      <c r="AH15" s="285"/>
      <c r="AI15" s="111"/>
      <c r="AJ15" s="52"/>
      <c r="AK15" s="111"/>
      <c r="AL15" s="111"/>
    </row>
    <row r="16" spans="1:38" s="140" customFormat="1" ht="30" customHeight="1">
      <c r="A16" s="7"/>
      <c r="B16" s="301">
        <v>5</v>
      </c>
      <c r="C16" s="151" t="s">
        <v>210</v>
      </c>
      <c r="D16" s="152" t="s">
        <v>211</v>
      </c>
      <c r="E16" s="281">
        <v>15</v>
      </c>
      <c r="F16" s="282">
        <v>150</v>
      </c>
      <c r="G16" s="283">
        <f t="shared" si="0"/>
        <v>2250</v>
      </c>
      <c r="H16" s="284">
        <v>0</v>
      </c>
      <c r="I16" s="284">
        <f t="shared" ref="I16" si="16">H16</f>
        <v>0</v>
      </c>
      <c r="J16" s="284">
        <v>0</v>
      </c>
      <c r="K16" s="284">
        <v>0</v>
      </c>
      <c r="L16" s="284">
        <v>0</v>
      </c>
      <c r="M16" s="284">
        <v>0</v>
      </c>
      <c r="N16" s="285">
        <f t="shared" si="1"/>
        <v>2250</v>
      </c>
      <c r="O16" s="286"/>
      <c r="P16" s="287">
        <f t="shared" si="2"/>
        <v>0</v>
      </c>
      <c r="Q16" s="287">
        <f t="shared" si="3"/>
        <v>2250</v>
      </c>
      <c r="R16" s="287">
        <f t="shared" si="4"/>
        <v>2105.21</v>
      </c>
      <c r="S16" s="287">
        <f t="shared" si="5"/>
        <v>144.78999999999996</v>
      </c>
      <c r="T16" s="288">
        <f t="shared" si="6"/>
        <v>0.10879999999999999</v>
      </c>
      <c r="U16" s="287">
        <f t="shared" si="7"/>
        <v>15.753151999999995</v>
      </c>
      <c r="V16" s="287">
        <f t="shared" si="8"/>
        <v>123.62</v>
      </c>
      <c r="W16" s="287">
        <f t="shared" si="9"/>
        <v>139.373152</v>
      </c>
      <c r="X16" s="287">
        <f t="shared" si="10"/>
        <v>177.11500000000001</v>
      </c>
      <c r="Y16" s="287">
        <f t="shared" si="11"/>
        <v>-37.741848000000005</v>
      </c>
      <c r="Z16" s="289"/>
      <c r="AA16" s="285">
        <f t="shared" si="12"/>
        <v>37.741848000000005</v>
      </c>
      <c r="AB16" s="285">
        <f t="shared" si="13"/>
        <v>0</v>
      </c>
      <c r="AC16" s="285">
        <v>0</v>
      </c>
      <c r="AD16" s="290">
        <v>0</v>
      </c>
      <c r="AE16" s="290">
        <v>0</v>
      </c>
      <c r="AF16" s="290">
        <v>0</v>
      </c>
      <c r="AG16" s="285">
        <f t="shared" si="14"/>
        <v>0</v>
      </c>
      <c r="AH16" s="285">
        <f t="shared" si="15"/>
        <v>2287.7418480000001</v>
      </c>
      <c r="AI16" s="111"/>
      <c r="AJ16" s="52"/>
      <c r="AK16" s="111">
        <v>56</v>
      </c>
      <c r="AL16" s="111">
        <f t="shared" ref="AL16:AL20" si="17">-AK16-AA16</f>
        <v>-93.741848000000005</v>
      </c>
    </row>
    <row r="17" spans="1:38" s="140" customFormat="1" ht="15" hidden="1">
      <c r="A17" s="7"/>
      <c r="B17" s="301"/>
      <c r="C17" s="151"/>
      <c r="D17" s="152"/>
      <c r="E17" s="281"/>
      <c r="F17" s="282"/>
      <c r="G17" s="283"/>
      <c r="H17" s="284"/>
      <c r="I17" s="284"/>
      <c r="J17" s="284"/>
      <c r="K17" s="284"/>
      <c r="L17" s="284"/>
      <c r="M17" s="284"/>
      <c r="N17" s="285"/>
      <c r="O17" s="286"/>
      <c r="P17" s="287"/>
      <c r="Q17" s="287"/>
      <c r="R17" s="287"/>
      <c r="S17" s="287"/>
      <c r="T17" s="288"/>
      <c r="U17" s="287"/>
      <c r="V17" s="287"/>
      <c r="W17" s="287"/>
      <c r="X17" s="287"/>
      <c r="Y17" s="287"/>
      <c r="Z17" s="289"/>
      <c r="AA17" s="285"/>
      <c r="AB17" s="285"/>
      <c r="AC17" s="285"/>
      <c r="AD17" s="290"/>
      <c r="AE17" s="290"/>
      <c r="AF17" s="290"/>
      <c r="AG17" s="285"/>
      <c r="AH17" s="285"/>
      <c r="AI17" s="111"/>
      <c r="AJ17" s="52"/>
      <c r="AK17" s="111">
        <v>56</v>
      </c>
      <c r="AL17" s="111">
        <f t="shared" si="17"/>
        <v>-56</v>
      </c>
    </row>
    <row r="18" spans="1:38" s="140" customFormat="1" ht="15" hidden="1">
      <c r="A18" s="7"/>
      <c r="B18" s="301"/>
      <c r="C18" s="151"/>
      <c r="D18" s="152"/>
      <c r="E18" s="281"/>
      <c r="F18" s="282"/>
      <c r="G18" s="283"/>
      <c r="H18" s="284"/>
      <c r="I18" s="284"/>
      <c r="J18" s="284"/>
      <c r="K18" s="284"/>
      <c r="L18" s="284"/>
      <c r="M18" s="284"/>
      <c r="N18" s="285"/>
      <c r="O18" s="286"/>
      <c r="P18" s="287"/>
      <c r="Q18" s="287"/>
      <c r="R18" s="287"/>
      <c r="S18" s="287"/>
      <c r="T18" s="288"/>
      <c r="U18" s="287"/>
      <c r="V18" s="287"/>
      <c r="W18" s="287"/>
      <c r="X18" s="287"/>
      <c r="Y18" s="287"/>
      <c r="Z18" s="289"/>
      <c r="AA18" s="285"/>
      <c r="AB18" s="285"/>
      <c r="AC18" s="285"/>
      <c r="AD18" s="290"/>
      <c r="AE18" s="290"/>
      <c r="AF18" s="290"/>
      <c r="AG18" s="285"/>
      <c r="AH18" s="285"/>
      <c r="AI18" s="111"/>
      <c r="AJ18" s="52"/>
      <c r="AK18" s="111">
        <v>-132.51</v>
      </c>
      <c r="AL18" s="111">
        <f t="shared" si="17"/>
        <v>132.51</v>
      </c>
    </row>
    <row r="19" spans="1:38" s="140" customFormat="1" ht="15" hidden="1">
      <c r="A19" s="7"/>
      <c r="B19" s="301"/>
      <c r="C19" s="151"/>
      <c r="D19" s="152"/>
      <c r="E19" s="281"/>
      <c r="F19" s="282"/>
      <c r="G19" s="283"/>
      <c r="H19" s="284"/>
      <c r="I19" s="284"/>
      <c r="J19" s="284"/>
      <c r="K19" s="284"/>
      <c r="L19" s="284"/>
      <c r="M19" s="284"/>
      <c r="N19" s="285"/>
      <c r="O19" s="286"/>
      <c r="P19" s="287"/>
      <c r="Q19" s="287"/>
      <c r="R19" s="287"/>
      <c r="S19" s="287"/>
      <c r="T19" s="288"/>
      <c r="U19" s="287"/>
      <c r="V19" s="287"/>
      <c r="W19" s="287"/>
      <c r="X19" s="287"/>
      <c r="Y19" s="287"/>
      <c r="Z19" s="289"/>
      <c r="AA19" s="285"/>
      <c r="AB19" s="285"/>
      <c r="AC19" s="285"/>
      <c r="AD19" s="290"/>
      <c r="AE19" s="290"/>
      <c r="AF19" s="290"/>
      <c r="AG19" s="285"/>
      <c r="AH19" s="285"/>
      <c r="AI19" s="111"/>
      <c r="AJ19" s="52"/>
      <c r="AK19" s="111">
        <v>56</v>
      </c>
      <c r="AL19" s="111">
        <f t="shared" si="17"/>
        <v>-56</v>
      </c>
    </row>
    <row r="20" spans="1:38" s="140" customFormat="1" ht="15" hidden="1">
      <c r="A20" s="7"/>
      <c r="B20" s="301"/>
      <c r="C20" s="151"/>
      <c r="D20" s="152"/>
      <c r="E20" s="281"/>
      <c r="F20" s="282"/>
      <c r="G20" s="283"/>
      <c r="H20" s="284"/>
      <c r="I20" s="284"/>
      <c r="J20" s="284"/>
      <c r="K20" s="284"/>
      <c r="L20" s="284"/>
      <c r="M20" s="284"/>
      <c r="N20" s="285"/>
      <c r="O20" s="286"/>
      <c r="P20" s="287"/>
      <c r="Q20" s="287"/>
      <c r="R20" s="287"/>
      <c r="S20" s="287"/>
      <c r="T20" s="288"/>
      <c r="U20" s="287"/>
      <c r="V20" s="287"/>
      <c r="W20" s="287"/>
      <c r="X20" s="287"/>
      <c r="Y20" s="287"/>
      <c r="Z20" s="289"/>
      <c r="AA20" s="285"/>
      <c r="AB20" s="285"/>
      <c r="AC20" s="285"/>
      <c r="AD20" s="290"/>
      <c r="AE20" s="290"/>
      <c r="AF20" s="290"/>
      <c r="AG20" s="285"/>
      <c r="AH20" s="285"/>
      <c r="AI20" s="111"/>
      <c r="AJ20" s="52"/>
      <c r="AK20" s="111">
        <v>-64</v>
      </c>
      <c r="AL20" s="111">
        <f t="shared" si="17"/>
        <v>64</v>
      </c>
    </row>
    <row r="21" spans="1:38" s="140" customFormat="1" ht="15.75">
      <c r="A21" s="7"/>
      <c r="B21" s="303"/>
      <c r="C21" s="304"/>
      <c r="D21" s="304"/>
      <c r="E21" s="303"/>
      <c r="F21" s="305"/>
      <c r="G21" s="306"/>
      <c r="H21" s="307"/>
      <c r="I21" s="307"/>
      <c r="J21" s="307"/>
      <c r="K21" s="307"/>
      <c r="L21" s="307"/>
      <c r="M21" s="307"/>
      <c r="N21" s="308"/>
      <c r="O21" s="286"/>
      <c r="P21" s="309"/>
      <c r="Q21" s="310"/>
      <c r="R21" s="310"/>
      <c r="S21" s="310"/>
      <c r="T21" s="310"/>
      <c r="U21" s="310"/>
      <c r="V21" s="310"/>
      <c r="W21" s="310"/>
      <c r="X21" s="310"/>
      <c r="Y21" s="310"/>
      <c r="Z21" s="289"/>
      <c r="AA21" s="308"/>
      <c r="AB21" s="308"/>
      <c r="AC21" s="308"/>
      <c r="AD21" s="308"/>
      <c r="AE21" s="308"/>
      <c r="AF21" s="308"/>
      <c r="AG21" s="308"/>
      <c r="AH21" s="311"/>
      <c r="AI21" s="105"/>
      <c r="AJ21" s="7"/>
      <c r="AK21" s="105"/>
      <c r="AL21" s="105"/>
    </row>
    <row r="22" spans="1:38" s="140" customFormat="1" ht="15.75">
      <c r="A22" s="7"/>
      <c r="B22" s="312"/>
      <c r="C22" s="312"/>
      <c r="D22" s="312"/>
      <c r="E22" s="313"/>
      <c r="F22" s="312"/>
      <c r="G22" s="314"/>
      <c r="H22" s="314"/>
      <c r="I22" s="314"/>
      <c r="J22" s="314"/>
      <c r="K22" s="314"/>
      <c r="L22" s="314"/>
      <c r="M22" s="314"/>
      <c r="N22" s="315"/>
      <c r="O22" s="316"/>
      <c r="P22" s="317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98"/>
      <c r="AJ22" s="7"/>
      <c r="AK22" s="98"/>
      <c r="AL22" s="98"/>
    </row>
    <row r="23" spans="1:38" s="140" customFormat="1" ht="16.5" thickBot="1">
      <c r="A23" s="7"/>
      <c r="B23" s="648" t="s">
        <v>71</v>
      </c>
      <c r="C23" s="649"/>
      <c r="D23" s="649"/>
      <c r="E23" s="649"/>
      <c r="F23" s="650"/>
      <c r="G23" s="319">
        <f t="shared" ref="G23:N23" si="18">SUM(G8:G22)</f>
        <v>13275</v>
      </c>
      <c r="H23" s="319">
        <f t="shared" si="18"/>
        <v>0</v>
      </c>
      <c r="I23" s="319">
        <f t="shared" si="18"/>
        <v>0</v>
      </c>
      <c r="J23" s="319">
        <f t="shared" si="18"/>
        <v>0</v>
      </c>
      <c r="K23" s="319">
        <f t="shared" si="18"/>
        <v>0</v>
      </c>
      <c r="L23" s="319">
        <f t="shared" si="18"/>
        <v>0</v>
      </c>
      <c r="M23" s="319">
        <f t="shared" si="18"/>
        <v>0</v>
      </c>
      <c r="N23" s="320">
        <f t="shared" si="18"/>
        <v>13275</v>
      </c>
      <c r="O23" s="321"/>
      <c r="P23" s="322">
        <f t="shared" ref="P23:Y23" si="19">SUM(P8:P22)</f>
        <v>0</v>
      </c>
      <c r="Q23" s="322">
        <f t="shared" si="19"/>
        <v>13275</v>
      </c>
      <c r="R23" s="322">
        <f t="shared" si="19"/>
        <v>10526.05</v>
      </c>
      <c r="S23" s="322">
        <f t="shared" si="19"/>
        <v>2748.95</v>
      </c>
      <c r="T23" s="322">
        <f t="shared" si="19"/>
        <v>0.54399999999999993</v>
      </c>
      <c r="U23" s="322">
        <f t="shared" si="19"/>
        <v>299.08575999999994</v>
      </c>
      <c r="V23" s="322">
        <f t="shared" si="19"/>
        <v>618.1</v>
      </c>
      <c r="W23" s="322">
        <f t="shared" si="19"/>
        <v>917.18575999999996</v>
      </c>
      <c r="X23" s="322">
        <f t="shared" si="19"/>
        <v>773.22500000000002</v>
      </c>
      <c r="Y23" s="322">
        <f t="shared" si="19"/>
        <v>143.96075999999996</v>
      </c>
      <c r="Z23" s="321"/>
      <c r="AA23" s="320">
        <f t="shared" ref="AA23:AH23" si="20">SUM(AA8:AA22)</f>
        <v>44.483696000000009</v>
      </c>
      <c r="AB23" s="320">
        <f t="shared" si="20"/>
        <v>188.44445599999997</v>
      </c>
      <c r="AC23" s="320">
        <f t="shared" si="20"/>
        <v>0</v>
      </c>
      <c r="AD23" s="320">
        <f t="shared" si="20"/>
        <v>0</v>
      </c>
      <c r="AE23" s="320">
        <f t="shared" si="20"/>
        <v>0</v>
      </c>
      <c r="AF23" s="320">
        <f t="shared" si="20"/>
        <v>0</v>
      </c>
      <c r="AG23" s="320">
        <f t="shared" si="20"/>
        <v>188.44445599999997</v>
      </c>
      <c r="AH23" s="320">
        <f t="shared" si="20"/>
        <v>13131.03924</v>
      </c>
      <c r="AI23" s="114"/>
      <c r="AJ23" s="7"/>
      <c r="AK23" s="114">
        <f t="shared" ref="AK23:AL23" si="21">SUM(AK8:AK22)</f>
        <v>856.12</v>
      </c>
      <c r="AL23" s="114">
        <f t="shared" si="21"/>
        <v>-712.15924000000007</v>
      </c>
    </row>
    <row r="24" spans="1:38" s="140" customFormat="1" ht="13.5" thickTop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7"/>
      <c r="AJ24" s="7"/>
      <c r="AK24" s="7"/>
      <c r="AL24" s="7"/>
    </row>
    <row r="27" spans="1:38">
      <c r="C27" s="52"/>
      <c r="D27" s="52"/>
    </row>
    <row r="28" spans="1:38">
      <c r="C28" s="52"/>
      <c r="D28" s="52"/>
    </row>
    <row r="29" spans="1:38">
      <c r="C29" s="52"/>
      <c r="D29" s="52"/>
    </row>
    <row r="31" spans="1:38">
      <c r="C31" s="144"/>
      <c r="D31" s="144"/>
    </row>
  </sheetData>
  <mergeCells count="6">
    <mergeCell ref="B23:F23"/>
    <mergeCell ref="B2:AH2"/>
    <mergeCell ref="B3:AH3"/>
    <mergeCell ref="G4:N4"/>
    <mergeCell ref="R4:W4"/>
    <mergeCell ref="AB4:AG4"/>
  </mergeCells>
  <pageMargins left="0.25" right="0.25" top="0.75" bottom="0.75" header="0.3" footer="0.3"/>
  <pageSetup paperSize="5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7"/>
  <sheetViews>
    <sheetView showGridLines="0" zoomScale="63" zoomScaleNormal="63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1.140625" style="159" customWidth="1"/>
    <col min="34" max="34" width="14.42578125" style="159" customWidth="1"/>
    <col min="35" max="35" width="38.5703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0" t="str">
        <f>'  SEGURIDAD PUBLICA  '!B3:AH3</f>
        <v>NOMINA DEL 01 AL 15 DE NOVIEMBRE DE 2015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0"/>
      <c r="AH3" s="660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153" t="s">
        <v>91</v>
      </c>
      <c r="AB4" s="645" t="s">
        <v>3</v>
      </c>
      <c r="AC4" s="646"/>
      <c r="AD4" s="646"/>
      <c r="AE4" s="646"/>
      <c r="AF4" s="646"/>
      <c r="AG4" s="647"/>
      <c r="AH4" s="153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154" t="s">
        <v>57</v>
      </c>
      <c r="AB5" s="153" t="s">
        <v>4</v>
      </c>
      <c r="AC5" s="153" t="s">
        <v>5</v>
      </c>
      <c r="AD5" s="153" t="s">
        <v>56</v>
      </c>
      <c r="AE5" s="153" t="s">
        <v>77</v>
      </c>
      <c r="AF5" s="153"/>
      <c r="AG5" s="153" t="s">
        <v>10</v>
      </c>
      <c r="AH5" s="154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155" t="s">
        <v>90</v>
      </c>
      <c r="AB6" s="155"/>
      <c r="AC6" s="155"/>
      <c r="AD6" s="155" t="s">
        <v>75</v>
      </c>
      <c r="AE6" s="155" t="s">
        <v>78</v>
      </c>
      <c r="AF6" s="155" t="s">
        <v>101</v>
      </c>
      <c r="AG6" s="155" t="s">
        <v>70</v>
      </c>
      <c r="AH6" s="155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131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51" t="s">
        <v>233</v>
      </c>
      <c r="D8" s="152" t="s">
        <v>130</v>
      </c>
      <c r="E8" s="281">
        <v>15</v>
      </c>
      <c r="F8" s="282">
        <v>205</v>
      </c>
      <c r="G8" s="283">
        <f t="shared" ref="G8:G12" si="0">E8*F8</f>
        <v>3075</v>
      </c>
      <c r="H8" s="284">
        <v>0</v>
      </c>
      <c r="I8" s="284">
        <v>0</v>
      </c>
      <c r="J8" s="284">
        <v>0</v>
      </c>
      <c r="K8" s="284">
        <v>0</v>
      </c>
      <c r="L8" s="284">
        <v>0</v>
      </c>
      <c r="M8" s="284">
        <v>0</v>
      </c>
      <c r="N8" s="285">
        <f t="shared" ref="N8:N12" si="1">SUM(G8:M8)</f>
        <v>3075</v>
      </c>
      <c r="O8" s="286"/>
      <c r="P8" s="287">
        <f t="shared" ref="P8:P12" si="2">IF(F8=47.16,0,IF(F8&gt;47.16,K8*0.5,0))</f>
        <v>0</v>
      </c>
      <c r="Q8" s="287">
        <f t="shared" ref="Q8:Q12" si="3">G8+H8+I8+L8+P8+J8</f>
        <v>3075</v>
      </c>
      <c r="R8" s="287">
        <f t="shared" ref="R8:R12" si="4">VLOOKUP(Q8,Tarifa1,1)</f>
        <v>2105.21</v>
      </c>
      <c r="S8" s="287">
        <f t="shared" ref="S8:S12" si="5">Q8-R8</f>
        <v>969.79</v>
      </c>
      <c r="T8" s="288">
        <f t="shared" ref="T8:T12" si="6">VLOOKUP(Q8,Tarifa1,3)</f>
        <v>0.10879999999999999</v>
      </c>
      <c r="U8" s="287">
        <f t="shared" ref="U8:U12" si="7">S8*T8</f>
        <v>105.51315199999999</v>
      </c>
      <c r="V8" s="287">
        <f t="shared" ref="V8:V12" si="8">VLOOKUP(Q8,Tarifa1,2)</f>
        <v>123.62</v>
      </c>
      <c r="W8" s="287">
        <f t="shared" ref="W8:W12" si="9">U8+V8</f>
        <v>229.133152</v>
      </c>
      <c r="X8" s="287">
        <f t="shared" ref="X8:X12" si="10">VLOOKUP(Q8,Credito1,2)</f>
        <v>147.315</v>
      </c>
      <c r="Y8" s="287">
        <f t="shared" ref="Y8:Y12" si="11">W8-X8</f>
        <v>81.818151999999998</v>
      </c>
      <c r="Z8" s="289"/>
      <c r="AA8" s="285">
        <f t="shared" ref="AA8:AA12" si="12">-IF(Y8&gt;0,0,Y8)</f>
        <v>0</v>
      </c>
      <c r="AB8" s="285">
        <f t="shared" ref="AB8:AB12" si="13">IF(Y8&lt;0,0,Y8)</f>
        <v>81.818151999999998</v>
      </c>
      <c r="AC8" s="285">
        <v>0</v>
      </c>
      <c r="AD8" s="290">
        <v>0</v>
      </c>
      <c r="AE8" s="290">
        <v>0</v>
      </c>
      <c r="AF8" s="290">
        <v>0</v>
      </c>
      <c r="AG8" s="285">
        <f t="shared" ref="AG8:AG11" si="14">SUM(AB8:AF8)</f>
        <v>81.818151999999998</v>
      </c>
      <c r="AH8" s="285">
        <f t="shared" ref="AH8:AH12" si="15">N8+AA8-AG8</f>
        <v>2993.1818480000002</v>
      </c>
      <c r="AI8" s="111"/>
      <c r="AJ8" s="52"/>
      <c r="AK8" s="111">
        <v>56</v>
      </c>
      <c r="AL8" s="111">
        <f>-AK8-AA8</f>
        <v>-56</v>
      </c>
    </row>
    <row r="9" spans="1:38" s="140" customFormat="1" ht="30" customHeight="1">
      <c r="A9" s="7"/>
      <c r="B9" s="108">
        <v>2</v>
      </c>
      <c r="C9" s="151" t="s">
        <v>222</v>
      </c>
      <c r="D9" s="152" t="s">
        <v>432</v>
      </c>
      <c r="E9" s="281">
        <v>15</v>
      </c>
      <c r="F9" s="282">
        <v>182</v>
      </c>
      <c r="G9" s="283">
        <f t="shared" si="0"/>
        <v>2730</v>
      </c>
      <c r="H9" s="284">
        <v>0</v>
      </c>
      <c r="I9" s="284">
        <f>H9</f>
        <v>0</v>
      </c>
      <c r="J9" s="284">
        <v>0</v>
      </c>
      <c r="K9" s="284">
        <v>0</v>
      </c>
      <c r="L9" s="284">
        <v>0</v>
      </c>
      <c r="M9" s="284">
        <v>0</v>
      </c>
      <c r="N9" s="285">
        <f t="shared" si="1"/>
        <v>2730</v>
      </c>
      <c r="O9" s="286"/>
      <c r="P9" s="287">
        <f t="shared" si="2"/>
        <v>0</v>
      </c>
      <c r="Q9" s="287">
        <f t="shared" si="3"/>
        <v>2730</v>
      </c>
      <c r="R9" s="287">
        <f t="shared" si="4"/>
        <v>2105.21</v>
      </c>
      <c r="S9" s="287">
        <f t="shared" si="5"/>
        <v>624.79</v>
      </c>
      <c r="T9" s="288">
        <f t="shared" si="6"/>
        <v>0.10879999999999999</v>
      </c>
      <c r="U9" s="287">
        <f t="shared" si="7"/>
        <v>67.97715199999999</v>
      </c>
      <c r="V9" s="287">
        <f t="shared" si="8"/>
        <v>123.62</v>
      </c>
      <c r="W9" s="287">
        <f t="shared" si="9"/>
        <v>191.59715199999999</v>
      </c>
      <c r="X9" s="287">
        <f t="shared" si="10"/>
        <v>147.315</v>
      </c>
      <c r="Y9" s="287">
        <f t="shared" si="11"/>
        <v>44.282151999999996</v>
      </c>
      <c r="Z9" s="289"/>
      <c r="AA9" s="285">
        <f t="shared" si="12"/>
        <v>0</v>
      </c>
      <c r="AB9" s="285">
        <f t="shared" si="13"/>
        <v>44.282151999999996</v>
      </c>
      <c r="AC9" s="285">
        <v>0</v>
      </c>
      <c r="AD9" s="290">
        <v>0</v>
      </c>
      <c r="AE9" s="290">
        <v>0</v>
      </c>
      <c r="AF9" s="290">
        <v>0</v>
      </c>
      <c r="AG9" s="285">
        <f t="shared" si="14"/>
        <v>44.282151999999996</v>
      </c>
      <c r="AH9" s="285">
        <f t="shared" si="15"/>
        <v>2685.7178480000002</v>
      </c>
      <c r="AI9" s="111"/>
      <c r="AJ9" s="52"/>
      <c r="AK9" s="111">
        <v>65</v>
      </c>
      <c r="AL9" s="111">
        <f>AB9-AK9</f>
        <v>-20.717848000000004</v>
      </c>
    </row>
    <row r="10" spans="1:38" s="140" customFormat="1" ht="30" customHeight="1">
      <c r="A10" s="7"/>
      <c r="B10" s="108">
        <v>3</v>
      </c>
      <c r="C10" s="291" t="s">
        <v>234</v>
      </c>
      <c r="D10" s="152" t="s">
        <v>235</v>
      </c>
      <c r="E10" s="281">
        <v>15</v>
      </c>
      <c r="F10" s="282">
        <v>195</v>
      </c>
      <c r="G10" s="283">
        <f t="shared" si="0"/>
        <v>2925</v>
      </c>
      <c r="H10" s="284">
        <v>0</v>
      </c>
      <c r="I10" s="284">
        <f>H10</f>
        <v>0</v>
      </c>
      <c r="J10" s="284">
        <v>0</v>
      </c>
      <c r="K10" s="284">
        <v>0</v>
      </c>
      <c r="L10" s="284">
        <v>0</v>
      </c>
      <c r="M10" s="284">
        <v>0</v>
      </c>
      <c r="N10" s="285">
        <f t="shared" si="1"/>
        <v>2925</v>
      </c>
      <c r="O10" s="286"/>
      <c r="P10" s="287">
        <f t="shared" si="2"/>
        <v>0</v>
      </c>
      <c r="Q10" s="287">
        <f t="shared" si="3"/>
        <v>2925</v>
      </c>
      <c r="R10" s="287">
        <f t="shared" si="4"/>
        <v>2105.21</v>
      </c>
      <c r="S10" s="287">
        <f t="shared" si="5"/>
        <v>819.79</v>
      </c>
      <c r="T10" s="288">
        <f t="shared" si="6"/>
        <v>0.10879999999999999</v>
      </c>
      <c r="U10" s="287">
        <f t="shared" si="7"/>
        <v>89.193151999999998</v>
      </c>
      <c r="V10" s="287">
        <f t="shared" si="8"/>
        <v>123.62</v>
      </c>
      <c r="W10" s="287">
        <f t="shared" si="9"/>
        <v>212.813152</v>
      </c>
      <c r="X10" s="287">
        <f t="shared" si="10"/>
        <v>147.315</v>
      </c>
      <c r="Y10" s="287">
        <f t="shared" si="11"/>
        <v>65.498152000000005</v>
      </c>
      <c r="Z10" s="289"/>
      <c r="AA10" s="285">
        <f t="shared" si="12"/>
        <v>0</v>
      </c>
      <c r="AB10" s="285">
        <f t="shared" si="13"/>
        <v>65.498152000000005</v>
      </c>
      <c r="AC10" s="285">
        <v>0</v>
      </c>
      <c r="AD10" s="290">
        <v>0</v>
      </c>
      <c r="AE10" s="290">
        <v>0</v>
      </c>
      <c r="AF10" s="290">
        <v>0</v>
      </c>
      <c r="AG10" s="285">
        <f t="shared" si="14"/>
        <v>65.498152000000005</v>
      </c>
      <c r="AH10" s="285">
        <f t="shared" si="15"/>
        <v>2859.5018479999999</v>
      </c>
      <c r="AI10" s="111"/>
      <c r="AJ10" s="52"/>
      <c r="AK10" s="111">
        <v>56</v>
      </c>
      <c r="AL10" s="111">
        <f>-AK10-AA10</f>
        <v>-56</v>
      </c>
    </row>
    <row r="11" spans="1:38" s="140" customFormat="1" ht="30" customHeight="1">
      <c r="A11" s="7"/>
      <c r="B11" s="108">
        <v>4</v>
      </c>
      <c r="C11" s="291" t="s">
        <v>236</v>
      </c>
      <c r="D11" s="152" t="s">
        <v>260</v>
      </c>
      <c r="E11" s="281">
        <v>15</v>
      </c>
      <c r="F11" s="282">
        <v>131</v>
      </c>
      <c r="G11" s="283">
        <f t="shared" si="0"/>
        <v>1965</v>
      </c>
      <c r="H11" s="284">
        <v>0</v>
      </c>
      <c r="I11" s="284">
        <f>H11</f>
        <v>0</v>
      </c>
      <c r="J11" s="284">
        <v>0</v>
      </c>
      <c r="K11" s="284">
        <v>0</v>
      </c>
      <c r="L11" s="284">
        <v>0</v>
      </c>
      <c r="M11" s="284">
        <v>0</v>
      </c>
      <c r="N11" s="285">
        <f t="shared" si="1"/>
        <v>1965</v>
      </c>
      <c r="O11" s="286"/>
      <c r="P11" s="287">
        <f t="shared" si="2"/>
        <v>0</v>
      </c>
      <c r="Q11" s="287">
        <f t="shared" si="3"/>
        <v>1965</v>
      </c>
      <c r="R11" s="287">
        <f t="shared" si="4"/>
        <v>248.04</v>
      </c>
      <c r="S11" s="287">
        <f t="shared" si="5"/>
        <v>1716.96</v>
      </c>
      <c r="T11" s="288">
        <f t="shared" si="6"/>
        <v>6.4000000000000001E-2</v>
      </c>
      <c r="U11" s="287">
        <f t="shared" si="7"/>
        <v>109.88544</v>
      </c>
      <c r="V11" s="287">
        <f t="shared" si="8"/>
        <v>4.76</v>
      </c>
      <c r="W11" s="287">
        <f t="shared" si="9"/>
        <v>114.64544000000001</v>
      </c>
      <c r="X11" s="287">
        <f t="shared" si="10"/>
        <v>191.23</v>
      </c>
      <c r="Y11" s="287">
        <f t="shared" si="11"/>
        <v>-76.584559999999982</v>
      </c>
      <c r="Z11" s="289"/>
      <c r="AA11" s="285">
        <f t="shared" si="12"/>
        <v>76.584559999999982</v>
      </c>
      <c r="AB11" s="285">
        <f t="shared" si="13"/>
        <v>0</v>
      </c>
      <c r="AC11" s="285">
        <v>0</v>
      </c>
      <c r="AD11" s="290">
        <v>0</v>
      </c>
      <c r="AE11" s="290">
        <v>0</v>
      </c>
      <c r="AF11" s="290">
        <v>0</v>
      </c>
      <c r="AG11" s="285">
        <f t="shared" si="14"/>
        <v>0</v>
      </c>
      <c r="AH11" s="285">
        <f t="shared" si="15"/>
        <v>2041.58456</v>
      </c>
      <c r="AI11" s="111"/>
      <c r="AJ11" s="52"/>
      <c r="AK11" s="111">
        <v>4.1399999999999864</v>
      </c>
      <c r="AL11" s="111">
        <f t="shared" ref="AL11:AL12" si="16">AB11-AK11</f>
        <v>-4.1399999999999864</v>
      </c>
    </row>
    <row r="12" spans="1:38" s="140" customFormat="1" ht="30" customHeight="1">
      <c r="A12" s="7"/>
      <c r="B12" s="108">
        <v>5</v>
      </c>
      <c r="C12" s="291" t="s">
        <v>237</v>
      </c>
      <c r="D12" s="152" t="s">
        <v>235</v>
      </c>
      <c r="E12" s="281">
        <v>15</v>
      </c>
      <c r="F12" s="282">
        <v>167</v>
      </c>
      <c r="G12" s="283">
        <f t="shared" si="0"/>
        <v>2505</v>
      </c>
      <c r="H12" s="284">
        <v>0</v>
      </c>
      <c r="I12" s="284">
        <f t="shared" ref="I12" si="17">H12</f>
        <v>0</v>
      </c>
      <c r="J12" s="284">
        <v>0</v>
      </c>
      <c r="K12" s="284">
        <v>0</v>
      </c>
      <c r="L12" s="284">
        <v>0</v>
      </c>
      <c r="M12" s="284">
        <v>0</v>
      </c>
      <c r="N12" s="285">
        <f t="shared" si="1"/>
        <v>2505</v>
      </c>
      <c r="O12" s="286"/>
      <c r="P12" s="287">
        <f t="shared" si="2"/>
        <v>0</v>
      </c>
      <c r="Q12" s="287">
        <f t="shared" si="3"/>
        <v>2505</v>
      </c>
      <c r="R12" s="287">
        <f t="shared" si="4"/>
        <v>2105.21</v>
      </c>
      <c r="S12" s="287">
        <f t="shared" si="5"/>
        <v>399.78999999999996</v>
      </c>
      <c r="T12" s="288">
        <f t="shared" si="6"/>
        <v>0.10879999999999999</v>
      </c>
      <c r="U12" s="287">
        <f t="shared" si="7"/>
        <v>43.497151999999993</v>
      </c>
      <c r="V12" s="287">
        <f t="shared" si="8"/>
        <v>123.62</v>
      </c>
      <c r="W12" s="287">
        <f t="shared" si="9"/>
        <v>167.117152</v>
      </c>
      <c r="X12" s="287">
        <f t="shared" si="10"/>
        <v>162.435</v>
      </c>
      <c r="Y12" s="287">
        <f t="shared" si="11"/>
        <v>4.6821520000000021</v>
      </c>
      <c r="Z12" s="289"/>
      <c r="AA12" s="285">
        <f t="shared" si="12"/>
        <v>0</v>
      </c>
      <c r="AB12" s="285">
        <f t="shared" si="13"/>
        <v>4.6821520000000021</v>
      </c>
      <c r="AC12" s="285">
        <v>0</v>
      </c>
      <c r="AD12" s="290">
        <v>0</v>
      </c>
      <c r="AE12" s="290">
        <v>0</v>
      </c>
      <c r="AF12" s="290">
        <v>0</v>
      </c>
      <c r="AG12" s="285">
        <f t="shared" ref="AG12" si="18">SUM(AB12:AF12)</f>
        <v>4.6821520000000021</v>
      </c>
      <c r="AH12" s="285">
        <f t="shared" si="15"/>
        <v>2500.3178480000001</v>
      </c>
      <c r="AI12" s="111"/>
      <c r="AJ12" s="52"/>
      <c r="AK12" s="111">
        <v>73</v>
      </c>
      <c r="AL12" s="111">
        <f t="shared" si="16"/>
        <v>-68.317847999999998</v>
      </c>
    </row>
    <row r="13" spans="1:38" s="140" customFormat="1" ht="30" customHeight="1">
      <c r="A13" s="7"/>
      <c r="B13" s="108">
        <v>6</v>
      </c>
      <c r="C13" s="291" t="s">
        <v>259</v>
      </c>
      <c r="D13" s="152" t="s">
        <v>260</v>
      </c>
      <c r="E13" s="281">
        <v>15</v>
      </c>
      <c r="F13" s="282">
        <v>131.5</v>
      </c>
      <c r="G13" s="283">
        <f t="shared" ref="G13" si="19">E13*F13</f>
        <v>1972.5</v>
      </c>
      <c r="H13" s="284">
        <v>0</v>
      </c>
      <c r="I13" s="284">
        <f t="shared" ref="I13" si="20">H13</f>
        <v>0</v>
      </c>
      <c r="J13" s="284">
        <v>0</v>
      </c>
      <c r="K13" s="284">
        <v>0</v>
      </c>
      <c r="L13" s="284">
        <v>0</v>
      </c>
      <c r="M13" s="284">
        <v>0</v>
      </c>
      <c r="N13" s="285">
        <f t="shared" ref="N13" si="21">SUM(G13:M13)</f>
        <v>1972.5</v>
      </c>
      <c r="O13" s="286"/>
      <c r="P13" s="287">
        <f t="shared" ref="P13" si="22">IF(F13=47.16,0,IF(F13&gt;47.16,K13*0.5,0))</f>
        <v>0</v>
      </c>
      <c r="Q13" s="287">
        <f t="shared" ref="Q13" si="23">G13+H13+I13+L13+P13+J13</f>
        <v>1972.5</v>
      </c>
      <c r="R13" s="287">
        <f t="shared" ref="R13" si="24">VLOOKUP(Q13,Tarifa1,1)</f>
        <v>248.04</v>
      </c>
      <c r="S13" s="287">
        <f t="shared" ref="S13" si="25">Q13-R13</f>
        <v>1724.46</v>
      </c>
      <c r="T13" s="288">
        <f t="shared" ref="T13" si="26">VLOOKUP(Q13,Tarifa1,3)</f>
        <v>6.4000000000000001E-2</v>
      </c>
      <c r="U13" s="287">
        <f t="shared" ref="U13" si="27">S13*T13</f>
        <v>110.36544000000001</v>
      </c>
      <c r="V13" s="287">
        <f t="shared" ref="V13" si="28">VLOOKUP(Q13,Tarifa1,2)</f>
        <v>4.76</v>
      </c>
      <c r="W13" s="287">
        <f t="shared" ref="W13" si="29">U13+V13</f>
        <v>115.12544000000001</v>
      </c>
      <c r="X13" s="287">
        <f t="shared" ref="X13" si="30">VLOOKUP(Q13,Credito1,2)</f>
        <v>191.23</v>
      </c>
      <c r="Y13" s="287">
        <f t="shared" ref="Y13" si="31">W13-X13</f>
        <v>-76.104559999999978</v>
      </c>
      <c r="Z13" s="289"/>
      <c r="AA13" s="285">
        <f t="shared" ref="AA13" si="32">-IF(Y13&gt;0,0,Y13)</f>
        <v>76.104559999999978</v>
      </c>
      <c r="AB13" s="285">
        <f t="shared" ref="AB13" si="33">IF(Y13&lt;0,0,Y13)</f>
        <v>0</v>
      </c>
      <c r="AC13" s="285">
        <v>0</v>
      </c>
      <c r="AD13" s="290">
        <v>0</v>
      </c>
      <c r="AE13" s="290">
        <v>0</v>
      </c>
      <c r="AF13" s="290">
        <v>0</v>
      </c>
      <c r="AG13" s="285">
        <f t="shared" ref="AG13" si="34">SUM(AB13:AF13)</f>
        <v>0</v>
      </c>
      <c r="AH13" s="285">
        <f t="shared" ref="AH13" si="35">N13+AA13-AG13</f>
        <v>2048.6045599999998</v>
      </c>
      <c r="AI13" s="111"/>
      <c r="AJ13" s="52"/>
      <c r="AK13" s="111"/>
      <c r="AL13" s="111"/>
    </row>
    <row r="14" spans="1:38" s="140" customFormat="1" ht="30" customHeight="1">
      <c r="A14" s="7"/>
      <c r="B14" s="108">
        <v>7</v>
      </c>
      <c r="C14" s="151" t="s">
        <v>409</v>
      </c>
      <c r="D14" s="152" t="s">
        <v>260</v>
      </c>
      <c r="E14" s="281">
        <v>15</v>
      </c>
      <c r="F14" s="282">
        <v>131.5</v>
      </c>
      <c r="G14" s="283">
        <f t="shared" ref="G14" si="36">E14*F14</f>
        <v>1972.5</v>
      </c>
      <c r="H14" s="284">
        <v>0</v>
      </c>
      <c r="I14" s="284">
        <f t="shared" ref="I14" si="37">H14</f>
        <v>0</v>
      </c>
      <c r="J14" s="284">
        <v>0</v>
      </c>
      <c r="K14" s="284">
        <v>0</v>
      </c>
      <c r="L14" s="284">
        <v>0</v>
      </c>
      <c r="M14" s="284">
        <v>0</v>
      </c>
      <c r="N14" s="285">
        <f t="shared" ref="N14" si="38">SUM(G14:M14)</f>
        <v>1972.5</v>
      </c>
      <c r="O14" s="286"/>
      <c r="P14" s="287">
        <f t="shared" ref="P14" si="39">IF(F14=47.16,0,IF(F14&gt;47.16,K14*0.5,0))</f>
        <v>0</v>
      </c>
      <c r="Q14" s="287">
        <f t="shared" ref="Q14" si="40">G14+H14+I14+L14+P14+J14</f>
        <v>1972.5</v>
      </c>
      <c r="R14" s="287">
        <f t="shared" ref="R14" si="41">VLOOKUP(Q14,Tarifa1,1)</f>
        <v>248.04</v>
      </c>
      <c r="S14" s="287">
        <f t="shared" ref="S14" si="42">Q14-R14</f>
        <v>1724.46</v>
      </c>
      <c r="T14" s="288">
        <f t="shared" ref="T14" si="43">VLOOKUP(Q14,Tarifa1,3)</f>
        <v>6.4000000000000001E-2</v>
      </c>
      <c r="U14" s="287">
        <f t="shared" ref="U14" si="44">S14*T14</f>
        <v>110.36544000000001</v>
      </c>
      <c r="V14" s="287">
        <f t="shared" ref="V14" si="45">VLOOKUP(Q14,Tarifa1,2)</f>
        <v>4.76</v>
      </c>
      <c r="W14" s="287">
        <f t="shared" ref="W14" si="46">U14+V14</f>
        <v>115.12544000000001</v>
      </c>
      <c r="X14" s="287">
        <f t="shared" ref="X14" si="47">VLOOKUP(Q14,Credito1,2)</f>
        <v>191.23</v>
      </c>
      <c r="Y14" s="287">
        <f t="shared" ref="Y14" si="48">W14-X14</f>
        <v>-76.104559999999978</v>
      </c>
      <c r="Z14" s="289"/>
      <c r="AA14" s="285">
        <f t="shared" ref="AA14" si="49">-IF(Y14&gt;0,0,Y14)</f>
        <v>76.104559999999978</v>
      </c>
      <c r="AB14" s="285">
        <f t="shared" ref="AB14" si="50">IF(Y14&lt;0,0,Y14)</f>
        <v>0</v>
      </c>
      <c r="AC14" s="285">
        <v>0</v>
      </c>
      <c r="AD14" s="290">
        <v>0</v>
      </c>
      <c r="AE14" s="290">
        <v>0</v>
      </c>
      <c r="AF14" s="290">
        <v>0</v>
      </c>
      <c r="AG14" s="285">
        <f t="shared" ref="AG14" si="51">SUM(AB14:AF14)</f>
        <v>0</v>
      </c>
      <c r="AH14" s="285">
        <f t="shared" ref="AH14" si="52">N14+AA14-AG14</f>
        <v>2048.6045599999998</v>
      </c>
      <c r="AI14" s="111"/>
      <c r="AJ14" s="52"/>
      <c r="AK14" s="111">
        <v>56</v>
      </c>
      <c r="AL14" s="111">
        <f>-AK14-AA14</f>
        <v>-132.10455999999999</v>
      </c>
    </row>
    <row r="15" spans="1:38" s="140" customFormat="1" ht="30" customHeight="1">
      <c r="A15" s="7"/>
      <c r="B15" s="108"/>
      <c r="C15" s="147"/>
      <c r="D15" s="148"/>
      <c r="E15" s="109"/>
      <c r="F15" s="142"/>
      <c r="G15" s="117"/>
      <c r="H15" s="110"/>
      <c r="I15" s="110"/>
      <c r="J15" s="110"/>
      <c r="K15" s="110"/>
      <c r="L15" s="110"/>
      <c r="M15" s="110"/>
      <c r="N15" s="215"/>
      <c r="O15" s="216"/>
      <c r="P15" s="217"/>
      <c r="Q15" s="217"/>
      <c r="R15" s="217"/>
      <c r="S15" s="217"/>
      <c r="T15" s="218"/>
      <c r="U15" s="217"/>
      <c r="V15" s="217"/>
      <c r="W15" s="217"/>
      <c r="X15" s="217"/>
      <c r="Y15" s="217"/>
      <c r="Z15" s="219"/>
      <c r="AA15" s="215"/>
      <c r="AB15" s="215"/>
      <c r="AC15" s="215"/>
      <c r="AD15" s="220"/>
      <c r="AE15" s="220"/>
      <c r="AF15" s="220"/>
      <c r="AG15" s="215"/>
      <c r="AH15" s="215"/>
      <c r="AI15" s="111"/>
      <c r="AJ15" s="52"/>
      <c r="AK15" s="111">
        <v>-125.33</v>
      </c>
      <c r="AL15" s="111">
        <f>-AK15-AA15</f>
        <v>125.33</v>
      </c>
    </row>
    <row r="16" spans="1:38" s="140" customFormat="1" ht="30" hidden="1" customHeight="1">
      <c r="A16" s="7"/>
      <c r="B16" s="253"/>
      <c r="C16" s="178"/>
      <c r="D16" s="179"/>
      <c r="E16" s="182"/>
      <c r="F16" s="254"/>
      <c r="G16" s="255"/>
      <c r="H16" s="256"/>
      <c r="I16" s="256"/>
      <c r="J16" s="256"/>
      <c r="K16" s="256"/>
      <c r="L16" s="256"/>
      <c r="M16" s="256"/>
      <c r="N16" s="258"/>
      <c r="O16" s="216"/>
      <c r="P16" s="259"/>
      <c r="Q16" s="259"/>
      <c r="R16" s="259"/>
      <c r="S16" s="259"/>
      <c r="T16" s="260"/>
      <c r="U16" s="259"/>
      <c r="V16" s="259"/>
      <c r="W16" s="259"/>
      <c r="X16" s="259"/>
      <c r="Y16" s="259"/>
      <c r="Z16" s="219"/>
      <c r="AA16" s="258"/>
      <c r="AB16" s="258"/>
      <c r="AC16" s="258"/>
      <c r="AD16" s="261"/>
      <c r="AE16" s="261"/>
      <c r="AF16" s="261"/>
      <c r="AG16" s="258"/>
      <c r="AH16" s="258"/>
      <c r="AI16" s="257"/>
      <c r="AJ16" s="52"/>
      <c r="AK16" s="257"/>
      <c r="AL16" s="257"/>
    </row>
    <row r="17" spans="1:38" s="140" customFormat="1">
      <c r="A17" s="7"/>
      <c r="B17" s="100"/>
      <c r="C17" s="115"/>
      <c r="D17" s="115"/>
      <c r="E17" s="100"/>
      <c r="F17" s="101"/>
      <c r="G17" s="118"/>
      <c r="H17" s="102"/>
      <c r="I17" s="102"/>
      <c r="J17" s="102"/>
      <c r="K17" s="102"/>
      <c r="L17" s="102"/>
      <c r="M17" s="102"/>
      <c r="N17" s="221"/>
      <c r="O17" s="222"/>
      <c r="P17" s="223"/>
      <c r="Q17" s="224"/>
      <c r="R17" s="224"/>
      <c r="S17" s="224"/>
      <c r="T17" s="224"/>
      <c r="U17" s="224"/>
      <c r="V17" s="224"/>
      <c r="W17" s="224"/>
      <c r="X17" s="224"/>
      <c r="Y17" s="224"/>
      <c r="Z17" s="225"/>
      <c r="AA17" s="221"/>
      <c r="AB17" s="221"/>
      <c r="AC17" s="221"/>
      <c r="AD17" s="221"/>
      <c r="AE17" s="221"/>
      <c r="AF17" s="221"/>
      <c r="AG17" s="221"/>
      <c r="AH17" s="226"/>
      <c r="AI17" s="105"/>
      <c r="AJ17" s="7"/>
      <c r="AK17" s="105"/>
      <c r="AL17" s="105"/>
    </row>
    <row r="18" spans="1:38" s="140" customFormat="1">
      <c r="A18" s="7"/>
      <c r="B18" s="93"/>
      <c r="C18" s="93"/>
      <c r="D18" s="93"/>
      <c r="E18" s="92"/>
      <c r="F18" s="93"/>
      <c r="G18" s="95"/>
      <c r="H18" s="95"/>
      <c r="I18" s="95"/>
      <c r="J18" s="95"/>
      <c r="K18" s="95"/>
      <c r="L18" s="95"/>
      <c r="M18" s="95"/>
      <c r="N18" s="227"/>
      <c r="O18" s="228"/>
      <c r="P18" s="229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98"/>
      <c r="AJ18" s="7"/>
      <c r="AK18" s="98"/>
      <c r="AL18" s="98"/>
    </row>
    <row r="19" spans="1:38" s="140" customFormat="1" ht="15.75" thickBot="1">
      <c r="A19" s="7"/>
      <c r="B19" s="634" t="s">
        <v>71</v>
      </c>
      <c r="C19" s="635"/>
      <c r="D19" s="635"/>
      <c r="E19" s="635"/>
      <c r="F19" s="636"/>
      <c r="G19" s="114">
        <f t="shared" ref="G19:N19" si="53">SUM(G8:G18)</f>
        <v>17145</v>
      </c>
      <c r="H19" s="114">
        <f t="shared" si="53"/>
        <v>0</v>
      </c>
      <c r="I19" s="114">
        <f t="shared" si="53"/>
        <v>0</v>
      </c>
      <c r="J19" s="114">
        <f t="shared" si="53"/>
        <v>0</v>
      </c>
      <c r="K19" s="114">
        <f t="shared" si="53"/>
        <v>0</v>
      </c>
      <c r="L19" s="114">
        <f t="shared" si="53"/>
        <v>0</v>
      </c>
      <c r="M19" s="114">
        <f t="shared" si="53"/>
        <v>0</v>
      </c>
      <c r="N19" s="188">
        <f t="shared" si="53"/>
        <v>17145</v>
      </c>
      <c r="O19" s="189"/>
      <c r="P19" s="190">
        <f t="shared" ref="P19:Y19" si="54">SUM(P8:P18)</f>
        <v>0</v>
      </c>
      <c r="Q19" s="190">
        <f t="shared" si="54"/>
        <v>17145</v>
      </c>
      <c r="R19" s="190">
        <f t="shared" si="54"/>
        <v>9164.9600000000028</v>
      </c>
      <c r="S19" s="190">
        <f t="shared" si="54"/>
        <v>7980.04</v>
      </c>
      <c r="T19" s="190">
        <f t="shared" si="54"/>
        <v>0.62719999999999998</v>
      </c>
      <c r="U19" s="190">
        <f t="shared" si="54"/>
        <v>636.79692799999998</v>
      </c>
      <c r="V19" s="190">
        <f t="shared" si="54"/>
        <v>508.76</v>
      </c>
      <c r="W19" s="190">
        <f t="shared" si="54"/>
        <v>1145.556928</v>
      </c>
      <c r="X19" s="190">
        <f t="shared" si="54"/>
        <v>1178.07</v>
      </c>
      <c r="Y19" s="190">
        <f t="shared" si="54"/>
        <v>-32.513071999999937</v>
      </c>
      <c r="Z19" s="189"/>
      <c r="AA19" s="188">
        <f t="shared" ref="AA19:AH19" si="55">SUM(AA8:AA18)</f>
        <v>228.79367999999994</v>
      </c>
      <c r="AB19" s="188">
        <f t="shared" si="55"/>
        <v>196.280608</v>
      </c>
      <c r="AC19" s="188">
        <f t="shared" si="55"/>
        <v>0</v>
      </c>
      <c r="AD19" s="188">
        <f t="shared" si="55"/>
        <v>0</v>
      </c>
      <c r="AE19" s="188">
        <f t="shared" si="55"/>
        <v>0</v>
      </c>
      <c r="AF19" s="188">
        <f t="shared" si="55"/>
        <v>0</v>
      </c>
      <c r="AG19" s="188">
        <f t="shared" si="55"/>
        <v>196.280608</v>
      </c>
      <c r="AH19" s="188">
        <f t="shared" si="55"/>
        <v>17177.513072000002</v>
      </c>
      <c r="AI19" s="114"/>
      <c r="AJ19" s="7"/>
      <c r="AK19" s="114">
        <f t="shared" ref="AK19:AL19" si="56">SUM(AK8:AK18)</f>
        <v>184.81</v>
      </c>
      <c r="AL19" s="114">
        <f t="shared" si="56"/>
        <v>-211.95025600000002</v>
      </c>
    </row>
    <row r="20" spans="1:38" s="140" customFormat="1" ht="13.5" thickTop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7"/>
      <c r="AJ20" s="7"/>
      <c r="AK20" s="7"/>
      <c r="AL20" s="7"/>
    </row>
    <row r="23" spans="1:38">
      <c r="C23" s="52"/>
      <c r="D23" s="52"/>
    </row>
    <row r="24" spans="1:38">
      <c r="C24" s="52"/>
      <c r="D24" s="52"/>
    </row>
    <row r="25" spans="1:38">
      <c r="C25" s="52"/>
      <c r="D25" s="52"/>
    </row>
    <row r="27" spans="1:38">
      <c r="C27" s="144"/>
      <c r="D27" s="144"/>
    </row>
  </sheetData>
  <mergeCells count="6">
    <mergeCell ref="B19:F19"/>
    <mergeCell ref="B2:AH2"/>
    <mergeCell ref="B3:AH3"/>
    <mergeCell ref="G4:N4"/>
    <mergeCell ref="R4:W4"/>
    <mergeCell ref="AB4:AG4"/>
  </mergeCells>
  <pageMargins left="0.23622047244094491" right="0.23622047244094491" top="0.74803149606299213" bottom="0" header="0.31496062992125984" footer="0.31496062992125984"/>
  <pageSetup paperSize="5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58"/>
  <sheetViews>
    <sheetView showGridLines="0" topLeftCell="A4" zoomScale="71" zoomScaleNormal="71" workbookViewId="0">
      <selection activeCell="K9" sqref="K9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28.42578125" style="7" bestFit="1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8.85546875" style="159" bestFit="1" customWidth="1"/>
    <col min="28" max="28" width="9.28515625" style="159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1.140625" style="159" customWidth="1"/>
    <col min="34" max="34" width="13.42578125" style="159" customWidth="1"/>
    <col min="35" max="35" width="42.855468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61" t="s">
        <v>113</v>
      </c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  <c r="V2" s="661"/>
      <c r="W2" s="661"/>
      <c r="X2" s="661"/>
      <c r="Y2" s="661"/>
      <c r="Z2" s="661"/>
      <c r="AA2" s="661"/>
      <c r="AB2" s="661"/>
      <c r="AC2" s="661"/>
      <c r="AD2" s="661"/>
      <c r="AE2" s="661"/>
      <c r="AF2" s="661"/>
      <c r="AG2" s="661"/>
      <c r="AH2" s="661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153" t="s">
        <v>91</v>
      </c>
      <c r="AB4" s="645" t="s">
        <v>3</v>
      </c>
      <c r="AC4" s="646"/>
      <c r="AD4" s="646"/>
      <c r="AE4" s="646"/>
      <c r="AF4" s="646"/>
      <c r="AG4" s="647"/>
      <c r="AH4" s="153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154" t="s">
        <v>57</v>
      </c>
      <c r="AB5" s="153" t="s">
        <v>4</v>
      </c>
      <c r="AC5" s="153" t="s">
        <v>5</v>
      </c>
      <c r="AD5" s="153" t="s">
        <v>56</v>
      </c>
      <c r="AE5" s="153" t="s">
        <v>77</v>
      </c>
      <c r="AF5" s="153"/>
      <c r="AG5" s="153" t="s">
        <v>10</v>
      </c>
      <c r="AH5" s="154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155" t="s">
        <v>90</v>
      </c>
      <c r="AB6" s="155"/>
      <c r="AC6" s="155"/>
      <c r="AD6" s="155" t="s">
        <v>75</v>
      </c>
      <c r="AE6" s="155" t="s">
        <v>78</v>
      </c>
      <c r="AF6" s="155" t="s">
        <v>101</v>
      </c>
      <c r="AG6" s="155" t="s">
        <v>70</v>
      </c>
      <c r="AH6" s="155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132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209"/>
      <c r="O7" s="210"/>
      <c r="P7" s="211"/>
      <c r="Q7" s="211"/>
      <c r="R7" s="211"/>
      <c r="S7" s="211"/>
      <c r="T7" s="211"/>
      <c r="U7" s="211"/>
      <c r="V7" s="211"/>
      <c r="W7" s="211"/>
      <c r="X7" s="211"/>
      <c r="Y7" s="212"/>
      <c r="Z7" s="213"/>
      <c r="AA7" s="209"/>
      <c r="AB7" s="209"/>
      <c r="AC7" s="209"/>
      <c r="AD7" s="209"/>
      <c r="AE7" s="209"/>
      <c r="AF7" s="209"/>
      <c r="AG7" s="209"/>
      <c r="AH7" s="214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192</v>
      </c>
      <c r="D8" s="148" t="s">
        <v>193</v>
      </c>
      <c r="E8" s="109">
        <v>15</v>
      </c>
      <c r="F8" s="142">
        <v>380</v>
      </c>
      <c r="G8" s="117">
        <f t="shared" ref="G8" si="0">E8*F8</f>
        <v>5700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" si="1">SUM(G8:M8)</f>
        <v>5700</v>
      </c>
      <c r="O8" s="216"/>
      <c r="P8" s="217">
        <f t="shared" ref="P8" si="2">IF(F8=47.16,0,IF(F8&gt;47.16,K8*0.5,0))</f>
        <v>0</v>
      </c>
      <c r="Q8" s="217">
        <f t="shared" ref="Q8" si="3">G8+H8+I8+L8+P8+J8</f>
        <v>5700</v>
      </c>
      <c r="R8" s="217">
        <f t="shared" ref="R8" si="4">VLOOKUP(Q8,Tarifa1,1)</f>
        <v>5149.18</v>
      </c>
      <c r="S8" s="217">
        <f t="shared" ref="S8" si="5">Q8-R8</f>
        <v>550.81999999999971</v>
      </c>
      <c r="T8" s="218">
        <f t="shared" ref="T8" si="6">VLOOKUP(Q8,Tarifa1,3)</f>
        <v>0.21360000000000001</v>
      </c>
      <c r="U8" s="217">
        <f t="shared" ref="U8" si="7">S8*T8</f>
        <v>117.65515199999994</v>
      </c>
      <c r="V8" s="217">
        <f t="shared" ref="V8" si="8">VLOOKUP(Q8,Tarifa1,2)</f>
        <v>545.30499999999995</v>
      </c>
      <c r="W8" s="217">
        <f t="shared" ref="W8" si="9">U8+V8</f>
        <v>662.96015199999988</v>
      </c>
      <c r="X8" s="217">
        <f t="shared" ref="X8" si="10">VLOOKUP(Q8,Credito1,2)</f>
        <v>0</v>
      </c>
      <c r="Y8" s="217">
        <f t="shared" ref="Y8" si="11">W8-X8</f>
        <v>662.96015199999988</v>
      </c>
      <c r="Z8" s="219"/>
      <c r="AA8" s="215">
        <f t="shared" ref="AA8" si="12">-IF(Y8&gt;0,0,Y8)</f>
        <v>0</v>
      </c>
      <c r="AB8" s="215">
        <f t="shared" ref="AB8" si="13">IF(Y8&lt;0,0,Y8)</f>
        <v>662.96015199999988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" si="14">SUM(AB8:AF8)</f>
        <v>662.96015199999988</v>
      </c>
      <c r="AH8" s="215">
        <f t="shared" ref="AH8" si="15">N8+AA8-AG8</f>
        <v>5037.0398480000003</v>
      </c>
      <c r="AI8" s="111"/>
      <c r="AJ8" s="52"/>
      <c r="AK8" s="111">
        <v>940</v>
      </c>
      <c r="AL8" s="111">
        <f>AB8-AK8</f>
        <v>-277.03984800000012</v>
      </c>
    </row>
    <row r="9" spans="1:38" s="140" customFormat="1" ht="30" customHeight="1">
      <c r="A9" s="7"/>
      <c r="B9" s="108">
        <v>2</v>
      </c>
      <c r="C9" s="147" t="s">
        <v>194</v>
      </c>
      <c r="D9" s="184" t="s">
        <v>238</v>
      </c>
      <c r="E9" s="109">
        <v>15</v>
      </c>
      <c r="F9" s="142">
        <v>223</v>
      </c>
      <c r="G9" s="117">
        <f t="shared" ref="G9:G19" si="16">E9*F9</f>
        <v>3345</v>
      </c>
      <c r="H9" s="110">
        <v>0</v>
      </c>
      <c r="I9" s="110">
        <v>0</v>
      </c>
      <c r="J9" s="110">
        <v>0</v>
      </c>
      <c r="K9" s="110">
        <v>83.62</v>
      </c>
      <c r="L9" s="110">
        <v>0</v>
      </c>
      <c r="M9" s="110">
        <v>0</v>
      </c>
      <c r="N9" s="215">
        <f t="shared" ref="N9:N19" si="17">SUM(G9:M9)</f>
        <v>3428.62</v>
      </c>
      <c r="O9" s="216"/>
      <c r="P9" s="217">
        <f t="shared" ref="P9:P19" si="18">IF(F9=47.16,0,IF(F9&gt;47.16,K9*0.5,0))</f>
        <v>41.81</v>
      </c>
      <c r="Q9" s="217">
        <f t="shared" ref="Q9:Q19" si="19">G9+H9+I9+L9+P9+J9</f>
        <v>3386.81</v>
      </c>
      <c r="R9" s="217">
        <f t="shared" ref="R9:R19" si="20">VLOOKUP(Q9,Tarifa1,1)</f>
        <v>2105.21</v>
      </c>
      <c r="S9" s="217">
        <f t="shared" ref="S9:S19" si="21">Q9-R9</f>
        <v>1281.5999999999999</v>
      </c>
      <c r="T9" s="218">
        <f t="shared" ref="T9:T19" si="22">VLOOKUP(Q9,Tarifa1,3)</f>
        <v>0.10879999999999999</v>
      </c>
      <c r="U9" s="217">
        <f t="shared" ref="U9:U19" si="23">S9*T9</f>
        <v>139.43807999999999</v>
      </c>
      <c r="V9" s="217">
        <f t="shared" ref="V9:V19" si="24">VLOOKUP(Q9,Tarifa1,2)</f>
        <v>123.62</v>
      </c>
      <c r="W9" s="217">
        <f t="shared" ref="W9:W19" si="25">U9+V9</f>
        <v>263.05808000000002</v>
      </c>
      <c r="X9" s="217">
        <f t="shared" ref="X9:X19" si="26">VLOOKUP(Q9,Credito1,2)</f>
        <v>126.77</v>
      </c>
      <c r="Y9" s="217">
        <f t="shared" ref="Y9:Y19" si="27">W9-X9</f>
        <v>136.28808000000004</v>
      </c>
      <c r="Z9" s="219"/>
      <c r="AA9" s="215">
        <f t="shared" ref="AA9:AA19" si="28">-IF(Y9&gt;0,0,Y9)</f>
        <v>0</v>
      </c>
      <c r="AB9" s="215">
        <f t="shared" ref="AB9:AB19" si="29">IF(Y9&lt;0,0,Y9)</f>
        <v>136.28808000000004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ref="AG9:AG19" si="30">SUM(AB9:AF9)</f>
        <v>136.28808000000004</v>
      </c>
      <c r="AH9" s="215">
        <f t="shared" ref="AH9:AH19" si="31">N9+AA9-AG9</f>
        <v>3292.3319199999996</v>
      </c>
      <c r="AI9" s="111"/>
      <c r="AJ9" s="52"/>
      <c r="AK9" s="111">
        <v>4.1399999999999864</v>
      </c>
      <c r="AL9" s="111">
        <f>AB9-AK9</f>
        <v>132.14808000000005</v>
      </c>
    </row>
    <row r="10" spans="1:38" s="140" customFormat="1" ht="30" customHeight="1">
      <c r="A10" s="7"/>
      <c r="B10" s="108">
        <v>3</v>
      </c>
      <c r="C10" s="147" t="s">
        <v>249</v>
      </c>
      <c r="D10" s="148" t="s">
        <v>250</v>
      </c>
      <c r="E10" s="109">
        <v>15</v>
      </c>
      <c r="F10" s="142">
        <v>206</v>
      </c>
      <c r="G10" s="117">
        <f t="shared" si="16"/>
        <v>3090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15">
        <f t="shared" si="17"/>
        <v>3090</v>
      </c>
      <c r="O10" s="216"/>
      <c r="P10" s="217">
        <f t="shared" si="18"/>
        <v>0</v>
      </c>
      <c r="Q10" s="217">
        <f t="shared" si="19"/>
        <v>3090</v>
      </c>
      <c r="R10" s="217">
        <f t="shared" si="20"/>
        <v>2105.21</v>
      </c>
      <c r="S10" s="217">
        <f t="shared" si="21"/>
        <v>984.79</v>
      </c>
      <c r="T10" s="218">
        <f t="shared" si="22"/>
        <v>0.10879999999999999</v>
      </c>
      <c r="U10" s="217">
        <f t="shared" si="23"/>
        <v>107.145152</v>
      </c>
      <c r="V10" s="217">
        <f t="shared" si="24"/>
        <v>123.62</v>
      </c>
      <c r="W10" s="217">
        <f t="shared" si="25"/>
        <v>230.765152</v>
      </c>
      <c r="X10" s="217">
        <f t="shared" si="26"/>
        <v>147.315</v>
      </c>
      <c r="Y10" s="217">
        <f t="shared" si="27"/>
        <v>83.450152000000003</v>
      </c>
      <c r="Z10" s="219"/>
      <c r="AA10" s="215">
        <f t="shared" si="28"/>
        <v>0</v>
      </c>
      <c r="AB10" s="215">
        <f t="shared" si="29"/>
        <v>83.450152000000003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30"/>
        <v>83.450152000000003</v>
      </c>
      <c r="AH10" s="215">
        <f t="shared" si="31"/>
        <v>3006.5498480000001</v>
      </c>
      <c r="AI10" s="111"/>
      <c r="AJ10" s="52"/>
      <c r="AK10" s="111">
        <v>-132.51</v>
      </c>
      <c r="AL10" s="111">
        <f>-AK10-AA10</f>
        <v>132.51</v>
      </c>
    </row>
    <row r="11" spans="1:38" s="140" customFormat="1" ht="30" customHeight="1">
      <c r="A11" s="7"/>
      <c r="B11" s="108">
        <v>4</v>
      </c>
      <c r="C11" s="147" t="s">
        <v>251</v>
      </c>
      <c r="D11" s="148" t="s">
        <v>250</v>
      </c>
      <c r="E11" s="109">
        <v>15</v>
      </c>
      <c r="F11" s="142">
        <v>206</v>
      </c>
      <c r="G11" s="117">
        <f t="shared" si="16"/>
        <v>3090</v>
      </c>
      <c r="H11" s="110">
        <v>0</v>
      </c>
      <c r="I11" s="110">
        <v>0</v>
      </c>
      <c r="J11" s="110">
        <v>0</v>
      </c>
      <c r="K11" s="110">
        <v>77.25</v>
      </c>
      <c r="L11" s="110">
        <v>0</v>
      </c>
      <c r="M11" s="110">
        <v>0</v>
      </c>
      <c r="N11" s="215">
        <f t="shared" si="17"/>
        <v>3167.25</v>
      </c>
      <c r="O11" s="216"/>
      <c r="P11" s="217">
        <f t="shared" si="18"/>
        <v>38.625</v>
      </c>
      <c r="Q11" s="217">
        <f t="shared" si="19"/>
        <v>3128.625</v>
      </c>
      <c r="R11" s="217">
        <f t="shared" si="20"/>
        <v>2105.21</v>
      </c>
      <c r="S11" s="217">
        <f t="shared" si="21"/>
        <v>1023.415</v>
      </c>
      <c r="T11" s="218">
        <f t="shared" si="22"/>
        <v>0.10879999999999999</v>
      </c>
      <c r="U11" s="217">
        <f t="shared" si="23"/>
        <v>111.34755199999999</v>
      </c>
      <c r="V11" s="217">
        <f t="shared" si="24"/>
        <v>123.62</v>
      </c>
      <c r="W11" s="217">
        <f t="shared" si="25"/>
        <v>234.96755200000001</v>
      </c>
      <c r="X11" s="217">
        <f t="shared" si="26"/>
        <v>126.77</v>
      </c>
      <c r="Y11" s="217">
        <f t="shared" si="27"/>
        <v>108.19755200000002</v>
      </c>
      <c r="Z11" s="219"/>
      <c r="AA11" s="215">
        <f t="shared" si="28"/>
        <v>0</v>
      </c>
      <c r="AB11" s="215">
        <f t="shared" si="29"/>
        <v>108.19755200000002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si="30"/>
        <v>108.19755200000002</v>
      </c>
      <c r="AH11" s="215">
        <f t="shared" si="31"/>
        <v>3059.0524479999999</v>
      </c>
      <c r="AI11" s="111"/>
      <c r="AJ11" s="52"/>
      <c r="AK11" s="111">
        <v>73</v>
      </c>
      <c r="AL11" s="111">
        <f>AB11-AK11</f>
        <v>35.197552000000016</v>
      </c>
    </row>
    <row r="12" spans="1:38" s="140" customFormat="1" ht="30" customHeight="1">
      <c r="A12" s="7"/>
      <c r="B12" s="108">
        <v>5</v>
      </c>
      <c r="C12" s="147" t="s">
        <v>440</v>
      </c>
      <c r="D12" s="148" t="s">
        <v>250</v>
      </c>
      <c r="E12" s="109">
        <v>15</v>
      </c>
      <c r="F12" s="142">
        <v>206</v>
      </c>
      <c r="G12" s="117">
        <f t="shared" ref="G12" si="32">E12*F12</f>
        <v>3090</v>
      </c>
      <c r="H12" s="110">
        <v>0</v>
      </c>
      <c r="I12" s="110">
        <v>0</v>
      </c>
      <c r="J12" s="110">
        <v>0</v>
      </c>
      <c r="K12" s="110">
        <v>77.25</v>
      </c>
      <c r="L12" s="110">
        <v>0</v>
      </c>
      <c r="M12" s="110">
        <v>0</v>
      </c>
      <c r="N12" s="215">
        <f t="shared" ref="N12" si="33">SUM(G12:M12)</f>
        <v>3167.25</v>
      </c>
      <c r="O12" s="216"/>
      <c r="P12" s="217">
        <f t="shared" ref="P12" si="34">IF(F12=47.16,0,IF(F12&gt;47.16,K12*0.5,0))</f>
        <v>38.625</v>
      </c>
      <c r="Q12" s="217">
        <f t="shared" ref="Q12" si="35">G12+H12+I12+L12+P12+J12</f>
        <v>3128.625</v>
      </c>
      <c r="R12" s="217">
        <f t="shared" ref="R12" si="36">VLOOKUP(Q12,Tarifa1,1)</f>
        <v>2105.21</v>
      </c>
      <c r="S12" s="217">
        <f t="shared" ref="S12" si="37">Q12-R12</f>
        <v>1023.415</v>
      </c>
      <c r="T12" s="218">
        <f t="shared" ref="T12" si="38">VLOOKUP(Q12,Tarifa1,3)</f>
        <v>0.10879999999999999</v>
      </c>
      <c r="U12" s="217">
        <f t="shared" ref="U12" si="39">S12*T12</f>
        <v>111.34755199999999</v>
      </c>
      <c r="V12" s="217">
        <f t="shared" ref="V12" si="40">VLOOKUP(Q12,Tarifa1,2)</f>
        <v>123.62</v>
      </c>
      <c r="W12" s="217">
        <f t="shared" ref="W12" si="41">U12+V12</f>
        <v>234.96755200000001</v>
      </c>
      <c r="X12" s="217">
        <f t="shared" ref="X12" si="42">VLOOKUP(Q12,Credito1,2)</f>
        <v>126.77</v>
      </c>
      <c r="Y12" s="217">
        <f t="shared" ref="Y12" si="43">W12-X12</f>
        <v>108.19755200000002</v>
      </c>
      <c r="Z12" s="219"/>
      <c r="AA12" s="215">
        <f t="shared" ref="AA12" si="44">-IF(Y12&gt;0,0,Y12)</f>
        <v>0</v>
      </c>
      <c r="AB12" s="215">
        <f t="shared" ref="AB12" si="45">IF(Y12&lt;0,0,Y12)</f>
        <v>108.19755200000002</v>
      </c>
      <c r="AC12" s="215">
        <v>0</v>
      </c>
      <c r="AD12" s="220">
        <v>0</v>
      </c>
      <c r="AE12" s="220">
        <v>0</v>
      </c>
      <c r="AF12" s="220">
        <v>0</v>
      </c>
      <c r="AG12" s="215">
        <f t="shared" ref="AG12" si="46">SUM(AB12:AF12)</f>
        <v>108.19755200000002</v>
      </c>
      <c r="AH12" s="215">
        <f t="shared" ref="AH12" si="47">N12+AA12-AG12</f>
        <v>3059.0524479999999</v>
      </c>
      <c r="AI12" s="111"/>
      <c r="AJ12" s="52"/>
      <c r="AK12" s="111"/>
      <c r="AL12" s="111"/>
    </row>
    <row r="13" spans="1:38" s="140" customFormat="1" ht="30" customHeight="1">
      <c r="A13" s="7"/>
      <c r="B13" s="108">
        <v>6</v>
      </c>
      <c r="C13" s="147" t="s">
        <v>252</v>
      </c>
      <c r="D13" s="148" t="s">
        <v>253</v>
      </c>
      <c r="E13" s="109">
        <v>15</v>
      </c>
      <c r="F13" s="142">
        <v>167</v>
      </c>
      <c r="G13" s="117">
        <f t="shared" si="16"/>
        <v>2505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215">
        <f t="shared" si="17"/>
        <v>2505</v>
      </c>
      <c r="O13" s="216"/>
      <c r="P13" s="217">
        <f t="shared" si="18"/>
        <v>0</v>
      </c>
      <c r="Q13" s="217">
        <f t="shared" si="19"/>
        <v>2505</v>
      </c>
      <c r="R13" s="217">
        <f t="shared" si="20"/>
        <v>2105.21</v>
      </c>
      <c r="S13" s="217">
        <f t="shared" si="21"/>
        <v>399.78999999999996</v>
      </c>
      <c r="T13" s="218">
        <f t="shared" si="22"/>
        <v>0.10879999999999999</v>
      </c>
      <c r="U13" s="217">
        <f t="shared" si="23"/>
        <v>43.497151999999993</v>
      </c>
      <c r="V13" s="217">
        <f t="shared" si="24"/>
        <v>123.62</v>
      </c>
      <c r="W13" s="217">
        <f t="shared" si="25"/>
        <v>167.117152</v>
      </c>
      <c r="X13" s="217">
        <f t="shared" si="26"/>
        <v>162.435</v>
      </c>
      <c r="Y13" s="217">
        <f t="shared" si="27"/>
        <v>4.6821520000000021</v>
      </c>
      <c r="Z13" s="219"/>
      <c r="AA13" s="215">
        <f t="shared" si="28"/>
        <v>0</v>
      </c>
      <c r="AB13" s="215">
        <f t="shared" si="29"/>
        <v>4.6821520000000021</v>
      </c>
      <c r="AC13" s="215">
        <v>0</v>
      </c>
      <c r="AD13" s="220">
        <v>0</v>
      </c>
      <c r="AE13" s="220">
        <v>0</v>
      </c>
      <c r="AF13" s="220">
        <v>0</v>
      </c>
      <c r="AG13" s="215">
        <f t="shared" si="30"/>
        <v>4.6821520000000021</v>
      </c>
      <c r="AH13" s="215">
        <f t="shared" si="31"/>
        <v>2500.3178480000001</v>
      </c>
      <c r="AI13" s="111"/>
      <c r="AJ13" s="52"/>
      <c r="AK13" s="111">
        <v>56</v>
      </c>
      <c r="AL13" s="111">
        <f t="shared" ref="AL13:AL24" si="48">-AK13-AA13</f>
        <v>-56</v>
      </c>
    </row>
    <row r="14" spans="1:38" s="140" customFormat="1" ht="30" customHeight="1">
      <c r="A14" s="7"/>
      <c r="B14" s="108">
        <v>7</v>
      </c>
      <c r="C14" s="147" t="s">
        <v>254</v>
      </c>
      <c r="D14" s="148" t="s">
        <v>253</v>
      </c>
      <c r="E14" s="109">
        <v>15</v>
      </c>
      <c r="F14" s="142">
        <v>167</v>
      </c>
      <c r="G14" s="117">
        <f t="shared" si="16"/>
        <v>2505</v>
      </c>
      <c r="H14" s="110">
        <v>0</v>
      </c>
      <c r="I14" s="110">
        <v>0</v>
      </c>
      <c r="J14" s="110">
        <v>0</v>
      </c>
      <c r="K14" s="110">
        <v>271.37</v>
      </c>
      <c r="L14" s="110">
        <v>0</v>
      </c>
      <c r="M14" s="110">
        <v>0</v>
      </c>
      <c r="N14" s="215">
        <f t="shared" si="17"/>
        <v>2776.37</v>
      </c>
      <c r="O14" s="216"/>
      <c r="P14" s="217">
        <f t="shared" si="18"/>
        <v>135.685</v>
      </c>
      <c r="Q14" s="217">
        <f t="shared" si="19"/>
        <v>2640.6849999999999</v>
      </c>
      <c r="R14" s="217">
        <f t="shared" si="20"/>
        <v>2105.21</v>
      </c>
      <c r="S14" s="217">
        <f t="shared" si="21"/>
        <v>535.47499999999991</v>
      </c>
      <c r="T14" s="218">
        <f t="shared" si="22"/>
        <v>0.10879999999999999</v>
      </c>
      <c r="U14" s="217">
        <f t="shared" si="23"/>
        <v>58.259679999999989</v>
      </c>
      <c r="V14" s="217">
        <f t="shared" si="24"/>
        <v>123.62</v>
      </c>
      <c r="W14" s="217">
        <f t="shared" si="25"/>
        <v>181.87968000000001</v>
      </c>
      <c r="X14" s="217">
        <f t="shared" si="26"/>
        <v>162.435</v>
      </c>
      <c r="Y14" s="217">
        <f t="shared" si="27"/>
        <v>19.444680000000005</v>
      </c>
      <c r="Z14" s="219"/>
      <c r="AA14" s="215">
        <f t="shared" si="28"/>
        <v>0</v>
      </c>
      <c r="AB14" s="215">
        <f t="shared" si="29"/>
        <v>19.444680000000005</v>
      </c>
      <c r="AC14" s="215">
        <v>0</v>
      </c>
      <c r="AD14" s="220">
        <v>0</v>
      </c>
      <c r="AE14" s="220">
        <v>0</v>
      </c>
      <c r="AF14" s="220">
        <v>0</v>
      </c>
      <c r="AG14" s="215">
        <f t="shared" si="30"/>
        <v>19.444680000000005</v>
      </c>
      <c r="AH14" s="215">
        <f t="shared" si="31"/>
        <v>2756.9253199999998</v>
      </c>
      <c r="AI14" s="111"/>
      <c r="AJ14" s="52"/>
      <c r="AK14" s="111">
        <v>56</v>
      </c>
      <c r="AL14" s="111">
        <f t="shared" si="48"/>
        <v>-56</v>
      </c>
    </row>
    <row r="15" spans="1:38" s="140" customFormat="1" ht="30" customHeight="1">
      <c r="A15" s="7"/>
      <c r="B15" s="108">
        <v>8</v>
      </c>
      <c r="C15" s="147" t="s">
        <v>255</v>
      </c>
      <c r="D15" s="148" t="s">
        <v>253</v>
      </c>
      <c r="E15" s="109">
        <v>15</v>
      </c>
      <c r="F15" s="142">
        <v>167</v>
      </c>
      <c r="G15" s="117">
        <f t="shared" si="16"/>
        <v>2505</v>
      </c>
      <c r="H15" s="110">
        <v>0</v>
      </c>
      <c r="I15" s="110">
        <v>0</v>
      </c>
      <c r="J15" s="110">
        <v>0</v>
      </c>
      <c r="K15" s="110">
        <v>62.62</v>
      </c>
      <c r="L15" s="110">
        <v>0</v>
      </c>
      <c r="M15" s="110">
        <v>0</v>
      </c>
      <c r="N15" s="215">
        <f t="shared" si="17"/>
        <v>2567.62</v>
      </c>
      <c r="O15" s="216"/>
      <c r="P15" s="217">
        <f t="shared" si="18"/>
        <v>31.31</v>
      </c>
      <c r="Q15" s="217">
        <f t="shared" si="19"/>
        <v>2536.31</v>
      </c>
      <c r="R15" s="217">
        <f t="shared" si="20"/>
        <v>2105.21</v>
      </c>
      <c r="S15" s="217">
        <f t="shared" si="21"/>
        <v>431.09999999999991</v>
      </c>
      <c r="T15" s="218">
        <f t="shared" si="22"/>
        <v>0.10879999999999999</v>
      </c>
      <c r="U15" s="217">
        <f t="shared" si="23"/>
        <v>46.903679999999987</v>
      </c>
      <c r="V15" s="217">
        <f t="shared" si="24"/>
        <v>123.62</v>
      </c>
      <c r="W15" s="217">
        <f t="shared" si="25"/>
        <v>170.52367999999998</v>
      </c>
      <c r="X15" s="217">
        <f t="shared" si="26"/>
        <v>162.435</v>
      </c>
      <c r="Y15" s="217">
        <f t="shared" si="27"/>
        <v>8.0886799999999823</v>
      </c>
      <c r="Z15" s="219"/>
      <c r="AA15" s="215">
        <f t="shared" si="28"/>
        <v>0</v>
      </c>
      <c r="AB15" s="215">
        <f t="shared" si="29"/>
        <v>8.0886799999999823</v>
      </c>
      <c r="AC15" s="215">
        <v>0</v>
      </c>
      <c r="AD15" s="220">
        <v>0</v>
      </c>
      <c r="AE15" s="220">
        <v>0</v>
      </c>
      <c r="AF15" s="220">
        <v>0</v>
      </c>
      <c r="AG15" s="215">
        <f t="shared" si="30"/>
        <v>8.0886799999999823</v>
      </c>
      <c r="AH15" s="215">
        <f t="shared" si="31"/>
        <v>2559.5313200000001</v>
      </c>
      <c r="AI15" s="111"/>
      <c r="AJ15" s="52"/>
      <c r="AK15" s="111">
        <v>-132.51</v>
      </c>
      <c r="AL15" s="111">
        <f t="shared" si="48"/>
        <v>132.51</v>
      </c>
    </row>
    <row r="16" spans="1:38" s="140" customFormat="1" ht="30" customHeight="1">
      <c r="A16" s="7"/>
      <c r="B16" s="108">
        <v>9</v>
      </c>
      <c r="C16" s="147" t="s">
        <v>256</v>
      </c>
      <c r="D16" s="148" t="s">
        <v>253</v>
      </c>
      <c r="E16" s="109">
        <v>15</v>
      </c>
      <c r="F16" s="142">
        <v>167</v>
      </c>
      <c r="G16" s="117">
        <f t="shared" si="16"/>
        <v>2505</v>
      </c>
      <c r="H16" s="110">
        <v>0</v>
      </c>
      <c r="I16" s="110">
        <v>0</v>
      </c>
      <c r="J16" s="110">
        <v>0</v>
      </c>
      <c r="K16" s="110">
        <v>146.12</v>
      </c>
      <c r="L16" s="110">
        <v>0</v>
      </c>
      <c r="M16" s="110">
        <v>0</v>
      </c>
      <c r="N16" s="215">
        <f t="shared" si="17"/>
        <v>2651.12</v>
      </c>
      <c r="O16" s="216"/>
      <c r="P16" s="217">
        <f t="shared" si="18"/>
        <v>73.06</v>
      </c>
      <c r="Q16" s="217">
        <f t="shared" si="19"/>
        <v>2578.06</v>
      </c>
      <c r="R16" s="217">
        <f t="shared" si="20"/>
        <v>2105.21</v>
      </c>
      <c r="S16" s="217">
        <f t="shared" si="21"/>
        <v>472.84999999999991</v>
      </c>
      <c r="T16" s="218">
        <f t="shared" si="22"/>
        <v>0.10879999999999999</v>
      </c>
      <c r="U16" s="217">
        <f t="shared" si="23"/>
        <v>51.446079999999988</v>
      </c>
      <c r="V16" s="217">
        <f t="shared" si="24"/>
        <v>123.62</v>
      </c>
      <c r="W16" s="217">
        <f t="shared" si="25"/>
        <v>175.06608</v>
      </c>
      <c r="X16" s="217">
        <f t="shared" si="26"/>
        <v>162.435</v>
      </c>
      <c r="Y16" s="217">
        <f t="shared" si="27"/>
        <v>12.631079999999997</v>
      </c>
      <c r="Z16" s="219"/>
      <c r="AA16" s="215">
        <f t="shared" si="28"/>
        <v>0</v>
      </c>
      <c r="AB16" s="215">
        <f t="shared" si="29"/>
        <v>12.631079999999997</v>
      </c>
      <c r="AC16" s="215">
        <v>0</v>
      </c>
      <c r="AD16" s="220">
        <v>0</v>
      </c>
      <c r="AE16" s="220">
        <v>0</v>
      </c>
      <c r="AF16" s="220">
        <v>0</v>
      </c>
      <c r="AG16" s="215">
        <f t="shared" si="30"/>
        <v>12.631079999999997</v>
      </c>
      <c r="AH16" s="215">
        <f t="shared" si="31"/>
        <v>2638.4889199999998</v>
      </c>
      <c r="AI16" s="111"/>
      <c r="AJ16" s="52"/>
      <c r="AK16" s="111"/>
      <c r="AL16" s="111"/>
    </row>
    <row r="17" spans="1:38" s="140" customFormat="1" ht="30" customHeight="1">
      <c r="A17" s="7"/>
      <c r="B17" s="108">
        <v>10</v>
      </c>
      <c r="C17" s="147" t="s">
        <v>257</v>
      </c>
      <c r="D17" s="148" t="s">
        <v>253</v>
      </c>
      <c r="E17" s="109">
        <v>15</v>
      </c>
      <c r="F17" s="142">
        <v>167</v>
      </c>
      <c r="G17" s="117">
        <f t="shared" si="16"/>
        <v>2505</v>
      </c>
      <c r="H17" s="110">
        <v>0</v>
      </c>
      <c r="I17" s="110">
        <v>0</v>
      </c>
      <c r="J17" s="110">
        <v>0</v>
      </c>
      <c r="K17" s="110">
        <v>62.62</v>
      </c>
      <c r="L17" s="110">
        <v>0</v>
      </c>
      <c r="M17" s="110">
        <v>0</v>
      </c>
      <c r="N17" s="215">
        <f t="shared" si="17"/>
        <v>2567.62</v>
      </c>
      <c r="O17" s="216"/>
      <c r="P17" s="217">
        <f t="shared" si="18"/>
        <v>31.31</v>
      </c>
      <c r="Q17" s="217">
        <f t="shared" si="19"/>
        <v>2536.31</v>
      </c>
      <c r="R17" s="217">
        <f t="shared" si="20"/>
        <v>2105.21</v>
      </c>
      <c r="S17" s="217">
        <f t="shared" si="21"/>
        <v>431.09999999999991</v>
      </c>
      <c r="T17" s="218">
        <f t="shared" si="22"/>
        <v>0.10879999999999999</v>
      </c>
      <c r="U17" s="217">
        <f t="shared" si="23"/>
        <v>46.903679999999987</v>
      </c>
      <c r="V17" s="217">
        <f t="shared" si="24"/>
        <v>123.62</v>
      </c>
      <c r="W17" s="217">
        <f t="shared" si="25"/>
        <v>170.52367999999998</v>
      </c>
      <c r="X17" s="217">
        <f t="shared" si="26"/>
        <v>162.435</v>
      </c>
      <c r="Y17" s="217">
        <f t="shared" si="27"/>
        <v>8.0886799999999823</v>
      </c>
      <c r="Z17" s="219"/>
      <c r="AA17" s="215">
        <f t="shared" si="28"/>
        <v>0</v>
      </c>
      <c r="AB17" s="215">
        <f t="shared" si="29"/>
        <v>8.0886799999999823</v>
      </c>
      <c r="AC17" s="215">
        <v>0</v>
      </c>
      <c r="AD17" s="220">
        <v>0</v>
      </c>
      <c r="AE17" s="220">
        <v>0</v>
      </c>
      <c r="AF17" s="220">
        <v>0</v>
      </c>
      <c r="AG17" s="215">
        <f t="shared" si="30"/>
        <v>8.0886799999999823</v>
      </c>
      <c r="AH17" s="215">
        <f t="shared" si="31"/>
        <v>2559.5313200000001</v>
      </c>
      <c r="AI17" s="111"/>
      <c r="AJ17" s="52"/>
      <c r="AK17" s="111"/>
      <c r="AL17" s="111"/>
    </row>
    <row r="18" spans="1:38" s="140" customFormat="1" ht="30" customHeight="1">
      <c r="A18" s="7"/>
      <c r="B18" s="108">
        <v>11</v>
      </c>
      <c r="C18" s="147" t="s">
        <v>258</v>
      </c>
      <c r="D18" s="148" t="s">
        <v>253</v>
      </c>
      <c r="E18" s="109">
        <v>15</v>
      </c>
      <c r="F18" s="142">
        <v>167</v>
      </c>
      <c r="G18" s="117">
        <f t="shared" si="16"/>
        <v>2505</v>
      </c>
      <c r="H18" s="110">
        <v>0</v>
      </c>
      <c r="I18" s="110">
        <v>0</v>
      </c>
      <c r="J18" s="110">
        <v>0</v>
      </c>
      <c r="K18" s="110">
        <v>62.62</v>
      </c>
      <c r="L18" s="110">
        <v>0</v>
      </c>
      <c r="M18" s="110">
        <v>0</v>
      </c>
      <c r="N18" s="215">
        <f t="shared" si="17"/>
        <v>2567.62</v>
      </c>
      <c r="O18" s="216"/>
      <c r="P18" s="217">
        <f t="shared" si="18"/>
        <v>31.31</v>
      </c>
      <c r="Q18" s="217">
        <f t="shared" si="19"/>
        <v>2536.31</v>
      </c>
      <c r="R18" s="217">
        <f t="shared" si="20"/>
        <v>2105.21</v>
      </c>
      <c r="S18" s="217">
        <f t="shared" si="21"/>
        <v>431.09999999999991</v>
      </c>
      <c r="T18" s="218">
        <f t="shared" si="22"/>
        <v>0.10879999999999999</v>
      </c>
      <c r="U18" s="217">
        <f t="shared" si="23"/>
        <v>46.903679999999987</v>
      </c>
      <c r="V18" s="217">
        <f t="shared" si="24"/>
        <v>123.62</v>
      </c>
      <c r="W18" s="217">
        <f t="shared" si="25"/>
        <v>170.52367999999998</v>
      </c>
      <c r="X18" s="217">
        <f t="shared" si="26"/>
        <v>162.435</v>
      </c>
      <c r="Y18" s="217">
        <f t="shared" si="27"/>
        <v>8.0886799999999823</v>
      </c>
      <c r="Z18" s="219"/>
      <c r="AA18" s="215">
        <f t="shared" si="28"/>
        <v>0</v>
      </c>
      <c r="AB18" s="215">
        <f t="shared" si="29"/>
        <v>8.0886799999999823</v>
      </c>
      <c r="AC18" s="215">
        <v>0</v>
      </c>
      <c r="AD18" s="220">
        <v>0</v>
      </c>
      <c r="AE18" s="220">
        <v>0</v>
      </c>
      <c r="AF18" s="220">
        <v>0</v>
      </c>
      <c r="AG18" s="215">
        <f t="shared" si="30"/>
        <v>8.0886799999999823</v>
      </c>
      <c r="AH18" s="215">
        <f t="shared" si="31"/>
        <v>2559.5313200000001</v>
      </c>
      <c r="AI18" s="111"/>
      <c r="AJ18" s="52"/>
      <c r="AK18" s="111">
        <v>56</v>
      </c>
      <c r="AL18" s="111">
        <f t="shared" si="48"/>
        <v>-56</v>
      </c>
    </row>
    <row r="19" spans="1:38" s="140" customFormat="1" ht="30" customHeight="1">
      <c r="A19" s="7"/>
      <c r="B19" s="108">
        <v>12</v>
      </c>
      <c r="C19" s="147" t="s">
        <v>273</v>
      </c>
      <c r="D19" s="148" t="s">
        <v>253</v>
      </c>
      <c r="E19" s="109">
        <v>15</v>
      </c>
      <c r="F19" s="142">
        <v>167</v>
      </c>
      <c r="G19" s="117">
        <f t="shared" si="16"/>
        <v>2505</v>
      </c>
      <c r="H19" s="110">
        <v>0</v>
      </c>
      <c r="I19" s="110">
        <v>0</v>
      </c>
      <c r="J19" s="110">
        <v>0</v>
      </c>
      <c r="K19" s="110">
        <v>62.62</v>
      </c>
      <c r="L19" s="110">
        <v>0</v>
      </c>
      <c r="M19" s="110">
        <v>0</v>
      </c>
      <c r="N19" s="215">
        <f t="shared" si="17"/>
        <v>2567.62</v>
      </c>
      <c r="O19" s="216"/>
      <c r="P19" s="217">
        <f t="shared" si="18"/>
        <v>31.31</v>
      </c>
      <c r="Q19" s="217">
        <f t="shared" si="19"/>
        <v>2536.31</v>
      </c>
      <c r="R19" s="217">
        <f t="shared" si="20"/>
        <v>2105.21</v>
      </c>
      <c r="S19" s="217">
        <f t="shared" si="21"/>
        <v>431.09999999999991</v>
      </c>
      <c r="T19" s="218">
        <f t="shared" si="22"/>
        <v>0.10879999999999999</v>
      </c>
      <c r="U19" s="217">
        <f t="shared" si="23"/>
        <v>46.903679999999987</v>
      </c>
      <c r="V19" s="217">
        <f t="shared" si="24"/>
        <v>123.62</v>
      </c>
      <c r="W19" s="217">
        <f t="shared" si="25"/>
        <v>170.52367999999998</v>
      </c>
      <c r="X19" s="217">
        <f t="shared" si="26"/>
        <v>162.435</v>
      </c>
      <c r="Y19" s="217">
        <f t="shared" si="27"/>
        <v>8.0886799999999823</v>
      </c>
      <c r="Z19" s="219"/>
      <c r="AA19" s="215">
        <f t="shared" si="28"/>
        <v>0</v>
      </c>
      <c r="AB19" s="215">
        <f t="shared" si="29"/>
        <v>8.0886799999999823</v>
      </c>
      <c r="AC19" s="215">
        <v>0</v>
      </c>
      <c r="AD19" s="220">
        <v>0</v>
      </c>
      <c r="AE19" s="220">
        <v>0</v>
      </c>
      <c r="AF19" s="220">
        <v>0</v>
      </c>
      <c r="AG19" s="215">
        <f t="shared" si="30"/>
        <v>8.0886799999999823</v>
      </c>
      <c r="AH19" s="215">
        <f t="shared" si="31"/>
        <v>2559.5313200000001</v>
      </c>
      <c r="AI19" s="111"/>
      <c r="AJ19" s="52"/>
      <c r="AK19" s="111"/>
      <c r="AL19" s="111"/>
    </row>
    <row r="20" spans="1:38" s="140" customFormat="1" ht="30" customHeight="1">
      <c r="A20" s="7"/>
      <c r="B20" s="108">
        <v>13</v>
      </c>
      <c r="C20" s="147" t="s">
        <v>441</v>
      </c>
      <c r="D20" s="148" t="s">
        <v>253</v>
      </c>
      <c r="E20" s="109">
        <v>13</v>
      </c>
      <c r="F20" s="142">
        <v>167</v>
      </c>
      <c r="G20" s="117">
        <f t="shared" ref="G20:G24" si="49">E20*F20</f>
        <v>2171</v>
      </c>
      <c r="H20" s="110">
        <v>0</v>
      </c>
      <c r="I20" s="110">
        <v>0</v>
      </c>
      <c r="J20" s="110">
        <v>0</v>
      </c>
      <c r="K20" s="110">
        <v>271.37</v>
      </c>
      <c r="L20" s="110">
        <v>0</v>
      </c>
      <c r="M20" s="110">
        <v>0</v>
      </c>
      <c r="N20" s="215">
        <f t="shared" ref="N20:N24" si="50">SUM(G20:M20)</f>
        <v>2442.37</v>
      </c>
      <c r="O20" s="216"/>
      <c r="P20" s="217">
        <f t="shared" ref="P20:P24" si="51">IF(F20=47.16,0,IF(F20&gt;47.16,K20*0.5,0))</f>
        <v>135.685</v>
      </c>
      <c r="Q20" s="217">
        <f t="shared" ref="Q20:Q24" si="52">G20+H20+I20+L20+P20+J20</f>
        <v>2306.6849999999999</v>
      </c>
      <c r="R20" s="217">
        <f t="shared" ref="R20:R24" si="53">VLOOKUP(Q20,Tarifa1,1)</f>
        <v>2105.21</v>
      </c>
      <c r="S20" s="217">
        <f t="shared" ref="S20:S24" si="54">Q20-R20</f>
        <v>201.47499999999991</v>
      </c>
      <c r="T20" s="218">
        <f t="shared" ref="T20:T24" si="55">VLOOKUP(Q20,Tarifa1,3)</f>
        <v>0.10879999999999999</v>
      </c>
      <c r="U20" s="217">
        <f t="shared" ref="U20:U24" si="56">S20*T20</f>
        <v>21.920479999999991</v>
      </c>
      <c r="V20" s="217">
        <f t="shared" ref="V20:V24" si="57">VLOOKUP(Q20,Tarifa1,2)</f>
        <v>123.62</v>
      </c>
      <c r="W20" s="217">
        <f t="shared" ref="W20:W24" si="58">U20+V20</f>
        <v>145.54048</v>
      </c>
      <c r="X20" s="217">
        <f t="shared" ref="X20:X24" si="59">VLOOKUP(Q20,Credito1,2)</f>
        <v>177.11500000000001</v>
      </c>
      <c r="Y20" s="217">
        <f t="shared" ref="Y20:Y24" si="60">W20-X20</f>
        <v>-31.574520000000007</v>
      </c>
      <c r="Z20" s="219"/>
      <c r="AA20" s="215">
        <f t="shared" ref="AA20:AA24" si="61">-IF(Y20&gt;0,0,Y20)</f>
        <v>31.574520000000007</v>
      </c>
      <c r="AB20" s="215">
        <f t="shared" ref="AB20:AB24" si="62">IF(Y20&lt;0,0,Y20)</f>
        <v>0</v>
      </c>
      <c r="AC20" s="215">
        <v>0</v>
      </c>
      <c r="AD20" s="220">
        <v>0</v>
      </c>
      <c r="AE20" s="220">
        <v>0</v>
      </c>
      <c r="AF20" s="220">
        <v>0</v>
      </c>
      <c r="AG20" s="215">
        <f t="shared" ref="AG20:AG24" si="63">SUM(AB20:AF20)</f>
        <v>0</v>
      </c>
      <c r="AH20" s="215">
        <f t="shared" ref="AH20:AH24" si="64">N20+AA20-AG20</f>
        <v>2473.94452</v>
      </c>
      <c r="AI20" s="111"/>
      <c r="AJ20" s="52"/>
      <c r="AK20" s="111"/>
      <c r="AL20" s="111"/>
    </row>
    <row r="21" spans="1:38" s="140" customFormat="1" ht="30" customHeight="1">
      <c r="A21" s="7"/>
      <c r="B21" s="108">
        <v>14</v>
      </c>
      <c r="C21" s="147" t="s">
        <v>442</v>
      </c>
      <c r="D21" s="148" t="s">
        <v>253</v>
      </c>
      <c r="E21" s="109">
        <v>15</v>
      </c>
      <c r="F21" s="142">
        <v>167</v>
      </c>
      <c r="G21" s="117">
        <f t="shared" si="49"/>
        <v>2505</v>
      </c>
      <c r="H21" s="110">
        <v>0</v>
      </c>
      <c r="I21" s="110">
        <v>0</v>
      </c>
      <c r="J21" s="110">
        <v>0</v>
      </c>
      <c r="K21" s="110">
        <v>271.37</v>
      </c>
      <c r="L21" s="110">
        <v>0</v>
      </c>
      <c r="M21" s="110">
        <v>0</v>
      </c>
      <c r="N21" s="215">
        <f t="shared" si="50"/>
        <v>2776.37</v>
      </c>
      <c r="O21" s="216"/>
      <c r="P21" s="217">
        <f t="shared" si="51"/>
        <v>135.685</v>
      </c>
      <c r="Q21" s="217">
        <f t="shared" si="52"/>
        <v>2640.6849999999999</v>
      </c>
      <c r="R21" s="217">
        <f t="shared" si="53"/>
        <v>2105.21</v>
      </c>
      <c r="S21" s="217">
        <f t="shared" si="54"/>
        <v>535.47499999999991</v>
      </c>
      <c r="T21" s="218">
        <f t="shared" si="55"/>
        <v>0.10879999999999999</v>
      </c>
      <c r="U21" s="217">
        <f t="shared" si="56"/>
        <v>58.259679999999989</v>
      </c>
      <c r="V21" s="217">
        <f t="shared" si="57"/>
        <v>123.62</v>
      </c>
      <c r="W21" s="217">
        <f t="shared" si="58"/>
        <v>181.87968000000001</v>
      </c>
      <c r="X21" s="217">
        <f t="shared" si="59"/>
        <v>162.435</v>
      </c>
      <c r="Y21" s="217">
        <f t="shared" si="60"/>
        <v>19.444680000000005</v>
      </c>
      <c r="Z21" s="219"/>
      <c r="AA21" s="215">
        <f t="shared" si="61"/>
        <v>0</v>
      </c>
      <c r="AB21" s="215">
        <f t="shared" si="62"/>
        <v>19.444680000000005</v>
      </c>
      <c r="AC21" s="215">
        <v>0</v>
      </c>
      <c r="AD21" s="220">
        <v>0</v>
      </c>
      <c r="AE21" s="220">
        <v>0</v>
      </c>
      <c r="AF21" s="220">
        <v>0</v>
      </c>
      <c r="AG21" s="215">
        <f t="shared" si="63"/>
        <v>19.444680000000005</v>
      </c>
      <c r="AH21" s="215">
        <f t="shared" si="64"/>
        <v>2756.9253199999998</v>
      </c>
      <c r="AI21" s="111"/>
      <c r="AJ21" s="52"/>
      <c r="AK21" s="111"/>
      <c r="AL21" s="111"/>
    </row>
    <row r="22" spans="1:38" s="140" customFormat="1" ht="30" customHeight="1">
      <c r="A22" s="7"/>
      <c r="B22" s="108">
        <v>15</v>
      </c>
      <c r="C22" s="147" t="s">
        <v>443</v>
      </c>
      <c r="D22" s="148" t="s">
        <v>253</v>
      </c>
      <c r="E22" s="109">
        <v>13</v>
      </c>
      <c r="F22" s="142">
        <v>167</v>
      </c>
      <c r="G22" s="117">
        <f t="shared" si="49"/>
        <v>2171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215">
        <f t="shared" si="50"/>
        <v>2171</v>
      </c>
      <c r="O22" s="216"/>
      <c r="P22" s="217">
        <f t="shared" si="51"/>
        <v>0</v>
      </c>
      <c r="Q22" s="217">
        <f t="shared" si="52"/>
        <v>2171</v>
      </c>
      <c r="R22" s="217">
        <f t="shared" si="53"/>
        <v>2105.21</v>
      </c>
      <c r="S22" s="217">
        <f t="shared" si="54"/>
        <v>65.789999999999964</v>
      </c>
      <c r="T22" s="218">
        <f t="shared" si="55"/>
        <v>0.10879999999999999</v>
      </c>
      <c r="U22" s="217">
        <f t="shared" si="56"/>
        <v>7.1579519999999954</v>
      </c>
      <c r="V22" s="217">
        <f t="shared" si="57"/>
        <v>123.62</v>
      </c>
      <c r="W22" s="217">
        <f t="shared" si="58"/>
        <v>130.777952</v>
      </c>
      <c r="X22" s="217">
        <f t="shared" si="59"/>
        <v>191.23</v>
      </c>
      <c r="Y22" s="217">
        <f t="shared" si="60"/>
        <v>-60.452047999999991</v>
      </c>
      <c r="Z22" s="219"/>
      <c r="AA22" s="215">
        <f t="shared" si="61"/>
        <v>60.452047999999991</v>
      </c>
      <c r="AB22" s="215">
        <f t="shared" si="62"/>
        <v>0</v>
      </c>
      <c r="AC22" s="215">
        <v>0</v>
      </c>
      <c r="AD22" s="220">
        <v>0</v>
      </c>
      <c r="AE22" s="220">
        <v>0</v>
      </c>
      <c r="AF22" s="220">
        <v>0</v>
      </c>
      <c r="AG22" s="215">
        <f t="shared" si="63"/>
        <v>0</v>
      </c>
      <c r="AH22" s="215">
        <f t="shared" si="64"/>
        <v>2231.4520480000001</v>
      </c>
      <c r="AI22" s="111"/>
      <c r="AJ22" s="52"/>
      <c r="AK22" s="111"/>
      <c r="AL22" s="111"/>
    </row>
    <row r="23" spans="1:38" s="140" customFormat="1" ht="30" customHeight="1">
      <c r="A23" s="7"/>
      <c r="B23" s="108">
        <v>16</v>
      </c>
      <c r="C23" s="147" t="s">
        <v>439</v>
      </c>
      <c r="D23" s="148" t="s">
        <v>253</v>
      </c>
      <c r="E23" s="109">
        <v>15</v>
      </c>
      <c r="F23" s="142">
        <v>167</v>
      </c>
      <c r="G23" s="117">
        <f t="shared" si="49"/>
        <v>2505</v>
      </c>
      <c r="H23" s="110">
        <v>0</v>
      </c>
      <c r="I23" s="110">
        <v>0</v>
      </c>
      <c r="J23" s="110">
        <v>0</v>
      </c>
      <c r="K23" s="110">
        <v>146.12</v>
      </c>
      <c r="L23" s="110">
        <v>0</v>
      </c>
      <c r="M23" s="110">
        <v>0</v>
      </c>
      <c r="N23" s="215">
        <f t="shared" si="50"/>
        <v>2651.12</v>
      </c>
      <c r="O23" s="216"/>
      <c r="P23" s="217">
        <f t="shared" si="51"/>
        <v>73.06</v>
      </c>
      <c r="Q23" s="217">
        <f t="shared" si="52"/>
        <v>2578.06</v>
      </c>
      <c r="R23" s="217">
        <f t="shared" si="53"/>
        <v>2105.21</v>
      </c>
      <c r="S23" s="217">
        <f t="shared" si="54"/>
        <v>472.84999999999991</v>
      </c>
      <c r="T23" s="218">
        <f t="shared" si="55"/>
        <v>0.10879999999999999</v>
      </c>
      <c r="U23" s="217">
        <f t="shared" si="56"/>
        <v>51.446079999999988</v>
      </c>
      <c r="V23" s="217">
        <f t="shared" si="57"/>
        <v>123.62</v>
      </c>
      <c r="W23" s="217">
        <f t="shared" si="58"/>
        <v>175.06608</v>
      </c>
      <c r="X23" s="217">
        <f t="shared" si="59"/>
        <v>162.435</v>
      </c>
      <c r="Y23" s="217">
        <f t="shared" si="60"/>
        <v>12.631079999999997</v>
      </c>
      <c r="Z23" s="219"/>
      <c r="AA23" s="215">
        <f t="shared" si="61"/>
        <v>0</v>
      </c>
      <c r="AB23" s="215">
        <f t="shared" si="62"/>
        <v>12.631079999999997</v>
      </c>
      <c r="AC23" s="215">
        <v>0</v>
      </c>
      <c r="AD23" s="220">
        <v>0</v>
      </c>
      <c r="AE23" s="220">
        <v>0</v>
      </c>
      <c r="AF23" s="220">
        <v>0</v>
      </c>
      <c r="AG23" s="215">
        <f t="shared" si="63"/>
        <v>12.631079999999997</v>
      </c>
      <c r="AH23" s="215">
        <f t="shared" si="64"/>
        <v>2638.4889199999998</v>
      </c>
      <c r="AI23" s="111"/>
      <c r="AJ23" s="52"/>
      <c r="AK23" s="111"/>
      <c r="AL23" s="111"/>
    </row>
    <row r="24" spans="1:38" s="140" customFormat="1" ht="30" customHeight="1">
      <c r="A24" s="7"/>
      <c r="B24" s="108">
        <v>17</v>
      </c>
      <c r="C24" s="147" t="s">
        <v>159</v>
      </c>
      <c r="D24" s="148" t="s">
        <v>104</v>
      </c>
      <c r="E24" s="109">
        <v>15</v>
      </c>
      <c r="F24" s="142">
        <v>113</v>
      </c>
      <c r="G24" s="117">
        <f t="shared" si="49"/>
        <v>1695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215">
        <f t="shared" si="50"/>
        <v>1695</v>
      </c>
      <c r="O24" s="216"/>
      <c r="P24" s="217">
        <f t="shared" si="51"/>
        <v>0</v>
      </c>
      <c r="Q24" s="217">
        <f t="shared" si="52"/>
        <v>1695</v>
      </c>
      <c r="R24" s="217">
        <f t="shared" si="53"/>
        <v>248.04</v>
      </c>
      <c r="S24" s="217">
        <f t="shared" si="54"/>
        <v>1446.96</v>
      </c>
      <c r="T24" s="218">
        <f t="shared" si="55"/>
        <v>6.4000000000000001E-2</v>
      </c>
      <c r="U24" s="217">
        <f t="shared" si="56"/>
        <v>92.605440000000002</v>
      </c>
      <c r="V24" s="217">
        <f t="shared" si="57"/>
        <v>4.76</v>
      </c>
      <c r="W24" s="217">
        <f t="shared" si="58"/>
        <v>97.365440000000007</v>
      </c>
      <c r="X24" s="217">
        <f t="shared" si="59"/>
        <v>203.31</v>
      </c>
      <c r="Y24" s="217">
        <f t="shared" si="60"/>
        <v>-105.94456</v>
      </c>
      <c r="Z24" s="219"/>
      <c r="AA24" s="215">
        <f t="shared" si="61"/>
        <v>105.94456</v>
      </c>
      <c r="AB24" s="215">
        <f t="shared" si="62"/>
        <v>0</v>
      </c>
      <c r="AC24" s="215">
        <v>0</v>
      </c>
      <c r="AD24" s="220">
        <v>0</v>
      </c>
      <c r="AE24" s="220">
        <v>0</v>
      </c>
      <c r="AF24" s="220">
        <v>0</v>
      </c>
      <c r="AG24" s="215">
        <f t="shared" si="63"/>
        <v>0</v>
      </c>
      <c r="AH24" s="215">
        <f t="shared" si="64"/>
        <v>1800.9445599999999</v>
      </c>
      <c r="AI24" s="111"/>
      <c r="AJ24" s="52"/>
      <c r="AK24" s="111">
        <v>-64</v>
      </c>
      <c r="AL24" s="111">
        <f t="shared" si="48"/>
        <v>-41.944559999999996</v>
      </c>
    </row>
    <row r="25" spans="1:38" s="140" customFormat="1">
      <c r="A25" s="7"/>
      <c r="B25" s="100"/>
      <c r="C25" s="115"/>
      <c r="D25" s="115"/>
      <c r="E25" s="100"/>
      <c r="F25" s="101"/>
      <c r="G25" s="118"/>
      <c r="H25" s="102"/>
      <c r="I25" s="102"/>
      <c r="J25" s="102"/>
      <c r="K25" s="102"/>
      <c r="L25" s="102"/>
      <c r="M25" s="102"/>
      <c r="N25" s="221"/>
      <c r="O25" s="222"/>
      <c r="P25" s="223"/>
      <c r="Q25" s="224"/>
      <c r="R25" s="224"/>
      <c r="S25" s="224"/>
      <c r="T25" s="224"/>
      <c r="U25" s="224"/>
      <c r="V25" s="224"/>
      <c r="W25" s="224"/>
      <c r="X25" s="224"/>
      <c r="Y25" s="224"/>
      <c r="Z25" s="225"/>
      <c r="AA25" s="221"/>
      <c r="AB25" s="221"/>
      <c r="AC25" s="221"/>
      <c r="AD25" s="221"/>
      <c r="AE25" s="221"/>
      <c r="AF25" s="221"/>
      <c r="AG25" s="221"/>
      <c r="AH25" s="226"/>
      <c r="AI25" s="105"/>
      <c r="AJ25" s="7"/>
      <c r="AK25" s="105"/>
      <c r="AL25" s="105"/>
    </row>
    <row r="26" spans="1:38" s="140" customFormat="1">
      <c r="A26" s="7"/>
      <c r="B26" s="93"/>
      <c r="C26" s="93"/>
      <c r="D26" s="93"/>
      <c r="E26" s="92"/>
      <c r="F26" s="93"/>
      <c r="G26" s="95"/>
      <c r="H26" s="95"/>
      <c r="I26" s="95"/>
      <c r="J26" s="95"/>
      <c r="K26" s="95"/>
      <c r="L26" s="95"/>
      <c r="M26" s="95"/>
      <c r="N26" s="227"/>
      <c r="O26" s="228"/>
      <c r="P26" s="229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98"/>
      <c r="AJ26" s="7"/>
      <c r="AK26" s="98"/>
      <c r="AL26" s="98"/>
    </row>
    <row r="27" spans="1:38" s="140" customFormat="1" ht="15.75" thickBot="1">
      <c r="A27" s="7"/>
      <c r="B27" s="634" t="s">
        <v>71</v>
      </c>
      <c r="C27" s="635"/>
      <c r="D27" s="635"/>
      <c r="E27" s="635"/>
      <c r="F27" s="636"/>
      <c r="G27" s="114">
        <f t="shared" ref="G27:N27" si="65">SUM(G8:G26)</f>
        <v>46897</v>
      </c>
      <c r="H27" s="114">
        <f t="shared" si="65"/>
        <v>0</v>
      </c>
      <c r="I27" s="114">
        <f t="shared" si="65"/>
        <v>0</v>
      </c>
      <c r="J27" s="114">
        <f t="shared" si="65"/>
        <v>0</v>
      </c>
      <c r="K27" s="114">
        <f t="shared" si="65"/>
        <v>1594.9499999999998</v>
      </c>
      <c r="L27" s="114">
        <f t="shared" si="65"/>
        <v>0</v>
      </c>
      <c r="M27" s="114">
        <f t="shared" si="65"/>
        <v>0</v>
      </c>
      <c r="N27" s="188">
        <f t="shared" si="65"/>
        <v>48491.950000000004</v>
      </c>
      <c r="O27" s="189"/>
      <c r="P27" s="190">
        <f t="shared" ref="P27:Y27" si="66">SUM(P8:P26)</f>
        <v>797.47499999999991</v>
      </c>
      <c r="Q27" s="190">
        <f t="shared" si="66"/>
        <v>47694.474999999991</v>
      </c>
      <c r="R27" s="190">
        <f t="shared" si="66"/>
        <v>36975.369999999995</v>
      </c>
      <c r="S27" s="190">
        <f t="shared" si="66"/>
        <v>10719.105000000003</v>
      </c>
      <c r="T27" s="190">
        <f t="shared" si="66"/>
        <v>1.9096000000000002</v>
      </c>
      <c r="U27" s="190">
        <f t="shared" si="66"/>
        <v>1159.140752</v>
      </c>
      <c r="V27" s="190">
        <f t="shared" si="66"/>
        <v>2404.3649999999989</v>
      </c>
      <c r="W27" s="190">
        <f t="shared" si="66"/>
        <v>3563.5057519999996</v>
      </c>
      <c r="X27" s="190">
        <f t="shared" si="66"/>
        <v>2561.1949999999993</v>
      </c>
      <c r="Y27" s="190">
        <f t="shared" si="66"/>
        <v>1002.3107520000007</v>
      </c>
      <c r="Z27" s="189"/>
      <c r="AA27" s="188">
        <f t="shared" ref="AA27:AH27" si="67">SUM(AA8:AA26)</f>
        <v>197.97112799999999</v>
      </c>
      <c r="AB27" s="188">
        <f t="shared" si="67"/>
        <v>1200.2818800000005</v>
      </c>
      <c r="AC27" s="188">
        <f t="shared" si="67"/>
        <v>0</v>
      </c>
      <c r="AD27" s="188">
        <f t="shared" si="67"/>
        <v>0</v>
      </c>
      <c r="AE27" s="188">
        <f t="shared" si="67"/>
        <v>0</v>
      </c>
      <c r="AF27" s="188">
        <f t="shared" si="67"/>
        <v>0</v>
      </c>
      <c r="AG27" s="188">
        <f t="shared" si="67"/>
        <v>1200.2818800000005</v>
      </c>
      <c r="AH27" s="188">
        <f t="shared" si="67"/>
        <v>47489.639248000007</v>
      </c>
      <c r="AI27" s="114"/>
      <c r="AJ27" s="7"/>
      <c r="AK27" s="114">
        <f t="shared" ref="AK27:AL27" si="68">SUM(AK8:AK26)</f>
        <v>856.12</v>
      </c>
      <c r="AL27" s="114">
        <f t="shared" si="68"/>
        <v>-54.618776000000068</v>
      </c>
    </row>
    <row r="28" spans="1:38" s="140" customFormat="1" ht="13.5" thickTop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7"/>
      <c r="AJ28" s="7"/>
      <c r="AK28" s="7"/>
      <c r="AL28" s="7"/>
    </row>
    <row r="31" spans="1:38">
      <c r="C31" s="52"/>
      <c r="D31" s="52"/>
    </row>
    <row r="32" spans="1:38">
      <c r="C32" s="52"/>
      <c r="D32" s="52"/>
    </row>
    <row r="33" spans="3:14">
      <c r="C33" s="52"/>
      <c r="D33" s="52"/>
    </row>
    <row r="35" spans="3:14">
      <c r="C35" s="144"/>
      <c r="D35" s="144"/>
    </row>
    <row r="37" spans="3:14">
      <c r="N37" s="160"/>
    </row>
    <row r="38" spans="3:14">
      <c r="N38" s="160"/>
    </row>
    <row r="39" spans="3:14">
      <c r="N39" s="160"/>
    </row>
    <row r="40" spans="3:14">
      <c r="N40" s="160"/>
    </row>
    <row r="41" spans="3:14">
      <c r="N41" s="160"/>
    </row>
    <row r="42" spans="3:14">
      <c r="N42" s="160"/>
    </row>
    <row r="43" spans="3:14">
      <c r="N43" s="160"/>
    </row>
    <row r="44" spans="3:14">
      <c r="N44" s="160"/>
    </row>
    <row r="45" spans="3:14">
      <c r="N45" s="160"/>
    </row>
    <row r="46" spans="3:14">
      <c r="N46" s="160"/>
    </row>
    <row r="47" spans="3:14">
      <c r="N47" s="160"/>
    </row>
    <row r="48" spans="3:14">
      <c r="N48" s="160"/>
    </row>
    <row r="49" spans="14:14">
      <c r="N49" s="160"/>
    </row>
    <row r="50" spans="14:14">
      <c r="N50" s="160"/>
    </row>
    <row r="51" spans="14:14">
      <c r="N51" s="160"/>
    </row>
    <row r="52" spans="14:14">
      <c r="N52" s="160"/>
    </row>
    <row r="53" spans="14:14">
      <c r="N53" s="160"/>
    </row>
    <row r="54" spans="14:14">
      <c r="N54" s="160"/>
    </row>
    <row r="55" spans="14:14">
      <c r="N55" s="160"/>
    </row>
    <row r="56" spans="14:14">
      <c r="N56" s="160"/>
    </row>
    <row r="57" spans="14:14">
      <c r="N57" s="160"/>
    </row>
    <row r="58" spans="14:14">
      <c r="N58" s="160"/>
    </row>
  </sheetData>
  <mergeCells count="6">
    <mergeCell ref="B27:F27"/>
    <mergeCell ref="B2:AH2"/>
    <mergeCell ref="B3:AH3"/>
    <mergeCell ref="G4:N4"/>
    <mergeCell ref="R4:W4"/>
    <mergeCell ref="AB4:AG4"/>
  </mergeCells>
  <pageMargins left="0" right="0" top="0" bottom="0" header="0.31496062992125984" footer="0.31496062992125984"/>
  <pageSetup paperSize="5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AL48"/>
  <sheetViews>
    <sheetView showGridLines="0" topLeftCell="A14" zoomScale="68" zoomScaleNormal="68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25.7109375" style="7" customWidth="1"/>
    <col min="5" max="5" width="11.42578125" style="7" bestFit="1" customWidth="1"/>
    <col min="6" max="6" width="10" style="7" customWidth="1"/>
    <col min="7" max="7" width="14.425781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4.425781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2.28515625" style="159" bestFit="1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2.28515625" style="159" bestFit="1" customWidth="1"/>
    <col min="34" max="34" width="13.42578125" style="159" customWidth="1"/>
    <col min="35" max="35" width="36.7109375" style="159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62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63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153" t="s">
        <v>91</v>
      </c>
      <c r="AB4" s="645" t="s">
        <v>3</v>
      </c>
      <c r="AC4" s="646"/>
      <c r="AD4" s="646"/>
      <c r="AE4" s="646"/>
      <c r="AF4" s="646"/>
      <c r="AG4" s="647"/>
      <c r="AH4" s="153" t="s">
        <v>0</v>
      </c>
      <c r="AI4" s="153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154" t="s">
        <v>57</v>
      </c>
      <c r="AB5" s="153" t="s">
        <v>4</v>
      </c>
      <c r="AC5" s="153" t="s">
        <v>5</v>
      </c>
      <c r="AD5" s="153" t="s">
        <v>56</v>
      </c>
      <c r="AE5" s="153" t="s">
        <v>77</v>
      </c>
      <c r="AF5" s="153"/>
      <c r="AG5" s="153" t="s">
        <v>10</v>
      </c>
      <c r="AH5" s="154" t="s">
        <v>6</v>
      </c>
      <c r="AI5" s="154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155" t="s">
        <v>90</v>
      </c>
      <c r="AB6" s="155"/>
      <c r="AC6" s="155"/>
      <c r="AD6" s="155" t="s">
        <v>75</v>
      </c>
      <c r="AE6" s="155" t="s">
        <v>78</v>
      </c>
      <c r="AF6" s="155" t="s">
        <v>101</v>
      </c>
      <c r="AG6" s="155" t="s">
        <v>70</v>
      </c>
      <c r="AH6" s="155" t="s">
        <v>7</v>
      </c>
      <c r="AI6" s="155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102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209"/>
      <c r="AB7" s="209"/>
      <c r="AC7" s="209"/>
      <c r="AD7" s="209"/>
      <c r="AE7" s="209"/>
      <c r="AF7" s="209"/>
      <c r="AG7" s="209"/>
      <c r="AH7" s="214"/>
      <c r="AI7" s="214"/>
      <c r="AJ7" s="7"/>
      <c r="AK7" s="116"/>
      <c r="AL7" s="116"/>
    </row>
    <row r="8" spans="1:38" s="140" customFormat="1" ht="30" customHeight="1">
      <c r="A8" s="7"/>
      <c r="B8" s="461">
        <v>1</v>
      </c>
      <c r="C8" s="462" t="s">
        <v>162</v>
      </c>
      <c r="D8" s="463" t="s">
        <v>163</v>
      </c>
      <c r="E8" s="464">
        <v>15</v>
      </c>
      <c r="F8" s="465">
        <v>1309</v>
      </c>
      <c r="G8" s="466">
        <f t="shared" ref="G8" si="0">E8*F8</f>
        <v>19635</v>
      </c>
      <c r="H8" s="467">
        <v>0</v>
      </c>
      <c r="I8" s="467">
        <v>0</v>
      </c>
      <c r="J8" s="467">
        <v>0</v>
      </c>
      <c r="K8" s="467">
        <v>0</v>
      </c>
      <c r="L8" s="467">
        <v>0</v>
      </c>
      <c r="M8" s="467">
        <v>0</v>
      </c>
      <c r="N8" s="468">
        <f t="shared" ref="N8" si="1">SUM(G8:M8)</f>
        <v>19635</v>
      </c>
      <c r="O8" s="468"/>
      <c r="P8" s="469">
        <f t="shared" ref="P8" si="2">IF(F8=47.16,0,IF(F8&gt;47.16,K8*0.5,0))</f>
        <v>0</v>
      </c>
      <c r="Q8" s="469">
        <f t="shared" ref="Q8" si="3">G8+H8+I8+L8+P8+J8</f>
        <v>19635</v>
      </c>
      <c r="R8" s="469">
        <f t="shared" ref="R8" si="4">VLOOKUP(Q8,Tarifa1,1)</f>
        <v>16368.42</v>
      </c>
      <c r="S8" s="469">
        <f t="shared" ref="S8" si="5">Q8-R8</f>
        <v>3266.58</v>
      </c>
      <c r="T8" s="470">
        <f t="shared" ref="T8" si="6">VLOOKUP(Q8,Tarifa1,3)</f>
        <v>0.3</v>
      </c>
      <c r="U8" s="469">
        <f t="shared" ref="U8" si="7">S8*T8</f>
        <v>979.97399999999993</v>
      </c>
      <c r="V8" s="469">
        <f t="shared" ref="V8" si="8">VLOOKUP(Q8,Tarifa1,2)</f>
        <v>3070.9749999999999</v>
      </c>
      <c r="W8" s="469">
        <f t="shared" ref="W8" si="9">U8+V8</f>
        <v>4050.9489999999996</v>
      </c>
      <c r="X8" s="469">
        <f t="shared" ref="X8" si="10">VLOOKUP(Q8,Credito1,2)</f>
        <v>0</v>
      </c>
      <c r="Y8" s="469">
        <f t="shared" ref="Y8" si="11">W8-X8</f>
        <v>4050.9489999999996</v>
      </c>
      <c r="Z8" s="466"/>
      <c r="AA8" s="468">
        <f t="shared" ref="AA8:AA13" si="12">-IF(Y8&gt;0,0,Y8)</f>
        <v>0</v>
      </c>
      <c r="AB8" s="468">
        <f t="shared" ref="AB8:AB13" si="13">IF(Y8&lt;0,0,Y8)</f>
        <v>4050.9489999999996</v>
      </c>
      <c r="AC8" s="468">
        <v>0</v>
      </c>
      <c r="AD8" s="467">
        <v>0</v>
      </c>
      <c r="AE8" s="467">
        <v>0</v>
      </c>
      <c r="AF8" s="467">
        <v>0</v>
      </c>
      <c r="AG8" s="468">
        <f t="shared" ref="AG8:AG13" si="14">SUM(AB8:AF8)</f>
        <v>4050.9489999999996</v>
      </c>
      <c r="AH8" s="468">
        <f>N8+AA8-AG8</f>
        <v>15584.050999999999</v>
      </c>
      <c r="AI8" s="468"/>
      <c r="AJ8" s="52"/>
      <c r="AK8" s="111">
        <v>5086.05</v>
      </c>
      <c r="AL8" s="111">
        <f>AB8-AK8</f>
        <v>-1035.1010000000006</v>
      </c>
    </row>
    <row r="9" spans="1:38" s="140" customFormat="1" ht="38.25">
      <c r="A9" s="7"/>
      <c r="B9" s="461">
        <v>2</v>
      </c>
      <c r="C9" s="462" t="s">
        <v>262</v>
      </c>
      <c r="D9" s="463" t="s">
        <v>263</v>
      </c>
      <c r="E9" s="464">
        <v>15</v>
      </c>
      <c r="F9" s="465">
        <v>396</v>
      </c>
      <c r="G9" s="466">
        <f t="shared" ref="G9:G13" si="15">E9*F9</f>
        <v>5940</v>
      </c>
      <c r="H9" s="467">
        <v>0</v>
      </c>
      <c r="I9" s="467">
        <v>0</v>
      </c>
      <c r="J9" s="467">
        <v>0</v>
      </c>
      <c r="K9" s="467">
        <v>0</v>
      </c>
      <c r="L9" s="467">
        <v>0</v>
      </c>
      <c r="M9" s="467">
        <v>0</v>
      </c>
      <c r="N9" s="468">
        <f t="shared" ref="N9:N13" si="16">SUM(G9:M9)</f>
        <v>5940</v>
      </c>
      <c r="O9" s="468"/>
      <c r="P9" s="469">
        <f t="shared" ref="P9:P13" si="17">IF(F9=47.16,0,IF(F9&gt;47.16,K9*0.5,0))</f>
        <v>0</v>
      </c>
      <c r="Q9" s="469">
        <f t="shared" ref="Q9:Q13" si="18">G9+H9+I9+L9+P9+J9</f>
        <v>5940</v>
      </c>
      <c r="R9" s="469">
        <f t="shared" ref="R9:R13" si="19">VLOOKUP(Q9,Tarifa1,1)</f>
        <v>5149.18</v>
      </c>
      <c r="S9" s="469">
        <f t="shared" ref="S9:S13" si="20">Q9-R9</f>
        <v>790.81999999999971</v>
      </c>
      <c r="T9" s="470">
        <f t="shared" ref="T9:T13" si="21">VLOOKUP(Q9,Tarifa1,3)</f>
        <v>0.21360000000000001</v>
      </c>
      <c r="U9" s="469">
        <f t="shared" ref="U9:U13" si="22">S9*T9</f>
        <v>168.91915199999994</v>
      </c>
      <c r="V9" s="469">
        <f t="shared" ref="V9:V13" si="23">VLOOKUP(Q9,Tarifa1,2)</f>
        <v>545.30499999999995</v>
      </c>
      <c r="W9" s="469">
        <f t="shared" ref="W9:W13" si="24">U9+V9</f>
        <v>714.22415199999989</v>
      </c>
      <c r="X9" s="469">
        <f t="shared" ref="X9:X13" si="25">VLOOKUP(Q9,Credito1,2)</f>
        <v>0</v>
      </c>
      <c r="Y9" s="469">
        <f t="shared" ref="Y9:Y13" si="26">W9-X9</f>
        <v>714.22415199999989</v>
      </c>
      <c r="Z9" s="466"/>
      <c r="AA9" s="468">
        <f t="shared" si="12"/>
        <v>0</v>
      </c>
      <c r="AB9" s="468">
        <f t="shared" si="13"/>
        <v>714.22415199999989</v>
      </c>
      <c r="AC9" s="468">
        <v>0</v>
      </c>
      <c r="AD9" s="467">
        <v>0</v>
      </c>
      <c r="AE9" s="467">
        <v>0</v>
      </c>
      <c r="AF9" s="467">
        <v>0</v>
      </c>
      <c r="AG9" s="468">
        <f t="shared" si="14"/>
        <v>714.22415199999989</v>
      </c>
      <c r="AH9" s="468">
        <f t="shared" ref="AH9:AH13" si="27">N9+AA9-AG9</f>
        <v>5225.7758480000002</v>
      </c>
      <c r="AI9" s="468"/>
      <c r="AJ9" s="52"/>
      <c r="AK9" s="111">
        <v>940</v>
      </c>
      <c r="AL9" s="111">
        <f>AB9-AK9</f>
        <v>-225.77584800000011</v>
      </c>
    </row>
    <row r="10" spans="1:38" s="140" customFormat="1" ht="30" customHeight="1">
      <c r="A10" s="7"/>
      <c r="B10" s="461">
        <v>3</v>
      </c>
      <c r="C10" s="462" t="s">
        <v>155</v>
      </c>
      <c r="D10" s="463" t="s">
        <v>156</v>
      </c>
      <c r="E10" s="464">
        <v>15</v>
      </c>
      <c r="F10" s="465">
        <v>157</v>
      </c>
      <c r="G10" s="466">
        <f t="shared" si="15"/>
        <v>2355</v>
      </c>
      <c r="H10" s="467">
        <v>0</v>
      </c>
      <c r="I10" s="467">
        <v>0</v>
      </c>
      <c r="J10" s="467">
        <v>0</v>
      </c>
      <c r="K10" s="467">
        <v>0</v>
      </c>
      <c r="L10" s="467">
        <v>0</v>
      </c>
      <c r="M10" s="467">
        <v>0</v>
      </c>
      <c r="N10" s="468">
        <f t="shared" si="16"/>
        <v>2355</v>
      </c>
      <c r="O10" s="468"/>
      <c r="P10" s="469">
        <f t="shared" si="17"/>
        <v>0</v>
      </c>
      <c r="Q10" s="469">
        <f t="shared" si="18"/>
        <v>2355</v>
      </c>
      <c r="R10" s="469">
        <f t="shared" si="19"/>
        <v>2105.21</v>
      </c>
      <c r="S10" s="469">
        <f t="shared" si="20"/>
        <v>249.78999999999996</v>
      </c>
      <c r="T10" s="470">
        <f t="shared" si="21"/>
        <v>0.10879999999999999</v>
      </c>
      <c r="U10" s="469">
        <f t="shared" si="22"/>
        <v>27.177151999999996</v>
      </c>
      <c r="V10" s="469">
        <f t="shared" si="23"/>
        <v>123.62</v>
      </c>
      <c r="W10" s="469">
        <f t="shared" si="24"/>
        <v>150.79715200000001</v>
      </c>
      <c r="X10" s="469">
        <f t="shared" si="25"/>
        <v>177.11500000000001</v>
      </c>
      <c r="Y10" s="469">
        <f t="shared" si="26"/>
        <v>-26.317847999999998</v>
      </c>
      <c r="Z10" s="466"/>
      <c r="AA10" s="468">
        <f t="shared" si="12"/>
        <v>26.317847999999998</v>
      </c>
      <c r="AB10" s="468">
        <f t="shared" si="13"/>
        <v>0</v>
      </c>
      <c r="AC10" s="468">
        <v>0</v>
      </c>
      <c r="AD10" s="467">
        <v>0</v>
      </c>
      <c r="AE10" s="467">
        <v>0</v>
      </c>
      <c r="AF10" s="467">
        <v>0</v>
      </c>
      <c r="AG10" s="468">
        <f t="shared" si="14"/>
        <v>0</v>
      </c>
      <c r="AH10" s="468">
        <f t="shared" si="27"/>
        <v>2381.3178480000001</v>
      </c>
      <c r="AI10" s="468"/>
      <c r="AJ10" s="52"/>
      <c r="AK10" s="111">
        <v>-64</v>
      </c>
      <c r="AL10" s="111">
        <f>-AK10-AA10</f>
        <v>37.682152000000002</v>
      </c>
    </row>
    <row r="11" spans="1:38" s="140" customFormat="1" ht="30" customHeight="1">
      <c r="A11" s="7"/>
      <c r="B11" s="461">
        <v>4</v>
      </c>
      <c r="C11" s="462" t="s">
        <v>157</v>
      </c>
      <c r="D11" s="463" t="s">
        <v>158</v>
      </c>
      <c r="E11" s="464">
        <v>15</v>
      </c>
      <c r="F11" s="465">
        <v>113</v>
      </c>
      <c r="G11" s="466">
        <f t="shared" si="15"/>
        <v>1695</v>
      </c>
      <c r="H11" s="467">
        <v>0</v>
      </c>
      <c r="I11" s="467">
        <v>0</v>
      </c>
      <c r="J11" s="467">
        <v>0</v>
      </c>
      <c r="K11" s="467">
        <v>0</v>
      </c>
      <c r="L11" s="467">
        <v>0</v>
      </c>
      <c r="M11" s="467">
        <v>0</v>
      </c>
      <c r="N11" s="468">
        <f t="shared" si="16"/>
        <v>1695</v>
      </c>
      <c r="O11" s="468"/>
      <c r="P11" s="469">
        <f t="shared" si="17"/>
        <v>0</v>
      </c>
      <c r="Q11" s="469">
        <f t="shared" si="18"/>
        <v>1695</v>
      </c>
      <c r="R11" s="469">
        <f t="shared" si="19"/>
        <v>248.04</v>
      </c>
      <c r="S11" s="469">
        <f t="shared" si="20"/>
        <v>1446.96</v>
      </c>
      <c r="T11" s="470">
        <f t="shared" si="21"/>
        <v>6.4000000000000001E-2</v>
      </c>
      <c r="U11" s="469">
        <f t="shared" si="22"/>
        <v>92.605440000000002</v>
      </c>
      <c r="V11" s="469">
        <f t="shared" si="23"/>
        <v>4.76</v>
      </c>
      <c r="W11" s="469">
        <f t="shared" si="24"/>
        <v>97.365440000000007</v>
      </c>
      <c r="X11" s="469">
        <f t="shared" si="25"/>
        <v>203.31</v>
      </c>
      <c r="Y11" s="469">
        <f t="shared" si="26"/>
        <v>-105.94456</v>
      </c>
      <c r="Z11" s="466"/>
      <c r="AA11" s="468">
        <f t="shared" si="12"/>
        <v>105.94456</v>
      </c>
      <c r="AB11" s="468">
        <f t="shared" si="13"/>
        <v>0</v>
      </c>
      <c r="AC11" s="468">
        <v>0</v>
      </c>
      <c r="AD11" s="467">
        <v>0</v>
      </c>
      <c r="AE11" s="467">
        <v>0</v>
      </c>
      <c r="AF11" s="467">
        <v>0</v>
      </c>
      <c r="AG11" s="468">
        <f t="shared" si="14"/>
        <v>0</v>
      </c>
      <c r="AH11" s="468">
        <f t="shared" si="27"/>
        <v>1800.9445599999999</v>
      </c>
      <c r="AI11" s="468"/>
      <c r="AJ11" s="52"/>
      <c r="AK11" s="111">
        <v>330</v>
      </c>
      <c r="AL11" s="111">
        <f>AB11-AK11</f>
        <v>-330</v>
      </c>
    </row>
    <row r="12" spans="1:38" s="140" customFormat="1" ht="30" customHeight="1">
      <c r="A12" s="7"/>
      <c r="B12" s="461">
        <v>5</v>
      </c>
      <c r="C12" s="462" t="s">
        <v>160</v>
      </c>
      <c r="D12" s="463" t="s">
        <v>104</v>
      </c>
      <c r="E12" s="464">
        <v>15</v>
      </c>
      <c r="F12" s="465">
        <v>143</v>
      </c>
      <c r="G12" s="466">
        <f t="shared" si="15"/>
        <v>2145</v>
      </c>
      <c r="H12" s="467">
        <v>0</v>
      </c>
      <c r="I12" s="467">
        <v>0</v>
      </c>
      <c r="J12" s="467">
        <v>0</v>
      </c>
      <c r="K12" s="467">
        <v>0</v>
      </c>
      <c r="L12" s="467">
        <v>0</v>
      </c>
      <c r="M12" s="467">
        <v>0</v>
      </c>
      <c r="N12" s="468">
        <f t="shared" si="16"/>
        <v>2145</v>
      </c>
      <c r="O12" s="468"/>
      <c r="P12" s="469">
        <f t="shared" si="17"/>
        <v>0</v>
      </c>
      <c r="Q12" s="469">
        <f t="shared" si="18"/>
        <v>2145</v>
      </c>
      <c r="R12" s="469">
        <f t="shared" si="19"/>
        <v>2105.21</v>
      </c>
      <c r="S12" s="469">
        <f t="shared" si="20"/>
        <v>39.789999999999964</v>
      </c>
      <c r="T12" s="470">
        <f t="shared" si="21"/>
        <v>0.10879999999999999</v>
      </c>
      <c r="U12" s="469">
        <f t="shared" si="22"/>
        <v>4.3291519999999961</v>
      </c>
      <c r="V12" s="469">
        <f t="shared" si="23"/>
        <v>123.62</v>
      </c>
      <c r="W12" s="469">
        <f t="shared" si="24"/>
        <v>127.949152</v>
      </c>
      <c r="X12" s="469">
        <f t="shared" si="25"/>
        <v>191.23</v>
      </c>
      <c r="Y12" s="469">
        <f t="shared" si="26"/>
        <v>-63.280847999999992</v>
      </c>
      <c r="Z12" s="466"/>
      <c r="AA12" s="468">
        <f t="shared" si="12"/>
        <v>63.280847999999992</v>
      </c>
      <c r="AB12" s="468">
        <f t="shared" si="13"/>
        <v>0</v>
      </c>
      <c r="AC12" s="468">
        <v>0</v>
      </c>
      <c r="AD12" s="467">
        <v>0</v>
      </c>
      <c r="AE12" s="467">
        <v>0</v>
      </c>
      <c r="AF12" s="467">
        <v>0</v>
      </c>
      <c r="AG12" s="468">
        <f t="shared" si="14"/>
        <v>0</v>
      </c>
      <c r="AH12" s="468">
        <f t="shared" si="27"/>
        <v>2208.2808479999999</v>
      </c>
      <c r="AI12" s="468"/>
      <c r="AJ12" s="52"/>
      <c r="AK12" s="111">
        <v>330</v>
      </c>
      <c r="AL12" s="111">
        <f>AB12-AK12</f>
        <v>-330</v>
      </c>
    </row>
    <row r="13" spans="1:38" s="140" customFormat="1" ht="30" customHeight="1">
      <c r="A13" s="7"/>
      <c r="B13" s="461">
        <v>6</v>
      </c>
      <c r="C13" s="462" t="s">
        <v>264</v>
      </c>
      <c r="D13" s="463" t="s">
        <v>487</v>
      </c>
      <c r="E13" s="464">
        <v>15</v>
      </c>
      <c r="F13" s="465">
        <v>167</v>
      </c>
      <c r="G13" s="466">
        <f t="shared" si="15"/>
        <v>2505</v>
      </c>
      <c r="H13" s="467">
        <v>0</v>
      </c>
      <c r="I13" s="467">
        <v>0</v>
      </c>
      <c r="J13" s="467">
        <v>0</v>
      </c>
      <c r="K13" s="467">
        <v>0</v>
      </c>
      <c r="L13" s="467">
        <v>0</v>
      </c>
      <c r="M13" s="467">
        <v>0</v>
      </c>
      <c r="N13" s="468">
        <f t="shared" si="16"/>
        <v>2505</v>
      </c>
      <c r="O13" s="468"/>
      <c r="P13" s="469">
        <f t="shared" si="17"/>
        <v>0</v>
      </c>
      <c r="Q13" s="469">
        <f t="shared" si="18"/>
        <v>2505</v>
      </c>
      <c r="R13" s="469">
        <f t="shared" si="19"/>
        <v>2105.21</v>
      </c>
      <c r="S13" s="469">
        <f t="shared" si="20"/>
        <v>399.78999999999996</v>
      </c>
      <c r="T13" s="470">
        <f t="shared" si="21"/>
        <v>0.10879999999999999</v>
      </c>
      <c r="U13" s="469">
        <f t="shared" si="22"/>
        <v>43.497151999999993</v>
      </c>
      <c r="V13" s="469">
        <f t="shared" si="23"/>
        <v>123.62</v>
      </c>
      <c r="W13" s="469">
        <f t="shared" si="24"/>
        <v>167.117152</v>
      </c>
      <c r="X13" s="469">
        <f t="shared" si="25"/>
        <v>162.435</v>
      </c>
      <c r="Y13" s="469">
        <f t="shared" si="26"/>
        <v>4.6821520000000021</v>
      </c>
      <c r="Z13" s="466"/>
      <c r="AA13" s="468">
        <f t="shared" si="12"/>
        <v>0</v>
      </c>
      <c r="AB13" s="468">
        <f t="shared" si="13"/>
        <v>4.6821520000000021</v>
      </c>
      <c r="AC13" s="468">
        <v>0</v>
      </c>
      <c r="AD13" s="467">
        <v>0</v>
      </c>
      <c r="AE13" s="467">
        <v>0</v>
      </c>
      <c r="AF13" s="467">
        <v>0</v>
      </c>
      <c r="AG13" s="468">
        <f t="shared" si="14"/>
        <v>4.6821520000000021</v>
      </c>
      <c r="AH13" s="468">
        <f t="shared" si="27"/>
        <v>2500.3178480000001</v>
      </c>
      <c r="AI13" s="468"/>
      <c r="AJ13" s="52"/>
      <c r="AK13" s="111">
        <v>331</v>
      </c>
      <c r="AL13" s="111">
        <f>AB13-AK13</f>
        <v>-326.31784800000003</v>
      </c>
    </row>
    <row r="14" spans="1:38" s="140" customFormat="1" ht="30" customHeight="1">
      <c r="A14" s="7"/>
      <c r="B14" s="461">
        <v>7</v>
      </c>
      <c r="C14" s="462" t="s">
        <v>320</v>
      </c>
      <c r="D14" s="463" t="s">
        <v>319</v>
      </c>
      <c r="E14" s="464">
        <v>15</v>
      </c>
      <c r="F14" s="465">
        <v>115</v>
      </c>
      <c r="G14" s="466">
        <f t="shared" ref="G14:G16" si="28">E14*F14</f>
        <v>1725</v>
      </c>
      <c r="H14" s="467">
        <v>0</v>
      </c>
      <c r="I14" s="467">
        <v>0</v>
      </c>
      <c r="J14" s="467">
        <v>0</v>
      </c>
      <c r="K14" s="467">
        <v>0</v>
      </c>
      <c r="L14" s="467">
        <v>0</v>
      </c>
      <c r="M14" s="467">
        <v>0</v>
      </c>
      <c r="N14" s="468">
        <f t="shared" ref="N14" si="29">SUM(G14:M14)</f>
        <v>1725</v>
      </c>
      <c r="O14" s="468"/>
      <c r="P14" s="469">
        <f t="shared" ref="P14" si="30">IF(F14=47.16,0,IF(F14&gt;47.16,K14*0.5,0))</f>
        <v>0</v>
      </c>
      <c r="Q14" s="469">
        <f t="shared" ref="Q14" si="31">G14+H14+I14+L14+P14+J14</f>
        <v>1725</v>
      </c>
      <c r="R14" s="469">
        <f t="shared" ref="R14" si="32">VLOOKUP(Q14,Tarifa1,1)</f>
        <v>248.04</v>
      </c>
      <c r="S14" s="469">
        <f t="shared" ref="S14" si="33">Q14-R14</f>
        <v>1476.96</v>
      </c>
      <c r="T14" s="470">
        <f t="shared" ref="T14" si="34">VLOOKUP(Q14,Tarifa1,3)</f>
        <v>6.4000000000000001E-2</v>
      </c>
      <c r="U14" s="469">
        <f t="shared" ref="U14" si="35">S14*T14</f>
        <v>94.525440000000003</v>
      </c>
      <c r="V14" s="469">
        <f t="shared" ref="V14" si="36">VLOOKUP(Q14,Tarifa1,2)</f>
        <v>4.76</v>
      </c>
      <c r="W14" s="469">
        <f t="shared" ref="W14" si="37">U14+V14</f>
        <v>99.285440000000008</v>
      </c>
      <c r="X14" s="469">
        <f t="shared" ref="X14" si="38">VLOOKUP(Q14,Credito1,2)</f>
        <v>203.31</v>
      </c>
      <c r="Y14" s="469">
        <f t="shared" ref="Y14" si="39">W14-X14</f>
        <v>-104.02455999999999</v>
      </c>
      <c r="Z14" s="466"/>
      <c r="AA14" s="468">
        <f t="shared" ref="AA14:AA16" si="40">-IF(Y14&gt;0,0,Y14)</f>
        <v>104.02455999999999</v>
      </c>
      <c r="AB14" s="468">
        <f t="shared" ref="AB14:AB16" si="41">IF(Y14&lt;0,0,Y14)</f>
        <v>0</v>
      </c>
      <c r="AC14" s="468">
        <v>0</v>
      </c>
      <c r="AD14" s="467">
        <v>0</v>
      </c>
      <c r="AE14" s="467">
        <v>0</v>
      </c>
      <c r="AF14" s="467">
        <v>0</v>
      </c>
      <c r="AG14" s="468">
        <f t="shared" ref="AG14:AG16" si="42">SUM(AB14:AF14)</f>
        <v>0</v>
      </c>
      <c r="AH14" s="468">
        <f t="shared" ref="AH14:AH16" si="43">N14+AA14-AG14</f>
        <v>1829.0245600000001</v>
      </c>
      <c r="AI14" s="468"/>
      <c r="AJ14" s="52"/>
      <c r="AK14" s="111"/>
      <c r="AL14" s="111"/>
    </row>
    <row r="15" spans="1:38" s="140" customFormat="1" ht="30" customHeight="1">
      <c r="A15" s="7"/>
      <c r="B15" s="461">
        <v>8</v>
      </c>
      <c r="C15" s="471" t="s">
        <v>399</v>
      </c>
      <c r="D15" s="472" t="s">
        <v>469</v>
      </c>
      <c r="E15" s="464">
        <v>15</v>
      </c>
      <c r="F15" s="465">
        <v>167</v>
      </c>
      <c r="G15" s="473">
        <f t="shared" si="28"/>
        <v>2505</v>
      </c>
      <c r="H15" s="474"/>
      <c r="I15" s="474"/>
      <c r="J15" s="474"/>
      <c r="K15" s="474">
        <v>0</v>
      </c>
      <c r="L15" s="474">
        <v>0</v>
      </c>
      <c r="M15" s="474">
        <v>0</v>
      </c>
      <c r="N15" s="468">
        <f t="shared" ref="N15" si="44">SUM(G15:M15)</f>
        <v>2505</v>
      </c>
      <c r="O15" s="468"/>
      <c r="P15" s="469"/>
      <c r="Q15" s="469"/>
      <c r="R15" s="469"/>
      <c r="S15" s="469"/>
      <c r="T15" s="470"/>
      <c r="U15" s="469"/>
      <c r="V15" s="469"/>
      <c r="W15" s="469"/>
      <c r="X15" s="469"/>
      <c r="Y15" s="469"/>
      <c r="Z15" s="466"/>
      <c r="AA15" s="475">
        <f t="shared" si="40"/>
        <v>0</v>
      </c>
      <c r="AB15" s="468">
        <f t="shared" si="41"/>
        <v>0</v>
      </c>
      <c r="AC15" s="468"/>
      <c r="AD15" s="467"/>
      <c r="AE15" s="467"/>
      <c r="AF15" s="467">
        <v>0</v>
      </c>
      <c r="AG15" s="468">
        <f t="shared" si="42"/>
        <v>0</v>
      </c>
      <c r="AH15" s="468">
        <f t="shared" si="43"/>
        <v>2505</v>
      </c>
      <c r="AI15" s="468"/>
      <c r="AJ15" s="52"/>
      <c r="AK15" s="111"/>
      <c r="AL15" s="111"/>
    </row>
    <row r="16" spans="1:38" s="140" customFormat="1" ht="30" customHeight="1">
      <c r="A16" s="7"/>
      <c r="B16" s="461">
        <v>9</v>
      </c>
      <c r="C16" s="476" t="s">
        <v>446</v>
      </c>
      <c r="D16" s="477" t="s">
        <v>158</v>
      </c>
      <c r="E16" s="478">
        <v>6</v>
      </c>
      <c r="F16" s="479">
        <v>113</v>
      </c>
      <c r="G16" s="480">
        <f t="shared" si="28"/>
        <v>678</v>
      </c>
      <c r="H16" s="481">
        <v>0</v>
      </c>
      <c r="I16" s="481">
        <v>0</v>
      </c>
      <c r="J16" s="481">
        <v>0</v>
      </c>
      <c r="K16" s="481">
        <v>0</v>
      </c>
      <c r="L16" s="481">
        <v>0</v>
      </c>
      <c r="M16" s="481">
        <v>0</v>
      </c>
      <c r="N16" s="480">
        <f t="shared" ref="N16" si="45">SUM(G16:M16)</f>
        <v>678</v>
      </c>
      <c r="O16" s="480"/>
      <c r="P16" s="480">
        <f t="shared" ref="P16" si="46">IF(F16=47.16,0,IF(F16&gt;47.16,K16*0.5,0))</f>
        <v>0</v>
      </c>
      <c r="Q16" s="480">
        <f t="shared" ref="Q16" si="47">G16+H16+I16+L16+P16+J16</f>
        <v>678</v>
      </c>
      <c r="R16" s="480">
        <f t="shared" ref="R16" si="48">VLOOKUP(Q16,Tarifa1,1)</f>
        <v>248.04</v>
      </c>
      <c r="S16" s="480">
        <f t="shared" ref="S16" si="49">Q16-R16</f>
        <v>429.96000000000004</v>
      </c>
      <c r="T16" s="482">
        <f t="shared" ref="T16" si="50">VLOOKUP(Q16,Tarifa1,3)</f>
        <v>6.4000000000000001E-2</v>
      </c>
      <c r="U16" s="480">
        <f t="shared" ref="U16" si="51">S16*T16</f>
        <v>27.517440000000004</v>
      </c>
      <c r="V16" s="480">
        <f t="shared" ref="V16" si="52">VLOOKUP(Q16,Tarifa1,2)</f>
        <v>4.76</v>
      </c>
      <c r="W16" s="480">
        <f t="shared" ref="W16" si="53">U16+V16</f>
        <v>32.277440000000006</v>
      </c>
      <c r="X16" s="480">
        <f t="shared" ref="X16" si="54">VLOOKUP(Q16,Credito1,2)</f>
        <v>203.51</v>
      </c>
      <c r="Y16" s="480">
        <f t="shared" ref="Y16" si="55">W16-X16</f>
        <v>-171.23255999999998</v>
      </c>
      <c r="Z16" s="480"/>
      <c r="AA16" s="480">
        <f t="shared" si="40"/>
        <v>171.23255999999998</v>
      </c>
      <c r="AB16" s="480">
        <f t="shared" si="41"/>
        <v>0</v>
      </c>
      <c r="AC16" s="480">
        <v>0</v>
      </c>
      <c r="AD16" s="481">
        <v>0</v>
      </c>
      <c r="AE16" s="481">
        <v>0</v>
      </c>
      <c r="AF16" s="481">
        <v>0</v>
      </c>
      <c r="AG16" s="480">
        <f t="shared" si="42"/>
        <v>0</v>
      </c>
      <c r="AH16" s="480">
        <f t="shared" si="43"/>
        <v>849.23255999999992</v>
      </c>
      <c r="AI16" s="468"/>
      <c r="AJ16" s="52"/>
      <c r="AK16" s="111"/>
      <c r="AL16" s="111"/>
    </row>
    <row r="17" spans="1:38" s="140" customFormat="1" ht="30" customHeight="1">
      <c r="A17" s="7"/>
      <c r="B17" s="461">
        <v>10</v>
      </c>
      <c r="C17" s="476" t="s">
        <v>435</v>
      </c>
      <c r="D17" s="477" t="s">
        <v>436</v>
      </c>
      <c r="E17" s="478">
        <v>15</v>
      </c>
      <c r="F17" s="479">
        <v>167</v>
      </c>
      <c r="G17" s="480">
        <f t="shared" ref="G17:G19" si="56">E17*F17</f>
        <v>2505</v>
      </c>
      <c r="H17" s="481">
        <v>0</v>
      </c>
      <c r="I17" s="481">
        <v>0</v>
      </c>
      <c r="J17" s="481">
        <v>0</v>
      </c>
      <c r="K17" s="481">
        <v>0</v>
      </c>
      <c r="L17" s="481">
        <v>0</v>
      </c>
      <c r="M17" s="481">
        <v>0</v>
      </c>
      <c r="N17" s="480">
        <f t="shared" ref="N17:N19" si="57">SUM(G17:M17)</f>
        <v>2505</v>
      </c>
      <c r="O17" s="480"/>
      <c r="P17" s="480">
        <f t="shared" ref="P17:P19" si="58">IF(F17=47.16,0,IF(F17&gt;47.16,K17*0.5,0))</f>
        <v>0</v>
      </c>
      <c r="Q17" s="480">
        <f t="shared" ref="Q17:Q19" si="59">G17+H17+I17+L17+P17+J17</f>
        <v>2505</v>
      </c>
      <c r="R17" s="480">
        <f t="shared" ref="R17:R19" si="60">VLOOKUP(Q17,Tarifa1,1)</f>
        <v>2105.21</v>
      </c>
      <c r="S17" s="480">
        <f t="shared" ref="S17:S19" si="61">Q17-R17</f>
        <v>399.78999999999996</v>
      </c>
      <c r="T17" s="482">
        <f t="shared" ref="T17:T19" si="62">VLOOKUP(Q17,Tarifa1,3)</f>
        <v>0.10879999999999999</v>
      </c>
      <c r="U17" s="480">
        <f t="shared" ref="U17:U19" si="63">S17*T17</f>
        <v>43.497151999999993</v>
      </c>
      <c r="V17" s="480">
        <f t="shared" ref="V17:V19" si="64">VLOOKUP(Q17,Tarifa1,2)</f>
        <v>123.62</v>
      </c>
      <c r="W17" s="480">
        <f t="shared" ref="W17:W19" si="65">U17+V17</f>
        <v>167.117152</v>
      </c>
      <c r="X17" s="480">
        <f t="shared" ref="X17:X19" si="66">VLOOKUP(Q17,Credito1,2)</f>
        <v>162.435</v>
      </c>
      <c r="Y17" s="480">
        <f t="shared" ref="Y17:Y19" si="67">W17-X17</f>
        <v>4.6821520000000021</v>
      </c>
      <c r="Z17" s="480"/>
      <c r="AA17" s="480">
        <f t="shared" ref="AA17:AA19" si="68">-IF(Y17&gt;0,0,Y17)</f>
        <v>0</v>
      </c>
      <c r="AB17" s="480">
        <f t="shared" ref="AB17:AB19" si="69">IF(Y17&lt;0,0,Y17)</f>
        <v>4.6821520000000021</v>
      </c>
      <c r="AC17" s="480">
        <v>0</v>
      </c>
      <c r="AD17" s="481">
        <v>0</v>
      </c>
      <c r="AE17" s="481">
        <v>0</v>
      </c>
      <c r="AF17" s="481">
        <v>0</v>
      </c>
      <c r="AG17" s="480">
        <f t="shared" ref="AG17:AG19" si="70">SUM(AB17:AF17)</f>
        <v>4.6821520000000021</v>
      </c>
      <c r="AH17" s="480">
        <f t="shared" ref="AH17:AH19" si="71">N17+AA17-AG17</f>
        <v>2500.3178480000001</v>
      </c>
      <c r="AI17" s="468"/>
      <c r="AJ17" s="52"/>
      <c r="AK17" s="111"/>
      <c r="AL17" s="111"/>
    </row>
    <row r="18" spans="1:38" s="140" customFormat="1" ht="30" customHeight="1">
      <c r="A18" s="7"/>
      <c r="B18" s="461">
        <v>11</v>
      </c>
      <c r="C18" s="476" t="s">
        <v>437</v>
      </c>
      <c r="D18" s="477" t="s">
        <v>470</v>
      </c>
      <c r="E18" s="478">
        <v>15</v>
      </c>
      <c r="F18" s="479">
        <v>167</v>
      </c>
      <c r="G18" s="480">
        <f t="shared" si="56"/>
        <v>2505</v>
      </c>
      <c r="H18" s="481">
        <v>0</v>
      </c>
      <c r="I18" s="481">
        <v>0</v>
      </c>
      <c r="J18" s="481">
        <v>0</v>
      </c>
      <c r="K18" s="481">
        <v>0</v>
      </c>
      <c r="L18" s="481">
        <v>0</v>
      </c>
      <c r="M18" s="481">
        <v>0</v>
      </c>
      <c r="N18" s="480">
        <f t="shared" si="57"/>
        <v>2505</v>
      </c>
      <c r="O18" s="480"/>
      <c r="P18" s="480">
        <f t="shared" si="58"/>
        <v>0</v>
      </c>
      <c r="Q18" s="480">
        <f t="shared" si="59"/>
        <v>2505</v>
      </c>
      <c r="R18" s="480">
        <f t="shared" si="60"/>
        <v>2105.21</v>
      </c>
      <c r="S18" s="480">
        <f t="shared" si="61"/>
        <v>399.78999999999996</v>
      </c>
      <c r="T18" s="482">
        <f t="shared" si="62"/>
        <v>0.10879999999999999</v>
      </c>
      <c r="U18" s="480">
        <f t="shared" si="63"/>
        <v>43.497151999999993</v>
      </c>
      <c r="V18" s="480">
        <f t="shared" si="64"/>
        <v>123.62</v>
      </c>
      <c r="W18" s="480">
        <f t="shared" si="65"/>
        <v>167.117152</v>
      </c>
      <c r="X18" s="480">
        <f t="shared" si="66"/>
        <v>162.435</v>
      </c>
      <c r="Y18" s="480">
        <f t="shared" si="67"/>
        <v>4.6821520000000021</v>
      </c>
      <c r="Z18" s="480"/>
      <c r="AA18" s="480">
        <f t="shared" si="68"/>
        <v>0</v>
      </c>
      <c r="AB18" s="480">
        <f t="shared" si="69"/>
        <v>4.6821520000000021</v>
      </c>
      <c r="AC18" s="480">
        <v>0</v>
      </c>
      <c r="AD18" s="481">
        <v>0</v>
      </c>
      <c r="AE18" s="481">
        <v>0</v>
      </c>
      <c r="AF18" s="481">
        <v>0</v>
      </c>
      <c r="AG18" s="480">
        <f t="shared" si="70"/>
        <v>4.6821520000000021</v>
      </c>
      <c r="AH18" s="480">
        <f t="shared" si="71"/>
        <v>2500.3178480000001</v>
      </c>
      <c r="AI18" s="468"/>
      <c r="AJ18" s="52"/>
      <c r="AK18" s="111"/>
      <c r="AL18" s="111"/>
    </row>
    <row r="19" spans="1:38" s="140" customFormat="1" ht="30" customHeight="1">
      <c r="A19" s="7"/>
      <c r="B19" s="461">
        <v>12</v>
      </c>
      <c r="C19" s="471" t="s">
        <v>438</v>
      </c>
      <c r="D19" s="472" t="s">
        <v>319</v>
      </c>
      <c r="E19" s="464">
        <v>15</v>
      </c>
      <c r="F19" s="465">
        <v>115</v>
      </c>
      <c r="G19" s="466">
        <f t="shared" si="56"/>
        <v>1725</v>
      </c>
      <c r="H19" s="467">
        <v>0</v>
      </c>
      <c r="I19" s="467">
        <v>0</v>
      </c>
      <c r="J19" s="467">
        <v>0</v>
      </c>
      <c r="K19" s="467">
        <v>0</v>
      </c>
      <c r="L19" s="467">
        <v>0</v>
      </c>
      <c r="M19" s="467">
        <v>0</v>
      </c>
      <c r="N19" s="468">
        <f t="shared" si="57"/>
        <v>1725</v>
      </c>
      <c r="O19" s="468"/>
      <c r="P19" s="469">
        <f t="shared" si="58"/>
        <v>0</v>
      </c>
      <c r="Q19" s="469">
        <f t="shared" si="59"/>
        <v>1725</v>
      </c>
      <c r="R19" s="469">
        <f t="shared" si="60"/>
        <v>248.04</v>
      </c>
      <c r="S19" s="469">
        <f t="shared" si="61"/>
        <v>1476.96</v>
      </c>
      <c r="T19" s="470">
        <f t="shared" si="62"/>
        <v>6.4000000000000001E-2</v>
      </c>
      <c r="U19" s="469">
        <f t="shared" si="63"/>
        <v>94.525440000000003</v>
      </c>
      <c r="V19" s="469">
        <f t="shared" si="64"/>
        <v>4.76</v>
      </c>
      <c r="W19" s="469">
        <f t="shared" si="65"/>
        <v>99.285440000000008</v>
      </c>
      <c r="X19" s="469">
        <f t="shared" si="66"/>
        <v>203.31</v>
      </c>
      <c r="Y19" s="469">
        <f t="shared" si="67"/>
        <v>-104.02455999999999</v>
      </c>
      <c r="Z19" s="466"/>
      <c r="AA19" s="468">
        <f t="shared" si="68"/>
        <v>104.02455999999999</v>
      </c>
      <c r="AB19" s="468">
        <f t="shared" si="69"/>
        <v>0</v>
      </c>
      <c r="AC19" s="468">
        <v>0</v>
      </c>
      <c r="AD19" s="467">
        <v>0</v>
      </c>
      <c r="AE19" s="467">
        <v>0</v>
      </c>
      <c r="AF19" s="467">
        <v>0</v>
      </c>
      <c r="AG19" s="468">
        <f t="shared" si="70"/>
        <v>0</v>
      </c>
      <c r="AH19" s="468">
        <f t="shared" si="71"/>
        <v>1829.0245600000001</v>
      </c>
      <c r="AI19" s="468"/>
      <c r="AJ19" s="52"/>
      <c r="AK19" s="111"/>
      <c r="AL19" s="111"/>
    </row>
    <row r="20" spans="1:38" s="140" customFormat="1" ht="30" customHeight="1">
      <c r="A20" s="7"/>
      <c r="B20" s="461">
        <v>13</v>
      </c>
      <c r="C20" s="471" t="s">
        <v>402</v>
      </c>
      <c r="D20" s="472" t="s">
        <v>220</v>
      </c>
      <c r="E20" s="464">
        <v>15</v>
      </c>
      <c r="F20" s="465">
        <v>131</v>
      </c>
      <c r="G20" s="466">
        <f t="shared" ref="G20:G21" si="72">E20*F20</f>
        <v>1965</v>
      </c>
      <c r="H20" s="467">
        <v>0</v>
      </c>
      <c r="I20" s="467">
        <v>0</v>
      </c>
      <c r="J20" s="467">
        <v>0</v>
      </c>
      <c r="K20" s="467">
        <v>0</v>
      </c>
      <c r="L20" s="467">
        <v>0</v>
      </c>
      <c r="M20" s="467">
        <v>0</v>
      </c>
      <c r="N20" s="468">
        <f t="shared" ref="N20:N21" si="73">SUM(G20:M20)</f>
        <v>1965</v>
      </c>
      <c r="O20" s="468"/>
      <c r="P20" s="469">
        <f t="shared" ref="P20:P21" si="74">IF(F20=47.16,0,IF(F20&gt;47.16,K20*0.5,0))</f>
        <v>0</v>
      </c>
      <c r="Q20" s="469">
        <f t="shared" ref="Q20:Q21" si="75">G20+H20+I20+L20+P20+J20</f>
        <v>1965</v>
      </c>
      <c r="R20" s="469">
        <f t="shared" ref="R20:R21" si="76">VLOOKUP(Q20,Tarifa1,1)</f>
        <v>248.04</v>
      </c>
      <c r="S20" s="469">
        <f t="shared" ref="S20:S21" si="77">Q20-R20</f>
        <v>1716.96</v>
      </c>
      <c r="T20" s="470">
        <f t="shared" ref="T20:T21" si="78">VLOOKUP(Q20,Tarifa1,3)</f>
        <v>6.4000000000000001E-2</v>
      </c>
      <c r="U20" s="469">
        <f t="shared" ref="U20:U21" si="79">S20*T20</f>
        <v>109.88544</v>
      </c>
      <c r="V20" s="469">
        <f t="shared" ref="V20:V21" si="80">VLOOKUP(Q20,Tarifa1,2)</f>
        <v>4.76</v>
      </c>
      <c r="W20" s="469">
        <f t="shared" ref="W20:W21" si="81">U20+V20</f>
        <v>114.64544000000001</v>
      </c>
      <c r="X20" s="469">
        <f t="shared" ref="X20:X21" si="82">VLOOKUP(Q20,Credito1,2)</f>
        <v>191.23</v>
      </c>
      <c r="Y20" s="469">
        <f t="shared" ref="Y20:Y21" si="83">W20-X20</f>
        <v>-76.584559999999982</v>
      </c>
      <c r="Z20" s="466"/>
      <c r="AA20" s="468">
        <f t="shared" ref="AA20:AA21" si="84">-IF(Y20&gt;0,0,Y20)</f>
        <v>76.584559999999982</v>
      </c>
      <c r="AB20" s="468">
        <f t="shared" ref="AB20:AB21" si="85">IF(Y20&lt;0,0,Y20)</f>
        <v>0</v>
      </c>
      <c r="AC20" s="468">
        <v>0</v>
      </c>
      <c r="AD20" s="467">
        <v>0</v>
      </c>
      <c r="AE20" s="467">
        <v>0</v>
      </c>
      <c r="AF20" s="467">
        <v>0</v>
      </c>
      <c r="AG20" s="468">
        <f t="shared" ref="AG20:AG21" si="86">SUM(AB20:AF20)</f>
        <v>0</v>
      </c>
      <c r="AH20" s="468">
        <f t="shared" ref="AH20:AH21" si="87">N20+AA20-AG20</f>
        <v>2041.58456</v>
      </c>
      <c r="AI20" s="468"/>
      <c r="AJ20" s="52"/>
      <c r="AK20" s="111"/>
      <c r="AL20" s="111"/>
    </row>
    <row r="21" spans="1:38" s="140" customFormat="1" ht="30" customHeight="1">
      <c r="A21" s="7"/>
      <c r="B21" s="461">
        <v>14</v>
      </c>
      <c r="C21" s="462" t="s">
        <v>323</v>
      </c>
      <c r="D21" s="463" t="s">
        <v>350</v>
      </c>
      <c r="E21" s="464">
        <v>15</v>
      </c>
      <c r="F21" s="465">
        <v>167</v>
      </c>
      <c r="G21" s="473">
        <f t="shared" si="72"/>
        <v>2505</v>
      </c>
      <c r="H21" s="474">
        <v>0</v>
      </c>
      <c r="I21" s="474">
        <v>0</v>
      </c>
      <c r="J21" s="474">
        <v>0</v>
      </c>
      <c r="K21" s="474">
        <v>0</v>
      </c>
      <c r="L21" s="474">
        <v>0</v>
      </c>
      <c r="M21" s="474">
        <v>0</v>
      </c>
      <c r="N21" s="483">
        <f t="shared" si="73"/>
        <v>2505</v>
      </c>
      <c r="O21" s="484"/>
      <c r="P21" s="485">
        <f t="shared" si="74"/>
        <v>0</v>
      </c>
      <c r="Q21" s="485">
        <f t="shared" si="75"/>
        <v>2505</v>
      </c>
      <c r="R21" s="485">
        <f t="shared" si="76"/>
        <v>2105.21</v>
      </c>
      <c r="S21" s="485">
        <f t="shared" si="77"/>
        <v>399.78999999999996</v>
      </c>
      <c r="T21" s="486">
        <f t="shared" si="78"/>
        <v>0.10879999999999999</v>
      </c>
      <c r="U21" s="485">
        <f t="shared" si="79"/>
        <v>43.497151999999993</v>
      </c>
      <c r="V21" s="485">
        <f t="shared" si="80"/>
        <v>123.62</v>
      </c>
      <c r="W21" s="485">
        <f t="shared" si="81"/>
        <v>167.117152</v>
      </c>
      <c r="X21" s="485">
        <f t="shared" si="82"/>
        <v>162.435</v>
      </c>
      <c r="Y21" s="485">
        <f t="shared" si="83"/>
        <v>4.6821520000000021</v>
      </c>
      <c r="Z21" s="487"/>
      <c r="AA21" s="483">
        <f t="shared" si="84"/>
        <v>0</v>
      </c>
      <c r="AB21" s="483">
        <f t="shared" si="85"/>
        <v>4.6821520000000021</v>
      </c>
      <c r="AC21" s="483">
        <v>0</v>
      </c>
      <c r="AD21" s="474">
        <v>0</v>
      </c>
      <c r="AE21" s="474">
        <v>0</v>
      </c>
      <c r="AF21" s="474">
        <v>0</v>
      </c>
      <c r="AG21" s="483">
        <f t="shared" si="86"/>
        <v>4.6821520000000021</v>
      </c>
      <c r="AH21" s="483">
        <f t="shared" si="87"/>
        <v>2500.3178480000001</v>
      </c>
      <c r="AI21" s="468"/>
      <c r="AJ21" s="52"/>
      <c r="AK21" s="111"/>
      <c r="AL21" s="111"/>
    </row>
    <row r="22" spans="1:38" s="140" customFormat="1" ht="30" customHeight="1">
      <c r="A22" s="7"/>
      <c r="B22" s="461">
        <v>15</v>
      </c>
      <c r="C22" s="471" t="s">
        <v>347</v>
      </c>
      <c r="D22" s="472" t="s">
        <v>469</v>
      </c>
      <c r="E22" s="464">
        <v>15</v>
      </c>
      <c r="F22" s="465">
        <v>167</v>
      </c>
      <c r="G22" s="473">
        <f t="shared" ref="G22:G24" si="88">E22*F22</f>
        <v>2505</v>
      </c>
      <c r="H22" s="474">
        <v>0</v>
      </c>
      <c r="I22" s="474">
        <v>0</v>
      </c>
      <c r="J22" s="474">
        <v>0</v>
      </c>
      <c r="K22" s="474">
        <v>0</v>
      </c>
      <c r="L22" s="474">
        <v>0</v>
      </c>
      <c r="M22" s="474">
        <v>0</v>
      </c>
      <c r="N22" s="483">
        <f t="shared" ref="N22:N24" si="89">SUM(G22:M22)</f>
        <v>2505</v>
      </c>
      <c r="O22" s="484"/>
      <c r="P22" s="485">
        <f t="shared" ref="P22:P24" si="90">IF(F22=47.16,0,IF(F22&gt;47.16,K22*0.5,0))</f>
        <v>0</v>
      </c>
      <c r="Q22" s="485">
        <f t="shared" ref="Q22:Q24" si="91">G22+H22+I22+L22+P22+J22</f>
        <v>2505</v>
      </c>
      <c r="R22" s="485">
        <f t="shared" ref="R22:R24" si="92">VLOOKUP(Q22,Tarifa1,1)</f>
        <v>2105.21</v>
      </c>
      <c r="S22" s="485">
        <f t="shared" ref="S22:S24" si="93">Q22-R22</f>
        <v>399.78999999999996</v>
      </c>
      <c r="T22" s="486">
        <f t="shared" ref="T22:T24" si="94">VLOOKUP(Q22,Tarifa1,3)</f>
        <v>0.10879999999999999</v>
      </c>
      <c r="U22" s="485">
        <f t="shared" ref="U22:U24" si="95">S22*T22</f>
        <v>43.497151999999993</v>
      </c>
      <c r="V22" s="485">
        <f t="shared" ref="V22:V24" si="96">VLOOKUP(Q22,Tarifa1,2)</f>
        <v>123.62</v>
      </c>
      <c r="W22" s="485">
        <f t="shared" ref="W22:W24" si="97">U22+V22</f>
        <v>167.117152</v>
      </c>
      <c r="X22" s="485">
        <f t="shared" ref="X22:X24" si="98">VLOOKUP(Q22,Credito1,2)</f>
        <v>162.435</v>
      </c>
      <c r="Y22" s="485">
        <f t="shared" ref="Y22:Y24" si="99">W22-X22</f>
        <v>4.6821520000000021</v>
      </c>
      <c r="Z22" s="487"/>
      <c r="AA22" s="483">
        <f t="shared" ref="AA22:AA24" si="100">-IF(Y22&gt;0,0,Y22)</f>
        <v>0</v>
      </c>
      <c r="AB22" s="483">
        <f t="shared" ref="AB22:AB24" si="101">IF(Y22&lt;0,0,Y22)</f>
        <v>4.6821520000000021</v>
      </c>
      <c r="AC22" s="483">
        <v>0</v>
      </c>
      <c r="AD22" s="474">
        <v>0</v>
      </c>
      <c r="AE22" s="474">
        <v>0</v>
      </c>
      <c r="AF22" s="474">
        <v>0</v>
      </c>
      <c r="AG22" s="483">
        <f t="shared" ref="AG22:AG24" si="102">SUM(AB22:AF22)</f>
        <v>4.6821520000000021</v>
      </c>
      <c r="AH22" s="483">
        <f t="shared" ref="AH22:AH24" si="103">N22+AA22-AG22</f>
        <v>2500.3178480000001</v>
      </c>
      <c r="AI22" s="468"/>
      <c r="AJ22" s="52"/>
      <c r="AK22" s="111"/>
      <c r="AL22" s="111"/>
    </row>
    <row r="23" spans="1:38" s="140" customFormat="1" ht="30" customHeight="1">
      <c r="A23" s="7"/>
      <c r="B23" s="461">
        <v>16</v>
      </c>
      <c r="C23" s="471" t="s">
        <v>532</v>
      </c>
      <c r="D23" s="472" t="s">
        <v>533</v>
      </c>
      <c r="E23" s="464">
        <v>15</v>
      </c>
      <c r="F23" s="465">
        <v>167</v>
      </c>
      <c r="G23" s="473">
        <f t="shared" ref="G23" si="104">E23*F23</f>
        <v>2505</v>
      </c>
      <c r="H23" s="474">
        <v>0</v>
      </c>
      <c r="I23" s="474">
        <v>0</v>
      </c>
      <c r="J23" s="474">
        <v>0</v>
      </c>
      <c r="K23" s="474">
        <v>0</v>
      </c>
      <c r="L23" s="474">
        <v>0</v>
      </c>
      <c r="M23" s="474">
        <v>0</v>
      </c>
      <c r="N23" s="483">
        <f t="shared" ref="N23" si="105">SUM(G23:M23)</f>
        <v>2505</v>
      </c>
      <c r="O23" s="484"/>
      <c r="P23" s="485">
        <f t="shared" ref="P23" si="106">IF(F23=47.16,0,IF(F23&gt;47.16,K23*0.5,0))</f>
        <v>0</v>
      </c>
      <c r="Q23" s="485">
        <f t="shared" ref="Q23" si="107">G23+H23+I23+L23+P23+J23</f>
        <v>2505</v>
      </c>
      <c r="R23" s="485">
        <f t="shared" ref="R23" si="108">VLOOKUP(Q23,Tarifa1,1)</f>
        <v>2105.21</v>
      </c>
      <c r="S23" s="485">
        <f t="shared" ref="S23" si="109">Q23-R23</f>
        <v>399.78999999999996</v>
      </c>
      <c r="T23" s="486">
        <f t="shared" ref="T23" si="110">VLOOKUP(Q23,Tarifa1,3)</f>
        <v>0.10879999999999999</v>
      </c>
      <c r="U23" s="485">
        <f t="shared" ref="U23" si="111">S23*T23</f>
        <v>43.497151999999993</v>
      </c>
      <c r="V23" s="485">
        <f t="shared" ref="V23" si="112">VLOOKUP(Q23,Tarifa1,2)</f>
        <v>123.62</v>
      </c>
      <c r="W23" s="485">
        <f t="shared" ref="W23" si="113">U23+V23</f>
        <v>167.117152</v>
      </c>
      <c r="X23" s="485">
        <f t="shared" ref="X23" si="114">VLOOKUP(Q23,Credito1,2)</f>
        <v>162.435</v>
      </c>
      <c r="Y23" s="485">
        <f t="shared" ref="Y23" si="115">W23-X23</f>
        <v>4.6821520000000021</v>
      </c>
      <c r="Z23" s="487"/>
      <c r="AA23" s="483">
        <f t="shared" ref="AA23" si="116">-IF(Y23&gt;0,0,Y23)</f>
        <v>0</v>
      </c>
      <c r="AB23" s="483">
        <f t="shared" ref="AB23" si="117">IF(Y23&lt;0,0,Y23)</f>
        <v>4.6821520000000021</v>
      </c>
      <c r="AC23" s="483">
        <v>0</v>
      </c>
      <c r="AD23" s="474">
        <v>0</v>
      </c>
      <c r="AE23" s="474">
        <v>0</v>
      </c>
      <c r="AF23" s="474">
        <v>0</v>
      </c>
      <c r="AG23" s="483">
        <f t="shared" ref="AG23" si="118">SUM(AB23:AF23)</f>
        <v>4.6821520000000021</v>
      </c>
      <c r="AH23" s="483">
        <f t="shared" ref="AH23" si="119">N23+AA23-AG23</f>
        <v>2500.3178480000001</v>
      </c>
      <c r="AI23" s="468"/>
      <c r="AJ23" s="52"/>
      <c r="AK23" s="257"/>
      <c r="AL23" s="257"/>
    </row>
    <row r="24" spans="1:38" s="140" customFormat="1" ht="30" customHeight="1">
      <c r="A24" s="7"/>
      <c r="B24" s="461">
        <v>17</v>
      </c>
      <c r="C24" s="471" t="s">
        <v>486</v>
      </c>
      <c r="D24" s="472" t="s">
        <v>318</v>
      </c>
      <c r="E24" s="464">
        <v>15</v>
      </c>
      <c r="F24" s="465">
        <v>260</v>
      </c>
      <c r="G24" s="473">
        <f t="shared" si="88"/>
        <v>3900</v>
      </c>
      <c r="H24" s="474">
        <v>0</v>
      </c>
      <c r="I24" s="474">
        <v>0</v>
      </c>
      <c r="J24" s="474">
        <v>0</v>
      </c>
      <c r="K24" s="474">
        <v>0</v>
      </c>
      <c r="L24" s="474">
        <v>0</v>
      </c>
      <c r="M24" s="474">
        <v>0</v>
      </c>
      <c r="N24" s="483">
        <f t="shared" si="89"/>
        <v>3900</v>
      </c>
      <c r="O24" s="484"/>
      <c r="P24" s="485">
        <f t="shared" si="90"/>
        <v>0</v>
      </c>
      <c r="Q24" s="485">
        <f t="shared" si="91"/>
        <v>3900</v>
      </c>
      <c r="R24" s="485">
        <f t="shared" si="92"/>
        <v>3699.7150000000001</v>
      </c>
      <c r="S24" s="485">
        <f t="shared" si="93"/>
        <v>200.28499999999985</v>
      </c>
      <c r="T24" s="486">
        <f t="shared" si="94"/>
        <v>0.16</v>
      </c>
      <c r="U24" s="485">
        <f t="shared" si="95"/>
        <v>32.045599999999979</v>
      </c>
      <c r="V24" s="485">
        <f t="shared" si="96"/>
        <v>297.10500000000002</v>
      </c>
      <c r="W24" s="485">
        <f t="shared" si="97"/>
        <v>329.1506</v>
      </c>
      <c r="X24" s="485">
        <f t="shared" si="98"/>
        <v>0</v>
      </c>
      <c r="Y24" s="485">
        <f t="shared" si="99"/>
        <v>329.1506</v>
      </c>
      <c r="Z24" s="487"/>
      <c r="AA24" s="483">
        <f t="shared" si="100"/>
        <v>0</v>
      </c>
      <c r="AB24" s="483">
        <f t="shared" si="101"/>
        <v>329.1506</v>
      </c>
      <c r="AC24" s="483">
        <v>0</v>
      </c>
      <c r="AD24" s="474">
        <v>0</v>
      </c>
      <c r="AE24" s="474">
        <v>0</v>
      </c>
      <c r="AF24" s="474">
        <v>0</v>
      </c>
      <c r="AG24" s="483">
        <f t="shared" si="102"/>
        <v>329.1506</v>
      </c>
      <c r="AH24" s="483">
        <f t="shared" si="103"/>
        <v>3570.8494000000001</v>
      </c>
      <c r="AI24" s="468"/>
      <c r="AJ24" s="52"/>
      <c r="AK24" s="257"/>
      <c r="AL24" s="257"/>
    </row>
    <row r="25" spans="1:38" s="140" customFormat="1">
      <c r="A25" s="7"/>
      <c r="B25" s="488"/>
      <c r="C25" s="489"/>
      <c r="D25" s="489"/>
      <c r="E25" s="488"/>
      <c r="F25" s="490"/>
      <c r="G25" s="491"/>
      <c r="H25" s="492"/>
      <c r="I25" s="492"/>
      <c r="J25" s="492"/>
      <c r="K25" s="492"/>
      <c r="L25" s="492"/>
      <c r="M25" s="492"/>
      <c r="N25" s="492"/>
      <c r="O25" s="492"/>
      <c r="P25" s="493"/>
      <c r="Q25" s="493"/>
      <c r="R25" s="493"/>
      <c r="S25" s="493"/>
      <c r="T25" s="494"/>
      <c r="U25" s="493"/>
      <c r="V25" s="493"/>
      <c r="W25" s="493"/>
      <c r="X25" s="493"/>
      <c r="Y25" s="493"/>
      <c r="Z25" s="495"/>
      <c r="AA25" s="496"/>
      <c r="AB25" s="496"/>
      <c r="AC25" s="496"/>
      <c r="AD25" s="496"/>
      <c r="AE25" s="496"/>
      <c r="AF25" s="496"/>
      <c r="AG25" s="496"/>
      <c r="AH25" s="497"/>
      <c r="AI25" s="497"/>
      <c r="AJ25" s="7"/>
      <c r="AK25" s="105"/>
      <c r="AL25" s="105"/>
    </row>
    <row r="26" spans="1:38" s="140" customFormat="1">
      <c r="A26" s="7"/>
      <c r="B26" s="93"/>
      <c r="C26" s="93"/>
      <c r="D26" s="93"/>
      <c r="E26" s="93"/>
      <c r="F26" s="93"/>
      <c r="G26" s="96"/>
      <c r="H26" s="96"/>
      <c r="I26" s="96"/>
      <c r="J26" s="96"/>
      <c r="K26" s="96"/>
      <c r="L26" s="96"/>
      <c r="M26" s="96"/>
      <c r="N26" s="96"/>
      <c r="O26" s="96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230"/>
      <c r="AB26" s="230"/>
      <c r="AC26" s="230"/>
      <c r="AD26" s="230"/>
      <c r="AE26" s="230"/>
      <c r="AF26" s="230"/>
      <c r="AG26" s="230"/>
      <c r="AH26" s="230"/>
      <c r="AI26" s="231"/>
      <c r="AJ26" s="7"/>
      <c r="AK26" s="98"/>
      <c r="AL26" s="98"/>
    </row>
    <row r="27" spans="1:38" s="140" customFormat="1" ht="15.75" thickBot="1">
      <c r="A27" s="7"/>
      <c r="B27" s="634" t="s">
        <v>71</v>
      </c>
      <c r="C27" s="635"/>
      <c r="D27" s="635"/>
      <c r="E27" s="635"/>
      <c r="F27" s="636"/>
      <c r="G27" s="114">
        <f t="shared" ref="G27:N27" si="120">SUM(G8:G26)</f>
        <v>59298</v>
      </c>
      <c r="H27" s="114">
        <f t="shared" si="120"/>
        <v>0</v>
      </c>
      <c r="I27" s="114">
        <f t="shared" si="120"/>
        <v>0</v>
      </c>
      <c r="J27" s="114">
        <f t="shared" si="120"/>
        <v>0</v>
      </c>
      <c r="K27" s="114">
        <f t="shared" si="120"/>
        <v>0</v>
      </c>
      <c r="L27" s="114">
        <f t="shared" si="120"/>
        <v>0</v>
      </c>
      <c r="M27" s="114">
        <f t="shared" si="120"/>
        <v>0</v>
      </c>
      <c r="N27" s="114">
        <f t="shared" si="120"/>
        <v>59298</v>
      </c>
      <c r="O27" s="133"/>
      <c r="P27" s="135">
        <f t="shared" ref="P27:Y27" si="121">SUM(P8:P26)</f>
        <v>0</v>
      </c>
      <c r="Q27" s="135">
        <f t="shared" si="121"/>
        <v>56793</v>
      </c>
      <c r="R27" s="135">
        <f t="shared" si="121"/>
        <v>43299.194999999992</v>
      </c>
      <c r="S27" s="135">
        <f t="shared" si="121"/>
        <v>13493.805</v>
      </c>
      <c r="T27" s="135">
        <f t="shared" si="121"/>
        <v>1.8640000000000003</v>
      </c>
      <c r="U27" s="135">
        <f t="shared" si="121"/>
        <v>1892.4871679999992</v>
      </c>
      <c r="V27" s="135">
        <f t="shared" si="121"/>
        <v>4926.1450000000004</v>
      </c>
      <c r="W27" s="135">
        <f t="shared" si="121"/>
        <v>6818.6321679999974</v>
      </c>
      <c r="X27" s="135">
        <f t="shared" si="121"/>
        <v>2347.6249999999995</v>
      </c>
      <c r="Y27" s="135">
        <f t="shared" si="121"/>
        <v>4471.007168000001</v>
      </c>
      <c r="Z27" s="133"/>
      <c r="AA27" s="234">
        <v>499.93</v>
      </c>
      <c r="AB27" s="188">
        <f t="shared" ref="AB27:AH27" si="122">SUM(AB8:AB26)</f>
        <v>5122.4166640000012</v>
      </c>
      <c r="AC27" s="188">
        <f t="shared" si="122"/>
        <v>0</v>
      </c>
      <c r="AD27" s="188">
        <f t="shared" si="122"/>
        <v>0</v>
      </c>
      <c r="AE27" s="188">
        <f t="shared" si="122"/>
        <v>0</v>
      </c>
      <c r="AF27" s="188">
        <f t="shared" si="122"/>
        <v>0</v>
      </c>
      <c r="AG27" s="188">
        <f t="shared" si="122"/>
        <v>5122.4166640000012</v>
      </c>
      <c r="AH27" s="188">
        <f t="shared" si="122"/>
        <v>54826.992831999989</v>
      </c>
      <c r="AI27" s="188"/>
      <c r="AJ27" s="7"/>
      <c r="AK27" s="114">
        <f t="shared" ref="AK27:AL27" si="123">SUM(AK8:AK26)</f>
        <v>6953.05</v>
      </c>
      <c r="AL27" s="114">
        <f t="shared" si="123"/>
        <v>-2209.5125440000006</v>
      </c>
    </row>
    <row r="28" spans="1:38" s="140" customFormat="1" ht="13.5" thickTop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231"/>
      <c r="AB28" s="231"/>
      <c r="AC28" s="231"/>
      <c r="AD28" s="231"/>
      <c r="AE28" s="231"/>
      <c r="AF28" s="231"/>
      <c r="AG28" s="231"/>
      <c r="AH28" s="231"/>
      <c r="AI28" s="231"/>
      <c r="AJ28" s="7"/>
      <c r="AK28" s="7"/>
      <c r="AL28" s="7"/>
    </row>
    <row r="31" spans="1:38">
      <c r="C31" s="52"/>
      <c r="D31" s="52"/>
      <c r="AA31" s="160"/>
      <c r="AB31" s="160"/>
      <c r="AC31" s="160"/>
      <c r="AD31" s="160"/>
      <c r="AE31" s="160"/>
      <c r="AF31" s="160"/>
      <c r="AG31" s="160"/>
      <c r="AH31" s="160"/>
    </row>
    <row r="32" spans="1:38">
      <c r="C32" s="52"/>
      <c r="D32" s="52"/>
      <c r="AA32" s="160"/>
      <c r="AB32" s="160"/>
      <c r="AC32" s="160"/>
      <c r="AD32" s="160"/>
      <c r="AE32" s="160"/>
      <c r="AF32" s="160"/>
      <c r="AG32" s="160"/>
      <c r="AH32" s="160"/>
    </row>
    <row r="33" spans="3:34">
      <c r="C33" s="52"/>
      <c r="D33" s="52"/>
      <c r="AA33" s="160"/>
      <c r="AB33" s="160"/>
      <c r="AC33" s="160"/>
      <c r="AD33" s="160"/>
      <c r="AE33" s="160"/>
      <c r="AF33" s="160"/>
      <c r="AG33" s="160"/>
      <c r="AH33" s="160"/>
    </row>
    <row r="34" spans="3:34">
      <c r="AA34" s="160"/>
      <c r="AB34" s="160"/>
      <c r="AC34" s="160"/>
      <c r="AD34" s="160"/>
      <c r="AE34" s="160"/>
      <c r="AF34" s="160"/>
      <c r="AG34" s="160"/>
      <c r="AH34" s="160"/>
    </row>
    <row r="35" spans="3:34">
      <c r="C35" s="144"/>
      <c r="D35" s="144"/>
      <c r="AA35" s="160"/>
      <c r="AB35" s="160"/>
      <c r="AC35" s="160"/>
      <c r="AD35" s="160"/>
      <c r="AE35" s="160"/>
      <c r="AF35" s="160"/>
      <c r="AG35" s="160"/>
      <c r="AH35" s="160"/>
    </row>
    <row r="36" spans="3:34">
      <c r="N36" s="232"/>
      <c r="AA36" s="160"/>
      <c r="AB36" s="160"/>
      <c r="AC36" s="160"/>
      <c r="AD36" s="160"/>
      <c r="AE36" s="160"/>
      <c r="AF36" s="160"/>
      <c r="AG36" s="160"/>
      <c r="AH36" s="160"/>
    </row>
    <row r="37" spans="3:34">
      <c r="AA37" s="160"/>
      <c r="AB37" s="160"/>
      <c r="AC37" s="160"/>
      <c r="AD37" s="160"/>
      <c r="AE37" s="160"/>
      <c r="AF37" s="160"/>
      <c r="AG37" s="160"/>
      <c r="AH37" s="160"/>
    </row>
    <row r="38" spans="3:34">
      <c r="N38" s="232"/>
      <c r="AA38" s="160"/>
      <c r="AB38" s="160"/>
      <c r="AC38" s="160"/>
      <c r="AD38" s="160"/>
      <c r="AE38" s="160"/>
      <c r="AF38" s="160"/>
      <c r="AG38" s="160"/>
      <c r="AH38" s="160"/>
    </row>
    <row r="39" spans="3:34">
      <c r="AA39" s="160"/>
      <c r="AB39" s="160"/>
      <c r="AC39" s="160"/>
      <c r="AD39" s="160"/>
      <c r="AE39" s="160"/>
      <c r="AF39" s="160"/>
      <c r="AG39" s="160"/>
      <c r="AH39" s="160"/>
    </row>
    <row r="43" spans="3:34">
      <c r="E43" s="161"/>
    </row>
    <row r="48" spans="3:34">
      <c r="E48" s="52"/>
    </row>
  </sheetData>
  <mergeCells count="6">
    <mergeCell ref="B27:F27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5"/>
  <sheetViews>
    <sheetView showGridLines="0" zoomScale="64" zoomScaleNormal="64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425781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5703125" style="7" bestFit="1" customWidth="1"/>
    <col min="13" max="13" width="9.2851562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.7109375" style="7" bestFit="1" customWidth="1"/>
    <col min="33" max="33" width="10.42578125" style="7" bestFit="1" customWidth="1"/>
    <col min="34" max="34" width="12.140625" style="7" bestFit="1" customWidth="1"/>
    <col min="35" max="35" width="30.855468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153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154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155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108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209"/>
      <c r="AB7" s="209"/>
      <c r="AC7" s="209"/>
      <c r="AD7" s="209"/>
      <c r="AE7" s="209"/>
      <c r="AF7" s="209"/>
      <c r="AG7" s="209"/>
      <c r="AH7" s="214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164</v>
      </c>
      <c r="D8" s="148" t="s">
        <v>165</v>
      </c>
      <c r="E8" s="109">
        <v>15</v>
      </c>
      <c r="F8" s="142">
        <v>485</v>
      </c>
      <c r="G8" s="117">
        <f t="shared" ref="G8:G10" si="0">E8*F8</f>
        <v>7275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7275</v>
      </c>
      <c r="O8" s="134"/>
      <c r="P8" s="112">
        <f t="shared" ref="P8:P10" si="2">IF(F8=47.16,0,IF(F8&gt;47.16,K8*0.5,0))</f>
        <v>0</v>
      </c>
      <c r="Q8" s="112">
        <f t="shared" ref="Q8:Q10" si="3">G8+H8+I8+L8+P8+J8</f>
        <v>7275</v>
      </c>
      <c r="R8" s="112">
        <f t="shared" ref="R8:R10" si="4">VLOOKUP(Q8,Tarifa1,1)</f>
        <v>5149.18</v>
      </c>
      <c r="S8" s="112">
        <f t="shared" ref="S8:S10" si="5">Q8-R8</f>
        <v>2125.8199999999997</v>
      </c>
      <c r="T8" s="113">
        <f t="shared" ref="T8:T10" si="6">VLOOKUP(Q8,Tarifa1,3)</f>
        <v>0.21360000000000001</v>
      </c>
      <c r="U8" s="112">
        <f t="shared" ref="U8:U10" si="7">S8*T8</f>
        <v>454.07515199999995</v>
      </c>
      <c r="V8" s="112">
        <f t="shared" ref="V8:V10" si="8">VLOOKUP(Q8,Tarifa1,2)</f>
        <v>545.30499999999995</v>
      </c>
      <c r="W8" s="112">
        <f t="shared" ref="W8:W10" si="9">U8+V8</f>
        <v>999.38015199999995</v>
      </c>
      <c r="X8" s="112">
        <f t="shared" ref="X8:X10" si="10">VLOOKUP(Q8,Credito1,2)</f>
        <v>0</v>
      </c>
      <c r="Y8" s="112">
        <f t="shared" ref="Y8:Y10" si="11">W8-X8</f>
        <v>999.38015199999995</v>
      </c>
      <c r="Z8" s="131"/>
      <c r="AA8" s="215">
        <f t="shared" ref="AA8:AA10" si="12">-IF(Y8&gt;0,0,Y8)</f>
        <v>0</v>
      </c>
      <c r="AB8" s="215">
        <f t="shared" ref="AB8:AB10" si="13">IF(Y8&lt;0,0,Y8)</f>
        <v>999.38015199999995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:AG10" si="14">SUM(AB8:AF8)</f>
        <v>999.38015199999995</v>
      </c>
      <c r="AH8" s="215">
        <f t="shared" ref="AH8:AH10" si="15">N8+AA8-AG8</f>
        <v>6275.6198480000003</v>
      </c>
      <c r="AI8" s="111"/>
      <c r="AJ8" s="52"/>
      <c r="AK8" s="111">
        <v>1367</v>
      </c>
      <c r="AL8" s="111">
        <f>AB8-AK8</f>
        <v>-367.61984800000005</v>
      </c>
    </row>
    <row r="9" spans="1:38" s="140" customFormat="1" ht="30" customHeight="1">
      <c r="A9" s="7"/>
      <c r="B9" s="108">
        <v>2</v>
      </c>
      <c r="C9" s="147" t="s">
        <v>322</v>
      </c>
      <c r="D9" s="148" t="s">
        <v>166</v>
      </c>
      <c r="E9" s="109">
        <v>15</v>
      </c>
      <c r="F9" s="142">
        <v>318</v>
      </c>
      <c r="G9" s="117">
        <f t="shared" si="0"/>
        <v>4770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4770</v>
      </c>
      <c r="O9" s="134"/>
      <c r="P9" s="112">
        <f t="shared" si="2"/>
        <v>0</v>
      </c>
      <c r="Q9" s="112">
        <f t="shared" si="3"/>
        <v>4770</v>
      </c>
      <c r="R9" s="112">
        <f t="shared" si="4"/>
        <v>4300.7550000000001</v>
      </c>
      <c r="S9" s="112">
        <f t="shared" si="5"/>
        <v>469.24499999999989</v>
      </c>
      <c r="T9" s="113">
        <f t="shared" si="6"/>
        <v>0.1792</v>
      </c>
      <c r="U9" s="112">
        <f t="shared" si="7"/>
        <v>84.088703999999979</v>
      </c>
      <c r="V9" s="112">
        <f t="shared" si="8"/>
        <v>393.27</v>
      </c>
      <c r="W9" s="112">
        <f t="shared" si="9"/>
        <v>477.35870399999999</v>
      </c>
      <c r="X9" s="112">
        <f t="shared" si="10"/>
        <v>0</v>
      </c>
      <c r="Y9" s="112">
        <f t="shared" si="11"/>
        <v>477.35870399999999</v>
      </c>
      <c r="Z9" s="131"/>
      <c r="AA9" s="215">
        <f t="shared" si="12"/>
        <v>0</v>
      </c>
      <c r="AB9" s="215">
        <f t="shared" si="13"/>
        <v>477.35870399999999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si="14"/>
        <v>477.35870399999999</v>
      </c>
      <c r="AH9" s="215">
        <f t="shared" si="15"/>
        <v>4292.6412959999998</v>
      </c>
      <c r="AI9" s="111"/>
      <c r="AJ9" s="52"/>
      <c r="AK9" s="111">
        <v>662</v>
      </c>
      <c r="AL9" s="111">
        <f>AB9-AK9</f>
        <v>-184.64129600000001</v>
      </c>
    </row>
    <row r="10" spans="1:38" s="140" customFormat="1" ht="30" customHeight="1">
      <c r="A10" s="7"/>
      <c r="B10" s="108">
        <v>3</v>
      </c>
      <c r="C10" s="147" t="s">
        <v>167</v>
      </c>
      <c r="D10" s="148" t="s">
        <v>356</v>
      </c>
      <c r="E10" s="109">
        <v>15</v>
      </c>
      <c r="F10" s="142">
        <v>167</v>
      </c>
      <c r="G10" s="117">
        <f t="shared" si="0"/>
        <v>2505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2505</v>
      </c>
      <c r="O10" s="134"/>
      <c r="P10" s="112">
        <f t="shared" si="2"/>
        <v>0</v>
      </c>
      <c r="Q10" s="112">
        <f t="shared" si="3"/>
        <v>2505</v>
      </c>
      <c r="R10" s="112">
        <f t="shared" si="4"/>
        <v>2105.21</v>
      </c>
      <c r="S10" s="112">
        <f t="shared" si="5"/>
        <v>399.78999999999996</v>
      </c>
      <c r="T10" s="113">
        <f t="shared" si="6"/>
        <v>0.10879999999999999</v>
      </c>
      <c r="U10" s="112">
        <f t="shared" si="7"/>
        <v>43.497151999999993</v>
      </c>
      <c r="V10" s="112">
        <f t="shared" si="8"/>
        <v>123.62</v>
      </c>
      <c r="W10" s="112">
        <f t="shared" si="9"/>
        <v>167.117152</v>
      </c>
      <c r="X10" s="112">
        <f t="shared" si="10"/>
        <v>162.435</v>
      </c>
      <c r="Y10" s="112">
        <f t="shared" si="11"/>
        <v>4.6821520000000021</v>
      </c>
      <c r="Z10" s="131"/>
      <c r="AA10" s="215">
        <f t="shared" si="12"/>
        <v>0</v>
      </c>
      <c r="AB10" s="215">
        <f t="shared" si="13"/>
        <v>4.6821520000000021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14"/>
        <v>4.6821520000000021</v>
      </c>
      <c r="AH10" s="215">
        <f t="shared" si="15"/>
        <v>2500.3178480000001</v>
      </c>
      <c r="AI10" s="111"/>
      <c r="AJ10" s="52"/>
      <c r="AK10" s="111">
        <v>330</v>
      </c>
      <c r="AL10" s="111">
        <f>AB10-AK10</f>
        <v>-325.31784800000003</v>
      </c>
    </row>
    <row r="11" spans="1:38" s="140" customFormat="1" ht="30" customHeight="1">
      <c r="A11" s="7"/>
      <c r="B11" s="108">
        <v>4</v>
      </c>
      <c r="C11" s="147" t="s">
        <v>433</v>
      </c>
      <c r="D11" s="148" t="s">
        <v>434</v>
      </c>
      <c r="E11" s="109">
        <v>15</v>
      </c>
      <c r="F11" s="142">
        <v>167</v>
      </c>
      <c r="G11" s="117">
        <f t="shared" ref="G11" si="16">E11*F11</f>
        <v>2505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ref="N11" si="17">SUM(G11:M11)</f>
        <v>2505</v>
      </c>
      <c r="O11" s="134"/>
      <c r="P11" s="112">
        <f t="shared" ref="P11" si="18">IF(F11=47.16,0,IF(F11&gt;47.16,K11*0.5,0))</f>
        <v>0</v>
      </c>
      <c r="Q11" s="112">
        <f t="shared" ref="Q11" si="19">G11+H11+I11+L11+P11+J11</f>
        <v>2505</v>
      </c>
      <c r="R11" s="112">
        <f t="shared" ref="R11" si="20">VLOOKUP(Q11,Tarifa1,1)</f>
        <v>2105.21</v>
      </c>
      <c r="S11" s="112">
        <f t="shared" ref="S11" si="21">Q11-R11</f>
        <v>399.78999999999996</v>
      </c>
      <c r="T11" s="113">
        <f t="shared" ref="T11" si="22">VLOOKUP(Q11,Tarifa1,3)</f>
        <v>0.10879999999999999</v>
      </c>
      <c r="U11" s="112">
        <f t="shared" ref="U11" si="23">S11*T11</f>
        <v>43.497151999999993</v>
      </c>
      <c r="V11" s="112">
        <f t="shared" ref="V11" si="24">VLOOKUP(Q11,Tarifa1,2)</f>
        <v>123.62</v>
      </c>
      <c r="W11" s="112">
        <f t="shared" ref="W11" si="25">U11+V11</f>
        <v>167.117152</v>
      </c>
      <c r="X11" s="112">
        <f t="shared" ref="X11" si="26">VLOOKUP(Q11,Credito1,2)</f>
        <v>162.435</v>
      </c>
      <c r="Y11" s="112">
        <f t="shared" ref="Y11" si="27">W11-X11</f>
        <v>4.6821520000000021</v>
      </c>
      <c r="Z11" s="131"/>
      <c r="AA11" s="215">
        <f t="shared" ref="AA11" si="28">-IF(Y11&gt;0,0,Y11)</f>
        <v>0</v>
      </c>
      <c r="AB11" s="215">
        <f t="shared" ref="AB11" si="29">IF(Y11&lt;0,0,Y11)</f>
        <v>4.6821520000000021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ref="AG11" si="30">SUM(AB11:AF11)</f>
        <v>4.6821520000000021</v>
      </c>
      <c r="AH11" s="215">
        <f t="shared" ref="AH11" si="31">N11+AA11-AG11</f>
        <v>2500.3178480000001</v>
      </c>
      <c r="AI11" s="111"/>
      <c r="AJ11" s="52"/>
      <c r="AK11" s="111"/>
      <c r="AL11" s="111"/>
    </row>
    <row r="12" spans="1:38" s="140" customFormat="1" ht="30" customHeight="1">
      <c r="A12" s="7"/>
      <c r="B12" s="108">
        <v>5</v>
      </c>
      <c r="C12" s="147"/>
      <c r="D12" s="148"/>
      <c r="E12" s="109"/>
      <c r="F12" s="142"/>
      <c r="G12" s="117"/>
      <c r="H12" s="110"/>
      <c r="I12" s="110"/>
      <c r="J12" s="110"/>
      <c r="K12" s="110"/>
      <c r="L12" s="110"/>
      <c r="M12" s="110"/>
      <c r="N12" s="111"/>
      <c r="O12" s="134"/>
      <c r="P12" s="112"/>
      <c r="Q12" s="112"/>
      <c r="R12" s="112"/>
      <c r="S12" s="112"/>
      <c r="T12" s="113"/>
      <c r="U12" s="112"/>
      <c r="V12" s="112"/>
      <c r="W12" s="112"/>
      <c r="X12" s="112"/>
      <c r="Y12" s="112"/>
      <c r="Z12" s="131"/>
      <c r="AA12" s="215"/>
      <c r="AB12" s="215"/>
      <c r="AC12" s="215"/>
      <c r="AD12" s="220"/>
      <c r="AE12" s="220"/>
      <c r="AF12" s="220"/>
      <c r="AG12" s="215"/>
      <c r="AH12" s="215"/>
      <c r="AI12" s="111"/>
      <c r="AJ12" s="52"/>
      <c r="AK12" s="111"/>
      <c r="AL12" s="111"/>
    </row>
    <row r="13" spans="1:38" s="140" customFormat="1" ht="30" customHeight="1">
      <c r="A13" s="7"/>
      <c r="B13" s="108">
        <v>6</v>
      </c>
      <c r="C13" s="147"/>
      <c r="D13" s="148"/>
      <c r="E13" s="109"/>
      <c r="F13" s="142"/>
      <c r="G13" s="117"/>
      <c r="H13" s="110"/>
      <c r="I13" s="110"/>
      <c r="J13" s="110"/>
      <c r="K13" s="110"/>
      <c r="L13" s="110"/>
      <c r="M13" s="110"/>
      <c r="N13" s="111"/>
      <c r="O13" s="134"/>
      <c r="P13" s="112"/>
      <c r="Q13" s="112"/>
      <c r="R13" s="112"/>
      <c r="S13" s="112"/>
      <c r="T13" s="113"/>
      <c r="U13" s="112"/>
      <c r="V13" s="112"/>
      <c r="W13" s="112"/>
      <c r="X13" s="112"/>
      <c r="Y13" s="112"/>
      <c r="Z13" s="131"/>
      <c r="AA13" s="215"/>
      <c r="AB13" s="215"/>
      <c r="AC13" s="215"/>
      <c r="AD13" s="220"/>
      <c r="AE13" s="220"/>
      <c r="AF13" s="220"/>
      <c r="AG13" s="215"/>
      <c r="AH13" s="215"/>
      <c r="AI13" s="111"/>
      <c r="AJ13" s="52"/>
      <c r="AK13" s="111"/>
      <c r="AL13" s="111"/>
    </row>
    <row r="14" spans="1:38" s="140" customFormat="1" ht="30" customHeight="1">
      <c r="A14" s="7"/>
      <c r="B14" s="108">
        <v>7</v>
      </c>
      <c r="C14" s="147"/>
      <c r="D14" s="148"/>
      <c r="E14" s="109"/>
      <c r="F14" s="142"/>
      <c r="G14" s="117"/>
      <c r="H14" s="110"/>
      <c r="I14" s="110"/>
      <c r="J14" s="110"/>
      <c r="K14" s="110"/>
      <c r="L14" s="110"/>
      <c r="M14" s="110"/>
      <c r="N14" s="111"/>
      <c r="O14" s="134"/>
      <c r="P14" s="112"/>
      <c r="Q14" s="112"/>
      <c r="R14" s="112"/>
      <c r="S14" s="112"/>
      <c r="T14" s="113"/>
      <c r="U14" s="112"/>
      <c r="V14" s="112"/>
      <c r="W14" s="112"/>
      <c r="X14" s="112"/>
      <c r="Y14" s="112"/>
      <c r="Z14" s="131"/>
      <c r="AA14" s="215"/>
      <c r="AB14" s="215"/>
      <c r="AC14" s="215"/>
      <c r="AD14" s="220"/>
      <c r="AE14" s="220"/>
      <c r="AF14" s="220"/>
      <c r="AG14" s="215"/>
      <c r="AH14" s="215"/>
      <c r="AI14" s="111"/>
      <c r="AJ14" s="52"/>
      <c r="AK14" s="111"/>
      <c r="AL14" s="111"/>
    </row>
    <row r="15" spans="1:38" s="140" customFormat="1">
      <c r="A15" s="7"/>
      <c r="B15" s="100"/>
      <c r="C15" s="115"/>
      <c r="D15" s="115"/>
      <c r="E15" s="100"/>
      <c r="F15" s="101"/>
      <c r="G15" s="118"/>
      <c r="H15" s="102"/>
      <c r="I15" s="102"/>
      <c r="J15" s="102"/>
      <c r="K15" s="102"/>
      <c r="L15" s="102"/>
      <c r="M15" s="102"/>
      <c r="N15" s="102"/>
      <c r="O15" s="94"/>
      <c r="P15" s="103"/>
      <c r="Q15" s="104"/>
      <c r="R15" s="104"/>
      <c r="S15" s="104"/>
      <c r="T15" s="136"/>
      <c r="U15" s="104"/>
      <c r="V15" s="104"/>
      <c r="W15" s="104"/>
      <c r="X15" s="104"/>
      <c r="Y15" s="104"/>
      <c r="Z15" s="132"/>
      <c r="AA15" s="221"/>
      <c r="AB15" s="221"/>
      <c r="AC15" s="221"/>
      <c r="AD15" s="221"/>
      <c r="AE15" s="221"/>
      <c r="AF15" s="221"/>
      <c r="AG15" s="221"/>
      <c r="AH15" s="226"/>
      <c r="AI15" s="105"/>
      <c r="AJ15" s="7"/>
      <c r="AK15" s="105"/>
      <c r="AL15" s="105"/>
    </row>
    <row r="16" spans="1:38" s="140" customFormat="1">
      <c r="A16" s="7"/>
      <c r="B16" s="93"/>
      <c r="C16" s="93"/>
      <c r="D16" s="93"/>
      <c r="E16" s="92"/>
      <c r="F16" s="93"/>
      <c r="G16" s="95"/>
      <c r="H16" s="95"/>
      <c r="I16" s="95"/>
      <c r="J16" s="95"/>
      <c r="K16" s="95"/>
      <c r="L16" s="95"/>
      <c r="M16" s="95"/>
      <c r="N16" s="95"/>
      <c r="O16" s="96"/>
      <c r="P16" s="97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230"/>
      <c r="AB16" s="230"/>
      <c r="AC16" s="230"/>
      <c r="AD16" s="230"/>
      <c r="AE16" s="230"/>
      <c r="AF16" s="230"/>
      <c r="AG16" s="230"/>
      <c r="AH16" s="230"/>
      <c r="AI16" s="98"/>
      <c r="AJ16" s="7"/>
      <c r="AK16" s="98"/>
      <c r="AL16" s="98"/>
    </row>
    <row r="17" spans="1:38" s="140" customFormat="1" ht="15.75" thickBot="1">
      <c r="A17" s="7"/>
      <c r="B17" s="634" t="s">
        <v>71</v>
      </c>
      <c r="C17" s="635"/>
      <c r="D17" s="635"/>
      <c r="E17" s="635"/>
      <c r="F17" s="636"/>
      <c r="G17" s="114">
        <f t="shared" ref="G17:N17" si="32">SUM(G8:G16)</f>
        <v>17055</v>
      </c>
      <c r="H17" s="114">
        <f t="shared" si="32"/>
        <v>0</v>
      </c>
      <c r="I17" s="114">
        <f t="shared" si="32"/>
        <v>0</v>
      </c>
      <c r="J17" s="114">
        <f t="shared" si="32"/>
        <v>0</v>
      </c>
      <c r="K17" s="114">
        <f t="shared" si="32"/>
        <v>0</v>
      </c>
      <c r="L17" s="114">
        <f t="shared" si="32"/>
        <v>0</v>
      </c>
      <c r="M17" s="114">
        <f t="shared" si="32"/>
        <v>0</v>
      </c>
      <c r="N17" s="114">
        <f t="shared" si="32"/>
        <v>17055</v>
      </c>
      <c r="O17" s="133"/>
      <c r="P17" s="135">
        <f t="shared" ref="P17:Y17" si="33">SUM(P8:P16)</f>
        <v>0</v>
      </c>
      <c r="Q17" s="135">
        <f t="shared" si="33"/>
        <v>17055</v>
      </c>
      <c r="R17" s="135">
        <f t="shared" si="33"/>
        <v>13660.355</v>
      </c>
      <c r="S17" s="135">
        <f t="shared" si="33"/>
        <v>3394.6449999999995</v>
      </c>
      <c r="T17" s="135">
        <f t="shared" si="33"/>
        <v>0.61040000000000005</v>
      </c>
      <c r="U17" s="135">
        <f t="shared" si="33"/>
        <v>625.15815999999995</v>
      </c>
      <c r="V17" s="135">
        <f t="shared" si="33"/>
        <v>1185.8150000000001</v>
      </c>
      <c r="W17" s="135">
        <f t="shared" si="33"/>
        <v>1810.97316</v>
      </c>
      <c r="X17" s="135">
        <f t="shared" si="33"/>
        <v>324.87</v>
      </c>
      <c r="Y17" s="135">
        <f t="shared" si="33"/>
        <v>1486.1031600000001</v>
      </c>
      <c r="Z17" s="133"/>
      <c r="AA17" s="188">
        <f t="shared" ref="AA17:AH17" si="34">SUM(AA8:AA16)</f>
        <v>0</v>
      </c>
      <c r="AB17" s="188">
        <f t="shared" si="34"/>
        <v>1486.1031600000001</v>
      </c>
      <c r="AC17" s="188">
        <f t="shared" si="34"/>
        <v>0</v>
      </c>
      <c r="AD17" s="188">
        <f t="shared" si="34"/>
        <v>0</v>
      </c>
      <c r="AE17" s="188">
        <f t="shared" si="34"/>
        <v>0</v>
      </c>
      <c r="AF17" s="188">
        <f t="shared" si="34"/>
        <v>0</v>
      </c>
      <c r="AG17" s="188">
        <f t="shared" si="34"/>
        <v>1486.1031600000001</v>
      </c>
      <c r="AH17" s="188">
        <f t="shared" si="34"/>
        <v>15568.896840000001</v>
      </c>
      <c r="AI17" s="114"/>
      <c r="AJ17" s="7"/>
      <c r="AK17" s="114">
        <f t="shared" ref="AK17:AL17" si="35">SUM(AK8:AK16)</f>
        <v>2359</v>
      </c>
      <c r="AL17" s="114">
        <f t="shared" si="35"/>
        <v>-877.57899200000008</v>
      </c>
    </row>
    <row r="18" spans="1:38" s="140" customFormat="1" ht="13.5" thickTop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59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21" spans="1:38">
      <c r="C21" s="52"/>
      <c r="D21" s="52"/>
    </row>
    <row r="22" spans="1:38">
      <c r="C22" s="52"/>
      <c r="D22" s="52"/>
    </row>
    <row r="23" spans="1:38">
      <c r="C23" s="52"/>
      <c r="D23" s="52"/>
    </row>
    <row r="25" spans="1:38">
      <c r="C25" s="144"/>
      <c r="D25" s="144"/>
    </row>
  </sheetData>
  <mergeCells count="6">
    <mergeCell ref="B17:F17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AN60"/>
  <sheetViews>
    <sheetView showGridLines="0" view="pageLayout" topLeftCell="A18" zoomScaleNormal="51" workbookViewId="0">
      <selection activeCell="C27" sqref="C27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6.85546875" style="7" bestFit="1" customWidth="1"/>
    <col min="4" max="4" width="31.5703125" style="7" customWidth="1"/>
    <col min="5" max="5" width="6.5703125" style="7" customWidth="1"/>
    <col min="6" max="6" width="10" style="7" customWidth="1"/>
    <col min="7" max="7" width="14.425781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3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2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0.42578125" style="159" customWidth="1"/>
    <col min="33" max="33" width="12.140625" style="159" customWidth="1"/>
    <col min="34" max="34" width="13.5703125" style="159" bestFit="1" customWidth="1"/>
    <col min="35" max="35" width="4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153" t="s">
        <v>91</v>
      </c>
      <c r="AB4" s="645" t="s">
        <v>3</v>
      </c>
      <c r="AC4" s="646"/>
      <c r="AD4" s="646"/>
      <c r="AE4" s="646"/>
      <c r="AF4" s="646"/>
      <c r="AG4" s="647"/>
      <c r="AH4" s="153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154" t="s">
        <v>57</v>
      </c>
      <c r="AB5" s="153" t="s">
        <v>4</v>
      </c>
      <c r="AC5" s="153" t="s">
        <v>5</v>
      </c>
      <c r="AD5" s="153" t="s">
        <v>56</v>
      </c>
      <c r="AE5" s="153" t="s">
        <v>77</v>
      </c>
      <c r="AF5" s="153"/>
      <c r="AG5" s="153" t="s">
        <v>10</v>
      </c>
      <c r="AH5" s="154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155" t="s">
        <v>90</v>
      </c>
      <c r="AB6" s="155"/>
      <c r="AC6" s="155"/>
      <c r="AD6" s="155" t="s">
        <v>75</v>
      </c>
      <c r="AE6" s="155" t="s">
        <v>78</v>
      </c>
      <c r="AF6" s="155" t="s">
        <v>101</v>
      </c>
      <c r="AG6" s="155" t="s">
        <v>70</v>
      </c>
      <c r="AH6" s="155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111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274</v>
      </c>
      <c r="D8" s="148" t="s">
        <v>226</v>
      </c>
      <c r="E8" s="109">
        <v>15</v>
      </c>
      <c r="F8" s="142">
        <v>260</v>
      </c>
      <c r="G8" s="117">
        <f t="shared" ref="G8" si="0">E8*F8</f>
        <v>3900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15">
        <f t="shared" ref="N8" si="1">SUM(G8:M8)</f>
        <v>3900</v>
      </c>
      <c r="O8" s="216"/>
      <c r="P8" s="217">
        <f t="shared" ref="P8" si="2">IF(F8=47.16,0,IF(F8&gt;47.16,K8*0.5,0))</f>
        <v>0</v>
      </c>
      <c r="Q8" s="217">
        <f t="shared" ref="Q8" si="3">G8+H8+I8+L8+P8+J8</f>
        <v>3900</v>
      </c>
      <c r="R8" s="217">
        <f t="shared" ref="R8" si="4">VLOOKUP(Q8,Tarifa1,1)</f>
        <v>3699.7150000000001</v>
      </c>
      <c r="S8" s="217">
        <f t="shared" ref="S8" si="5">Q8-R8</f>
        <v>200.28499999999985</v>
      </c>
      <c r="T8" s="218">
        <f t="shared" ref="T8" si="6">VLOOKUP(Q8,Tarifa1,3)</f>
        <v>0.16</v>
      </c>
      <c r="U8" s="217">
        <f t="shared" ref="U8" si="7">S8*T8</f>
        <v>32.045599999999979</v>
      </c>
      <c r="V8" s="217">
        <f t="shared" ref="V8" si="8">VLOOKUP(Q8,Tarifa1,2)</f>
        <v>297.10500000000002</v>
      </c>
      <c r="W8" s="217">
        <f t="shared" ref="W8" si="9">U8+V8</f>
        <v>329.1506</v>
      </c>
      <c r="X8" s="217">
        <f t="shared" ref="X8" si="10">VLOOKUP(Q8,Credito1,2)</f>
        <v>0</v>
      </c>
      <c r="Y8" s="217">
        <f t="shared" ref="Y8" si="11">W8-X8</f>
        <v>329.1506</v>
      </c>
      <c r="Z8" s="219"/>
      <c r="AA8" s="233">
        <f t="shared" ref="AA8" si="12">-IF(Y8&gt;0,0,Y8)</f>
        <v>0</v>
      </c>
      <c r="AB8" s="215">
        <f t="shared" ref="AB8" si="13">IF(Y8&lt;0,0,Y8)</f>
        <v>329.1506</v>
      </c>
      <c r="AC8" s="215">
        <v>0</v>
      </c>
      <c r="AD8" s="220">
        <v>0</v>
      </c>
      <c r="AE8" s="220">
        <v>0</v>
      </c>
      <c r="AF8" s="220">
        <v>0</v>
      </c>
      <c r="AG8" s="215">
        <f t="shared" ref="AG8" si="14">SUM(AB8:AF8)</f>
        <v>329.1506</v>
      </c>
      <c r="AH8" s="215">
        <f t="shared" ref="AH8" si="15">N8+AA8-AG8</f>
        <v>3570.8494000000001</v>
      </c>
      <c r="AI8" s="111"/>
      <c r="AJ8" s="52"/>
      <c r="AK8" s="111">
        <v>503</v>
      </c>
      <c r="AL8" s="111">
        <f>AB8-AK8</f>
        <v>-173.8494</v>
      </c>
    </row>
    <row r="9" spans="1:38" s="140" customFormat="1" ht="34.5" customHeight="1">
      <c r="A9" s="7"/>
      <c r="B9" s="108">
        <v>2</v>
      </c>
      <c r="C9" s="147" t="s">
        <v>227</v>
      </c>
      <c r="D9" s="148" t="s">
        <v>239</v>
      </c>
      <c r="E9" s="109">
        <v>15</v>
      </c>
      <c r="F9" s="142">
        <v>167</v>
      </c>
      <c r="G9" s="117">
        <f t="shared" ref="G9:G35" si="16">E9*F9</f>
        <v>2505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215">
        <f t="shared" ref="N9:N34" si="17">SUM(G9:M9)</f>
        <v>2505</v>
      </c>
      <c r="O9" s="216"/>
      <c r="P9" s="217">
        <f t="shared" ref="P9:P34" si="18">IF(F9=47.16,0,IF(F9&gt;47.16,K9*0.5,0))</f>
        <v>0</v>
      </c>
      <c r="Q9" s="217">
        <f t="shared" ref="Q9:Q34" si="19">G9+H9+I9+L9+P9+J9</f>
        <v>2505</v>
      </c>
      <c r="R9" s="217">
        <f t="shared" ref="R9:R34" si="20">VLOOKUP(Q9,Tarifa1,1)</f>
        <v>2105.21</v>
      </c>
      <c r="S9" s="217">
        <f t="shared" ref="S9:S34" si="21">Q9-R9</f>
        <v>399.78999999999996</v>
      </c>
      <c r="T9" s="218">
        <f t="shared" ref="T9:T34" si="22">VLOOKUP(Q9,Tarifa1,3)</f>
        <v>0.10879999999999999</v>
      </c>
      <c r="U9" s="217">
        <f t="shared" ref="U9:U34" si="23">S9*T9</f>
        <v>43.497151999999993</v>
      </c>
      <c r="V9" s="217">
        <f t="shared" ref="V9:V34" si="24">VLOOKUP(Q9,Tarifa1,2)</f>
        <v>123.62</v>
      </c>
      <c r="W9" s="217">
        <f t="shared" ref="W9:W34" si="25">U9+V9</f>
        <v>167.117152</v>
      </c>
      <c r="X9" s="217">
        <f t="shared" ref="X9:X34" si="26">VLOOKUP(Q9,Credito1,2)</f>
        <v>162.435</v>
      </c>
      <c r="Y9" s="217">
        <f t="shared" ref="Y9:Y34" si="27">W9-X9</f>
        <v>4.6821520000000021</v>
      </c>
      <c r="Z9" s="219"/>
      <c r="AA9" s="233">
        <f t="shared" ref="AA9:AA34" si="28">-IF(Y9&gt;0,0,Y9)</f>
        <v>0</v>
      </c>
      <c r="AB9" s="215">
        <f t="shared" ref="AB9:AB34" si="29">IF(Y9&lt;0,0,Y9)</f>
        <v>4.6821520000000021</v>
      </c>
      <c r="AC9" s="215">
        <v>0</v>
      </c>
      <c r="AD9" s="220">
        <v>0</v>
      </c>
      <c r="AE9" s="220">
        <v>0</v>
      </c>
      <c r="AF9" s="220">
        <v>0</v>
      </c>
      <c r="AG9" s="215">
        <f t="shared" ref="AG9:AG34" si="30">SUM(AB9:AF9)</f>
        <v>4.6821520000000021</v>
      </c>
      <c r="AH9" s="215">
        <f t="shared" ref="AH9:AH34" si="31">N9+AA9-AG9</f>
        <v>2500.3178480000001</v>
      </c>
      <c r="AI9" s="111"/>
      <c r="AJ9" s="52"/>
      <c r="AK9" s="111">
        <v>4.1399999999999864</v>
      </c>
      <c r="AL9" s="111">
        <f>AB9-AK9</f>
        <v>0.54215200000001573</v>
      </c>
    </row>
    <row r="10" spans="1:38" s="140" customFormat="1" ht="30" customHeight="1">
      <c r="A10" s="7"/>
      <c r="B10" s="108">
        <v>3</v>
      </c>
      <c r="C10" s="147" t="s">
        <v>228</v>
      </c>
      <c r="D10" s="148" t="s">
        <v>229</v>
      </c>
      <c r="E10" s="109">
        <v>15</v>
      </c>
      <c r="F10" s="142">
        <v>130</v>
      </c>
      <c r="G10" s="117">
        <f t="shared" si="16"/>
        <v>1950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15">
        <f t="shared" si="17"/>
        <v>1950</v>
      </c>
      <c r="O10" s="216"/>
      <c r="P10" s="217">
        <f t="shared" si="18"/>
        <v>0</v>
      </c>
      <c r="Q10" s="217">
        <f t="shared" si="19"/>
        <v>1950</v>
      </c>
      <c r="R10" s="217">
        <f t="shared" si="20"/>
        <v>248.04</v>
      </c>
      <c r="S10" s="217">
        <f t="shared" si="21"/>
        <v>1701.96</v>
      </c>
      <c r="T10" s="218">
        <f t="shared" si="22"/>
        <v>6.4000000000000001E-2</v>
      </c>
      <c r="U10" s="217">
        <f t="shared" si="23"/>
        <v>108.92544000000001</v>
      </c>
      <c r="V10" s="217">
        <f t="shared" si="24"/>
        <v>4.76</v>
      </c>
      <c r="W10" s="217">
        <f t="shared" si="25"/>
        <v>113.68544000000001</v>
      </c>
      <c r="X10" s="217">
        <f t="shared" si="26"/>
        <v>191.23</v>
      </c>
      <c r="Y10" s="217">
        <f t="shared" si="27"/>
        <v>-77.544559999999976</v>
      </c>
      <c r="Z10" s="219"/>
      <c r="AA10" s="233">
        <f t="shared" si="28"/>
        <v>77.544559999999976</v>
      </c>
      <c r="AB10" s="215">
        <f t="shared" si="29"/>
        <v>0</v>
      </c>
      <c r="AC10" s="215">
        <v>0</v>
      </c>
      <c r="AD10" s="220">
        <v>0</v>
      </c>
      <c r="AE10" s="220">
        <v>0</v>
      </c>
      <c r="AF10" s="220">
        <v>0</v>
      </c>
      <c r="AG10" s="215">
        <f t="shared" si="30"/>
        <v>0</v>
      </c>
      <c r="AH10" s="215">
        <f t="shared" si="31"/>
        <v>2027.54456</v>
      </c>
      <c r="AI10" s="111"/>
      <c r="AJ10" s="52"/>
      <c r="AK10" s="111">
        <v>73</v>
      </c>
      <c r="AL10" s="111">
        <f>AB10-AK10</f>
        <v>-73</v>
      </c>
    </row>
    <row r="11" spans="1:38" s="140" customFormat="1" ht="30" customHeight="1">
      <c r="A11" s="7"/>
      <c r="B11" s="108">
        <v>4</v>
      </c>
      <c r="C11" s="147" t="s">
        <v>230</v>
      </c>
      <c r="D11" s="148" t="s">
        <v>231</v>
      </c>
      <c r="E11" s="109">
        <v>15</v>
      </c>
      <c r="F11" s="142">
        <v>131</v>
      </c>
      <c r="G11" s="117">
        <f t="shared" si="16"/>
        <v>1965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215">
        <f t="shared" si="17"/>
        <v>1965</v>
      </c>
      <c r="O11" s="216"/>
      <c r="P11" s="217">
        <f t="shared" si="18"/>
        <v>0</v>
      </c>
      <c r="Q11" s="217">
        <f t="shared" si="19"/>
        <v>1965</v>
      </c>
      <c r="R11" s="217">
        <f t="shared" si="20"/>
        <v>248.04</v>
      </c>
      <c r="S11" s="217">
        <f t="shared" si="21"/>
        <v>1716.96</v>
      </c>
      <c r="T11" s="218">
        <f t="shared" si="22"/>
        <v>6.4000000000000001E-2</v>
      </c>
      <c r="U11" s="217">
        <f t="shared" si="23"/>
        <v>109.88544</v>
      </c>
      <c r="V11" s="217">
        <f t="shared" si="24"/>
        <v>4.76</v>
      </c>
      <c r="W11" s="217">
        <f t="shared" si="25"/>
        <v>114.64544000000001</v>
      </c>
      <c r="X11" s="217">
        <f t="shared" si="26"/>
        <v>191.23</v>
      </c>
      <c r="Y11" s="217">
        <f t="shared" si="27"/>
        <v>-76.584559999999982</v>
      </c>
      <c r="Z11" s="219"/>
      <c r="AA11" s="233">
        <f t="shared" si="28"/>
        <v>76.584559999999982</v>
      </c>
      <c r="AB11" s="215">
        <f t="shared" si="29"/>
        <v>0</v>
      </c>
      <c r="AC11" s="215">
        <v>0</v>
      </c>
      <c r="AD11" s="220">
        <v>0</v>
      </c>
      <c r="AE11" s="220">
        <v>0</v>
      </c>
      <c r="AF11" s="220">
        <v>0</v>
      </c>
      <c r="AG11" s="215">
        <f t="shared" si="30"/>
        <v>0</v>
      </c>
      <c r="AH11" s="215">
        <f t="shared" si="31"/>
        <v>2041.58456</v>
      </c>
      <c r="AI11" s="111"/>
      <c r="AJ11" s="52"/>
      <c r="AK11" s="111">
        <v>73</v>
      </c>
      <c r="AL11" s="111">
        <f>AB11-AK11</f>
        <v>-73</v>
      </c>
    </row>
    <row r="12" spans="1:38" s="140" customFormat="1" ht="30" customHeight="1">
      <c r="A12" s="7"/>
      <c r="B12" s="108">
        <v>5</v>
      </c>
      <c r="C12" s="147" t="s">
        <v>232</v>
      </c>
      <c r="D12" s="148" t="s">
        <v>240</v>
      </c>
      <c r="E12" s="109">
        <v>15</v>
      </c>
      <c r="F12" s="142">
        <v>150</v>
      </c>
      <c r="G12" s="117">
        <f t="shared" si="16"/>
        <v>2250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215">
        <f t="shared" si="17"/>
        <v>2250</v>
      </c>
      <c r="O12" s="216"/>
      <c r="P12" s="217">
        <f t="shared" si="18"/>
        <v>0</v>
      </c>
      <c r="Q12" s="217">
        <f t="shared" si="19"/>
        <v>2250</v>
      </c>
      <c r="R12" s="217">
        <f t="shared" si="20"/>
        <v>2105.21</v>
      </c>
      <c r="S12" s="217">
        <f t="shared" si="21"/>
        <v>144.78999999999996</v>
      </c>
      <c r="T12" s="218">
        <f t="shared" si="22"/>
        <v>0.10879999999999999</v>
      </c>
      <c r="U12" s="217">
        <f t="shared" si="23"/>
        <v>15.753151999999995</v>
      </c>
      <c r="V12" s="217">
        <f t="shared" si="24"/>
        <v>123.62</v>
      </c>
      <c r="W12" s="217">
        <f t="shared" si="25"/>
        <v>139.373152</v>
      </c>
      <c r="X12" s="217">
        <f t="shared" si="26"/>
        <v>177.11500000000001</v>
      </c>
      <c r="Y12" s="217">
        <f t="shared" si="27"/>
        <v>-37.741848000000005</v>
      </c>
      <c r="Z12" s="219"/>
      <c r="AA12" s="233">
        <f t="shared" si="28"/>
        <v>37.741848000000005</v>
      </c>
      <c r="AB12" s="215">
        <f t="shared" si="29"/>
        <v>0</v>
      </c>
      <c r="AC12" s="215">
        <v>0</v>
      </c>
      <c r="AD12" s="220">
        <v>0</v>
      </c>
      <c r="AE12" s="220">
        <v>0</v>
      </c>
      <c r="AF12" s="220">
        <v>0</v>
      </c>
      <c r="AG12" s="215">
        <f t="shared" si="30"/>
        <v>0</v>
      </c>
      <c r="AH12" s="215">
        <f t="shared" si="31"/>
        <v>2287.7418480000001</v>
      </c>
      <c r="AI12" s="111"/>
      <c r="AJ12" s="52"/>
      <c r="AK12" s="111">
        <v>73</v>
      </c>
      <c r="AL12" s="111">
        <f t="shared" ref="AL12:AL13" si="32">AB12-AK12</f>
        <v>-73</v>
      </c>
    </row>
    <row r="13" spans="1:38" s="140" customFormat="1" ht="30" customHeight="1">
      <c r="A13" s="7"/>
      <c r="B13" s="108">
        <v>6</v>
      </c>
      <c r="C13" s="147" t="s">
        <v>241</v>
      </c>
      <c r="D13" s="148" t="s">
        <v>248</v>
      </c>
      <c r="E13" s="109">
        <v>15</v>
      </c>
      <c r="F13" s="142">
        <v>169.5</v>
      </c>
      <c r="G13" s="117">
        <f t="shared" si="16"/>
        <v>2542.5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215">
        <f t="shared" si="17"/>
        <v>2542.5</v>
      </c>
      <c r="O13" s="216"/>
      <c r="P13" s="217">
        <f t="shared" si="18"/>
        <v>0</v>
      </c>
      <c r="Q13" s="217">
        <f t="shared" si="19"/>
        <v>2542.5</v>
      </c>
      <c r="R13" s="217">
        <f t="shared" si="20"/>
        <v>2105.21</v>
      </c>
      <c r="S13" s="217">
        <f t="shared" si="21"/>
        <v>437.28999999999996</v>
      </c>
      <c r="T13" s="218">
        <f t="shared" si="22"/>
        <v>0.10879999999999999</v>
      </c>
      <c r="U13" s="217">
        <f t="shared" si="23"/>
        <v>47.577151999999991</v>
      </c>
      <c r="V13" s="217">
        <f t="shared" si="24"/>
        <v>123.62</v>
      </c>
      <c r="W13" s="217">
        <f t="shared" si="25"/>
        <v>171.19715199999999</v>
      </c>
      <c r="X13" s="217">
        <f t="shared" si="26"/>
        <v>162.435</v>
      </c>
      <c r="Y13" s="217">
        <f t="shared" si="27"/>
        <v>8.7621519999999862</v>
      </c>
      <c r="Z13" s="219"/>
      <c r="AA13" s="233">
        <f t="shared" si="28"/>
        <v>0</v>
      </c>
      <c r="AB13" s="215">
        <f t="shared" si="29"/>
        <v>8.7621519999999862</v>
      </c>
      <c r="AC13" s="215">
        <v>0</v>
      </c>
      <c r="AD13" s="220">
        <v>0</v>
      </c>
      <c r="AE13" s="220">
        <v>0</v>
      </c>
      <c r="AF13" s="220">
        <v>0</v>
      </c>
      <c r="AG13" s="215">
        <f t="shared" si="30"/>
        <v>8.7621519999999862</v>
      </c>
      <c r="AH13" s="215">
        <f t="shared" si="31"/>
        <v>2533.7378480000002</v>
      </c>
      <c r="AI13" s="111"/>
      <c r="AJ13" s="52"/>
      <c r="AK13" s="111">
        <v>4.1399999999999864</v>
      </c>
      <c r="AL13" s="111">
        <f t="shared" si="32"/>
        <v>4.6221519999999998</v>
      </c>
    </row>
    <row r="14" spans="1:38" s="140" customFormat="1" ht="30" customHeight="1">
      <c r="A14" s="7"/>
      <c r="B14" s="108">
        <v>7</v>
      </c>
      <c r="C14" s="147" t="s">
        <v>387</v>
      </c>
      <c r="D14" s="148" t="s">
        <v>388</v>
      </c>
      <c r="E14" s="109">
        <v>10</v>
      </c>
      <c r="F14" s="142">
        <v>167</v>
      </c>
      <c r="G14" s="117">
        <f t="shared" ref="G14:G18" si="33">E14*F14</f>
        <v>1670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215">
        <f t="shared" ref="N14:N18" si="34">SUM(G14:M14)</f>
        <v>1670</v>
      </c>
      <c r="O14" s="216"/>
      <c r="P14" s="217">
        <f t="shared" ref="P14:P18" si="35">IF(F14=47.16,0,IF(F14&gt;47.16,K14*0.5,0))</f>
        <v>0</v>
      </c>
      <c r="Q14" s="217">
        <f t="shared" ref="Q14:Q18" si="36">G14+H14+I14+L14+P14+J14</f>
        <v>1670</v>
      </c>
      <c r="R14" s="217">
        <f t="shared" ref="R14:R18" si="37">VLOOKUP(Q14,Tarifa1,1)</f>
        <v>248.04</v>
      </c>
      <c r="S14" s="217">
        <f t="shared" ref="S14:S18" si="38">Q14-R14</f>
        <v>1421.96</v>
      </c>
      <c r="T14" s="218">
        <f t="shared" ref="T14:T18" si="39">VLOOKUP(Q14,Tarifa1,3)</f>
        <v>6.4000000000000001E-2</v>
      </c>
      <c r="U14" s="217">
        <f t="shared" ref="U14:U18" si="40">S14*T14</f>
        <v>91.005440000000007</v>
      </c>
      <c r="V14" s="217">
        <f t="shared" ref="V14:V18" si="41">VLOOKUP(Q14,Tarifa1,2)</f>
        <v>4.76</v>
      </c>
      <c r="W14" s="217">
        <f t="shared" ref="W14:W18" si="42">U14+V14</f>
        <v>95.765440000000012</v>
      </c>
      <c r="X14" s="217">
        <f t="shared" ref="X14:X18" si="43">VLOOKUP(Q14,Credito1,2)</f>
        <v>203.31</v>
      </c>
      <c r="Y14" s="217">
        <f t="shared" ref="Y14:Y18" si="44">W14-X14</f>
        <v>-107.54455999999999</v>
      </c>
      <c r="Z14" s="219"/>
      <c r="AA14" s="233">
        <f t="shared" ref="AA14:AA18" si="45">-IF(Y14&gt;0,0,Y14)</f>
        <v>107.54455999999999</v>
      </c>
      <c r="AB14" s="215">
        <f t="shared" ref="AB14:AB18" si="46">IF(Y14&lt;0,0,Y14)</f>
        <v>0</v>
      </c>
      <c r="AC14" s="215">
        <v>0</v>
      </c>
      <c r="AD14" s="220">
        <v>0</v>
      </c>
      <c r="AE14" s="220">
        <v>0</v>
      </c>
      <c r="AF14" s="220">
        <v>0</v>
      </c>
      <c r="AG14" s="215">
        <f t="shared" ref="AG14:AG18" si="47">SUM(AB14:AF14)</f>
        <v>0</v>
      </c>
      <c r="AH14" s="215">
        <f t="shared" ref="AH14:AH18" si="48">N14+AA14-AG14</f>
        <v>1777.54456</v>
      </c>
      <c r="AI14" s="111"/>
      <c r="AJ14" s="52"/>
      <c r="AK14" s="111"/>
      <c r="AL14" s="111"/>
    </row>
    <row r="15" spans="1:38" s="140" customFormat="1" ht="30" customHeight="1">
      <c r="A15" s="7"/>
      <c r="B15" s="108">
        <v>8</v>
      </c>
      <c r="C15" s="147" t="s">
        <v>389</v>
      </c>
      <c r="D15" s="148" t="s">
        <v>248</v>
      </c>
      <c r="E15" s="109">
        <v>15</v>
      </c>
      <c r="F15" s="142">
        <v>169.5</v>
      </c>
      <c r="G15" s="117">
        <f t="shared" si="33"/>
        <v>2542.5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215">
        <f t="shared" si="34"/>
        <v>2542.5</v>
      </c>
      <c r="O15" s="216"/>
      <c r="P15" s="217">
        <f t="shared" si="35"/>
        <v>0</v>
      </c>
      <c r="Q15" s="217">
        <f t="shared" si="36"/>
        <v>2542.5</v>
      </c>
      <c r="R15" s="217">
        <f t="shared" si="37"/>
        <v>2105.21</v>
      </c>
      <c r="S15" s="217">
        <f t="shared" si="38"/>
        <v>437.28999999999996</v>
      </c>
      <c r="T15" s="218">
        <f t="shared" si="39"/>
        <v>0.10879999999999999</v>
      </c>
      <c r="U15" s="217">
        <f t="shared" si="40"/>
        <v>47.577151999999991</v>
      </c>
      <c r="V15" s="217">
        <f t="shared" si="41"/>
        <v>123.62</v>
      </c>
      <c r="W15" s="217">
        <f t="shared" si="42"/>
        <v>171.19715199999999</v>
      </c>
      <c r="X15" s="217">
        <f t="shared" si="43"/>
        <v>162.435</v>
      </c>
      <c r="Y15" s="217">
        <f t="shared" si="44"/>
        <v>8.7621519999999862</v>
      </c>
      <c r="Z15" s="219"/>
      <c r="AA15" s="233">
        <f t="shared" si="45"/>
        <v>0</v>
      </c>
      <c r="AB15" s="215">
        <f t="shared" si="46"/>
        <v>8.7621519999999862</v>
      </c>
      <c r="AC15" s="215">
        <v>0</v>
      </c>
      <c r="AD15" s="220">
        <v>0</v>
      </c>
      <c r="AE15" s="220">
        <v>0</v>
      </c>
      <c r="AF15" s="220">
        <v>0</v>
      </c>
      <c r="AG15" s="215">
        <f t="shared" si="47"/>
        <v>8.7621519999999862</v>
      </c>
      <c r="AH15" s="215">
        <f t="shared" si="48"/>
        <v>2533.7378480000002</v>
      </c>
      <c r="AI15" s="111"/>
      <c r="AJ15" s="52"/>
      <c r="AK15" s="111"/>
      <c r="AL15" s="111"/>
    </row>
    <row r="16" spans="1:38" s="140" customFormat="1" ht="30" customHeight="1">
      <c r="A16" s="7"/>
      <c r="B16" s="108">
        <v>9</v>
      </c>
      <c r="C16" s="147" t="s">
        <v>474</v>
      </c>
      <c r="D16" s="148" t="s">
        <v>248</v>
      </c>
      <c r="E16" s="109">
        <v>10</v>
      </c>
      <c r="F16" s="142">
        <v>169.5</v>
      </c>
      <c r="G16" s="117">
        <f t="shared" si="33"/>
        <v>1695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215">
        <f t="shared" si="34"/>
        <v>1695</v>
      </c>
      <c r="O16" s="216"/>
      <c r="P16" s="217">
        <f t="shared" si="35"/>
        <v>0</v>
      </c>
      <c r="Q16" s="217">
        <f t="shared" si="36"/>
        <v>1695</v>
      </c>
      <c r="R16" s="217">
        <f t="shared" si="37"/>
        <v>248.04</v>
      </c>
      <c r="S16" s="217">
        <f t="shared" si="38"/>
        <v>1446.96</v>
      </c>
      <c r="T16" s="218">
        <f t="shared" si="39"/>
        <v>6.4000000000000001E-2</v>
      </c>
      <c r="U16" s="217">
        <f t="shared" si="40"/>
        <v>92.605440000000002</v>
      </c>
      <c r="V16" s="217">
        <f t="shared" si="41"/>
        <v>4.76</v>
      </c>
      <c r="W16" s="217">
        <f t="shared" si="42"/>
        <v>97.365440000000007</v>
      </c>
      <c r="X16" s="217">
        <f t="shared" si="43"/>
        <v>203.31</v>
      </c>
      <c r="Y16" s="217">
        <f t="shared" si="44"/>
        <v>-105.94456</v>
      </c>
      <c r="Z16" s="219"/>
      <c r="AA16" s="233">
        <f t="shared" si="45"/>
        <v>105.94456</v>
      </c>
      <c r="AB16" s="215">
        <f t="shared" si="46"/>
        <v>0</v>
      </c>
      <c r="AC16" s="215">
        <v>0</v>
      </c>
      <c r="AD16" s="220">
        <v>0</v>
      </c>
      <c r="AE16" s="220">
        <v>0</v>
      </c>
      <c r="AF16" s="220">
        <v>0</v>
      </c>
      <c r="AG16" s="215">
        <f t="shared" si="47"/>
        <v>0</v>
      </c>
      <c r="AH16" s="215">
        <f t="shared" si="48"/>
        <v>1800.9445599999999</v>
      </c>
      <c r="AI16" s="111"/>
      <c r="AJ16" s="52"/>
      <c r="AK16" s="111"/>
      <c r="AL16" s="111"/>
    </row>
    <row r="17" spans="1:38" s="140" customFormat="1" ht="30" customHeight="1">
      <c r="A17" s="7"/>
      <c r="B17" s="108">
        <v>10</v>
      </c>
      <c r="C17" s="147" t="s">
        <v>390</v>
      </c>
      <c r="D17" s="148" t="s">
        <v>248</v>
      </c>
      <c r="E17" s="109">
        <v>10</v>
      </c>
      <c r="F17" s="142">
        <v>169.5</v>
      </c>
      <c r="G17" s="117">
        <f t="shared" si="33"/>
        <v>1695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215">
        <f t="shared" si="34"/>
        <v>1695</v>
      </c>
      <c r="O17" s="216"/>
      <c r="P17" s="217">
        <f t="shared" si="35"/>
        <v>0</v>
      </c>
      <c r="Q17" s="217">
        <f t="shared" si="36"/>
        <v>1695</v>
      </c>
      <c r="R17" s="217">
        <f t="shared" si="37"/>
        <v>248.04</v>
      </c>
      <c r="S17" s="217">
        <f t="shared" si="38"/>
        <v>1446.96</v>
      </c>
      <c r="T17" s="218">
        <f t="shared" si="39"/>
        <v>6.4000000000000001E-2</v>
      </c>
      <c r="U17" s="217">
        <f t="shared" si="40"/>
        <v>92.605440000000002</v>
      </c>
      <c r="V17" s="217">
        <f t="shared" si="41"/>
        <v>4.76</v>
      </c>
      <c r="W17" s="217">
        <f t="shared" si="42"/>
        <v>97.365440000000007</v>
      </c>
      <c r="X17" s="217">
        <f t="shared" si="43"/>
        <v>203.31</v>
      </c>
      <c r="Y17" s="217">
        <f t="shared" si="44"/>
        <v>-105.94456</v>
      </c>
      <c r="Z17" s="219"/>
      <c r="AA17" s="233">
        <f t="shared" si="45"/>
        <v>105.94456</v>
      </c>
      <c r="AB17" s="215">
        <f t="shared" si="46"/>
        <v>0</v>
      </c>
      <c r="AC17" s="215">
        <v>0</v>
      </c>
      <c r="AD17" s="220">
        <v>0</v>
      </c>
      <c r="AE17" s="220">
        <v>0</v>
      </c>
      <c r="AF17" s="220">
        <v>0</v>
      </c>
      <c r="AG17" s="215">
        <f t="shared" si="47"/>
        <v>0</v>
      </c>
      <c r="AH17" s="215">
        <f t="shared" si="48"/>
        <v>1800.9445599999999</v>
      </c>
      <c r="AI17" s="111"/>
      <c r="AJ17" s="52"/>
      <c r="AK17" s="111"/>
      <c r="AL17" s="111"/>
    </row>
    <row r="18" spans="1:38" s="140" customFormat="1" ht="30" customHeight="1">
      <c r="A18" s="7"/>
      <c r="B18" s="108">
        <v>11</v>
      </c>
      <c r="C18" s="147" t="s">
        <v>391</v>
      </c>
      <c r="D18" s="148" t="s">
        <v>248</v>
      </c>
      <c r="E18" s="109">
        <v>10</v>
      </c>
      <c r="F18" s="142">
        <v>169.5</v>
      </c>
      <c r="G18" s="117">
        <f t="shared" si="33"/>
        <v>1695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215">
        <f t="shared" si="34"/>
        <v>1695</v>
      </c>
      <c r="O18" s="216"/>
      <c r="P18" s="217">
        <f t="shared" si="35"/>
        <v>0</v>
      </c>
      <c r="Q18" s="217">
        <f t="shared" si="36"/>
        <v>1695</v>
      </c>
      <c r="R18" s="217">
        <f t="shared" si="37"/>
        <v>248.04</v>
      </c>
      <c r="S18" s="217">
        <f t="shared" si="38"/>
        <v>1446.96</v>
      </c>
      <c r="T18" s="218">
        <f t="shared" si="39"/>
        <v>6.4000000000000001E-2</v>
      </c>
      <c r="U18" s="217">
        <f t="shared" si="40"/>
        <v>92.605440000000002</v>
      </c>
      <c r="V18" s="217">
        <f t="shared" si="41"/>
        <v>4.76</v>
      </c>
      <c r="W18" s="217">
        <f t="shared" si="42"/>
        <v>97.365440000000007</v>
      </c>
      <c r="X18" s="217">
        <f t="shared" si="43"/>
        <v>203.31</v>
      </c>
      <c r="Y18" s="217">
        <f t="shared" si="44"/>
        <v>-105.94456</v>
      </c>
      <c r="Z18" s="219"/>
      <c r="AA18" s="233">
        <f t="shared" si="45"/>
        <v>105.94456</v>
      </c>
      <c r="AB18" s="215">
        <f t="shared" si="46"/>
        <v>0</v>
      </c>
      <c r="AC18" s="215">
        <v>0</v>
      </c>
      <c r="AD18" s="220">
        <v>0</v>
      </c>
      <c r="AE18" s="220">
        <v>0</v>
      </c>
      <c r="AF18" s="220">
        <v>0</v>
      </c>
      <c r="AG18" s="215">
        <f t="shared" si="47"/>
        <v>0</v>
      </c>
      <c r="AH18" s="215">
        <f t="shared" si="48"/>
        <v>1800.9445599999999</v>
      </c>
      <c r="AI18" s="111"/>
      <c r="AJ18" s="52"/>
      <c r="AK18" s="111"/>
      <c r="AL18" s="111"/>
    </row>
    <row r="19" spans="1:38" s="140" customFormat="1" ht="30" customHeight="1">
      <c r="A19" s="7"/>
      <c r="B19" s="108">
        <v>12</v>
      </c>
      <c r="C19" s="147" t="s">
        <v>272</v>
      </c>
      <c r="D19" s="148" t="s">
        <v>242</v>
      </c>
      <c r="E19" s="109">
        <v>15</v>
      </c>
      <c r="F19" s="142">
        <v>135</v>
      </c>
      <c r="G19" s="117">
        <f t="shared" si="16"/>
        <v>2025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215">
        <f t="shared" si="17"/>
        <v>2025</v>
      </c>
      <c r="O19" s="216"/>
      <c r="P19" s="217">
        <f t="shared" si="18"/>
        <v>0</v>
      </c>
      <c r="Q19" s="217">
        <f t="shared" si="19"/>
        <v>2025</v>
      </c>
      <c r="R19" s="217">
        <f t="shared" si="20"/>
        <v>248.04</v>
      </c>
      <c r="S19" s="217">
        <f t="shared" si="21"/>
        <v>1776.96</v>
      </c>
      <c r="T19" s="218">
        <f t="shared" si="22"/>
        <v>6.4000000000000001E-2</v>
      </c>
      <c r="U19" s="217">
        <f t="shared" si="23"/>
        <v>113.72544000000001</v>
      </c>
      <c r="V19" s="217">
        <f t="shared" si="24"/>
        <v>4.76</v>
      </c>
      <c r="W19" s="217">
        <f t="shared" si="25"/>
        <v>118.48544000000001</v>
      </c>
      <c r="X19" s="217">
        <f t="shared" si="26"/>
        <v>191.23</v>
      </c>
      <c r="Y19" s="217">
        <f t="shared" si="27"/>
        <v>-72.744559999999979</v>
      </c>
      <c r="Z19" s="219"/>
      <c r="AA19" s="233">
        <f t="shared" si="28"/>
        <v>72.744559999999979</v>
      </c>
      <c r="AB19" s="215">
        <f t="shared" si="29"/>
        <v>0</v>
      </c>
      <c r="AC19" s="215">
        <v>0</v>
      </c>
      <c r="AD19" s="220">
        <v>0</v>
      </c>
      <c r="AE19" s="220">
        <v>0</v>
      </c>
      <c r="AF19" s="220">
        <v>0</v>
      </c>
      <c r="AG19" s="215">
        <f t="shared" si="30"/>
        <v>0</v>
      </c>
      <c r="AH19" s="215">
        <f t="shared" si="31"/>
        <v>2097.7445600000001</v>
      </c>
      <c r="AI19" s="111"/>
      <c r="AJ19" s="52"/>
      <c r="AK19" s="111">
        <v>4.1399999999999864</v>
      </c>
      <c r="AL19" s="111">
        <f t="shared" ref="AL19:AL26" si="49">AB19-AK19</f>
        <v>-4.1399999999999864</v>
      </c>
    </row>
    <row r="20" spans="1:38" s="140" customFormat="1" ht="30" customHeight="1">
      <c r="A20" s="7"/>
      <c r="B20" s="108">
        <v>13</v>
      </c>
      <c r="C20" s="147" t="s">
        <v>243</v>
      </c>
      <c r="D20" s="148" t="s">
        <v>231</v>
      </c>
      <c r="E20" s="109">
        <v>15</v>
      </c>
      <c r="F20" s="142">
        <v>131</v>
      </c>
      <c r="G20" s="117">
        <f t="shared" si="16"/>
        <v>1965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215">
        <f t="shared" si="17"/>
        <v>1965</v>
      </c>
      <c r="O20" s="216"/>
      <c r="P20" s="217">
        <f t="shared" si="18"/>
        <v>0</v>
      </c>
      <c r="Q20" s="217">
        <f t="shared" si="19"/>
        <v>1965</v>
      </c>
      <c r="R20" s="217">
        <f t="shared" si="20"/>
        <v>248.04</v>
      </c>
      <c r="S20" s="217">
        <f t="shared" si="21"/>
        <v>1716.96</v>
      </c>
      <c r="T20" s="218">
        <f t="shared" si="22"/>
        <v>6.4000000000000001E-2</v>
      </c>
      <c r="U20" s="217">
        <f t="shared" si="23"/>
        <v>109.88544</v>
      </c>
      <c r="V20" s="217">
        <f t="shared" si="24"/>
        <v>4.76</v>
      </c>
      <c r="W20" s="217">
        <f t="shared" si="25"/>
        <v>114.64544000000001</v>
      </c>
      <c r="X20" s="217">
        <f t="shared" si="26"/>
        <v>191.23</v>
      </c>
      <c r="Y20" s="217">
        <f t="shared" si="27"/>
        <v>-76.584559999999982</v>
      </c>
      <c r="Z20" s="219"/>
      <c r="AA20" s="233">
        <f t="shared" si="28"/>
        <v>76.584559999999982</v>
      </c>
      <c r="AB20" s="215">
        <f t="shared" si="29"/>
        <v>0</v>
      </c>
      <c r="AC20" s="215">
        <v>0</v>
      </c>
      <c r="AD20" s="220">
        <v>0</v>
      </c>
      <c r="AE20" s="220">
        <v>0</v>
      </c>
      <c r="AF20" s="220">
        <v>0</v>
      </c>
      <c r="AG20" s="215">
        <f t="shared" si="30"/>
        <v>0</v>
      </c>
      <c r="AH20" s="215">
        <f t="shared" si="31"/>
        <v>2041.58456</v>
      </c>
      <c r="AI20" s="111"/>
      <c r="AJ20" s="52"/>
      <c r="AK20" s="111">
        <v>4.1399999999999864</v>
      </c>
      <c r="AL20" s="111">
        <f t="shared" si="49"/>
        <v>-4.1399999999999864</v>
      </c>
    </row>
    <row r="21" spans="1:38" s="140" customFormat="1" ht="30" customHeight="1">
      <c r="A21" s="7"/>
      <c r="B21" s="108">
        <v>14</v>
      </c>
      <c r="C21" s="147" t="s">
        <v>244</v>
      </c>
      <c r="D21" s="148" t="s">
        <v>231</v>
      </c>
      <c r="E21" s="109">
        <v>15</v>
      </c>
      <c r="F21" s="142">
        <v>131</v>
      </c>
      <c r="G21" s="117">
        <f t="shared" si="16"/>
        <v>1965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215">
        <f t="shared" si="17"/>
        <v>1965</v>
      </c>
      <c r="O21" s="216"/>
      <c r="P21" s="217">
        <f t="shared" si="18"/>
        <v>0</v>
      </c>
      <c r="Q21" s="217">
        <f t="shared" si="19"/>
        <v>1965</v>
      </c>
      <c r="R21" s="217">
        <f t="shared" si="20"/>
        <v>248.04</v>
      </c>
      <c r="S21" s="217">
        <f t="shared" si="21"/>
        <v>1716.96</v>
      </c>
      <c r="T21" s="218">
        <f t="shared" si="22"/>
        <v>6.4000000000000001E-2</v>
      </c>
      <c r="U21" s="217">
        <f t="shared" si="23"/>
        <v>109.88544</v>
      </c>
      <c r="V21" s="217">
        <f t="shared" si="24"/>
        <v>4.76</v>
      </c>
      <c r="W21" s="217">
        <f t="shared" si="25"/>
        <v>114.64544000000001</v>
      </c>
      <c r="X21" s="217">
        <f t="shared" si="26"/>
        <v>191.23</v>
      </c>
      <c r="Y21" s="217">
        <f t="shared" si="27"/>
        <v>-76.584559999999982</v>
      </c>
      <c r="Z21" s="219"/>
      <c r="AA21" s="233">
        <f t="shared" si="28"/>
        <v>76.584559999999982</v>
      </c>
      <c r="AB21" s="215">
        <f t="shared" si="29"/>
        <v>0</v>
      </c>
      <c r="AC21" s="215">
        <v>0</v>
      </c>
      <c r="AD21" s="220">
        <v>0</v>
      </c>
      <c r="AE21" s="220">
        <v>0</v>
      </c>
      <c r="AF21" s="220">
        <v>0</v>
      </c>
      <c r="AG21" s="215">
        <f t="shared" si="30"/>
        <v>0</v>
      </c>
      <c r="AH21" s="215">
        <f t="shared" si="31"/>
        <v>2041.58456</v>
      </c>
      <c r="AI21" s="111"/>
      <c r="AJ21" s="52"/>
      <c r="AK21" s="111">
        <v>4.1399999999999864</v>
      </c>
      <c r="AL21" s="111">
        <f t="shared" si="49"/>
        <v>-4.1399999999999864</v>
      </c>
    </row>
    <row r="22" spans="1:38" s="140" customFormat="1" ht="30" customHeight="1">
      <c r="A22" s="7"/>
      <c r="B22" s="108">
        <v>15</v>
      </c>
      <c r="C22" s="147" t="s">
        <v>245</v>
      </c>
      <c r="D22" s="148" t="s">
        <v>231</v>
      </c>
      <c r="E22" s="109">
        <v>15</v>
      </c>
      <c r="F22" s="142">
        <v>131</v>
      </c>
      <c r="G22" s="117">
        <f t="shared" si="16"/>
        <v>1965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215">
        <f t="shared" si="17"/>
        <v>1965</v>
      </c>
      <c r="O22" s="216"/>
      <c r="P22" s="217">
        <f t="shared" si="18"/>
        <v>0</v>
      </c>
      <c r="Q22" s="217">
        <f t="shared" si="19"/>
        <v>1965</v>
      </c>
      <c r="R22" s="217">
        <f t="shared" si="20"/>
        <v>248.04</v>
      </c>
      <c r="S22" s="217">
        <f t="shared" si="21"/>
        <v>1716.96</v>
      </c>
      <c r="T22" s="218">
        <f t="shared" si="22"/>
        <v>6.4000000000000001E-2</v>
      </c>
      <c r="U22" s="217">
        <f t="shared" si="23"/>
        <v>109.88544</v>
      </c>
      <c r="V22" s="217">
        <f t="shared" si="24"/>
        <v>4.76</v>
      </c>
      <c r="W22" s="217">
        <f t="shared" si="25"/>
        <v>114.64544000000001</v>
      </c>
      <c r="X22" s="217">
        <f t="shared" si="26"/>
        <v>191.23</v>
      </c>
      <c r="Y22" s="217">
        <f t="shared" si="27"/>
        <v>-76.584559999999982</v>
      </c>
      <c r="Z22" s="219"/>
      <c r="AA22" s="233">
        <f t="shared" si="28"/>
        <v>76.584559999999982</v>
      </c>
      <c r="AB22" s="215">
        <f t="shared" si="29"/>
        <v>0</v>
      </c>
      <c r="AC22" s="215">
        <v>0</v>
      </c>
      <c r="AD22" s="220">
        <v>0</v>
      </c>
      <c r="AE22" s="220">
        <v>0</v>
      </c>
      <c r="AF22" s="220">
        <v>0</v>
      </c>
      <c r="AG22" s="215">
        <f t="shared" si="30"/>
        <v>0</v>
      </c>
      <c r="AH22" s="215">
        <f t="shared" si="31"/>
        <v>2041.58456</v>
      </c>
      <c r="AI22" s="111"/>
      <c r="AJ22" s="52"/>
      <c r="AK22" s="111">
        <v>4.1399999999999864</v>
      </c>
      <c r="AL22" s="111">
        <f t="shared" si="49"/>
        <v>-4.1399999999999864</v>
      </c>
    </row>
    <row r="23" spans="1:38" s="140" customFormat="1" ht="30" customHeight="1">
      <c r="A23" s="7"/>
      <c r="B23" s="108">
        <v>16</v>
      </c>
      <c r="C23" s="147" t="s">
        <v>246</v>
      </c>
      <c r="D23" s="148" t="s">
        <v>231</v>
      </c>
      <c r="E23" s="109">
        <v>15</v>
      </c>
      <c r="F23" s="142">
        <v>131</v>
      </c>
      <c r="G23" s="117">
        <f t="shared" si="16"/>
        <v>1965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215">
        <f t="shared" si="17"/>
        <v>1965</v>
      </c>
      <c r="O23" s="216"/>
      <c r="P23" s="217">
        <f t="shared" si="18"/>
        <v>0</v>
      </c>
      <c r="Q23" s="217">
        <f t="shared" si="19"/>
        <v>1965</v>
      </c>
      <c r="R23" s="217">
        <f t="shared" si="20"/>
        <v>248.04</v>
      </c>
      <c r="S23" s="217">
        <f t="shared" si="21"/>
        <v>1716.96</v>
      </c>
      <c r="T23" s="218">
        <f t="shared" si="22"/>
        <v>6.4000000000000001E-2</v>
      </c>
      <c r="U23" s="217">
        <f t="shared" si="23"/>
        <v>109.88544</v>
      </c>
      <c r="V23" s="217">
        <f t="shared" si="24"/>
        <v>4.76</v>
      </c>
      <c r="W23" s="217">
        <f t="shared" si="25"/>
        <v>114.64544000000001</v>
      </c>
      <c r="X23" s="217">
        <f t="shared" si="26"/>
        <v>191.23</v>
      </c>
      <c r="Y23" s="217">
        <f t="shared" si="27"/>
        <v>-76.584559999999982</v>
      </c>
      <c r="Z23" s="219"/>
      <c r="AA23" s="233">
        <f t="shared" si="28"/>
        <v>76.584559999999982</v>
      </c>
      <c r="AB23" s="215">
        <f t="shared" si="29"/>
        <v>0</v>
      </c>
      <c r="AC23" s="215">
        <v>0</v>
      </c>
      <c r="AD23" s="220">
        <v>0</v>
      </c>
      <c r="AE23" s="220">
        <v>0</v>
      </c>
      <c r="AF23" s="220">
        <v>0</v>
      </c>
      <c r="AG23" s="215">
        <f t="shared" si="30"/>
        <v>0</v>
      </c>
      <c r="AH23" s="215">
        <f t="shared" si="31"/>
        <v>2041.58456</v>
      </c>
      <c r="AI23" s="111"/>
      <c r="AJ23" s="52"/>
      <c r="AK23" s="111">
        <v>4.1399999999999864</v>
      </c>
      <c r="AL23" s="111">
        <f t="shared" si="49"/>
        <v>-4.1399999999999864</v>
      </c>
    </row>
    <row r="24" spans="1:38" s="140" customFormat="1" ht="30" customHeight="1">
      <c r="A24" s="7"/>
      <c r="B24" s="108">
        <v>17</v>
      </c>
      <c r="C24" s="147" t="s">
        <v>247</v>
      </c>
      <c r="D24" s="148" t="s">
        <v>248</v>
      </c>
      <c r="E24" s="109">
        <v>15</v>
      </c>
      <c r="F24" s="142">
        <v>169.5</v>
      </c>
      <c r="G24" s="117">
        <f t="shared" si="16"/>
        <v>2542.5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215">
        <f t="shared" si="17"/>
        <v>2542.5</v>
      </c>
      <c r="O24" s="216"/>
      <c r="P24" s="217">
        <f t="shared" si="18"/>
        <v>0</v>
      </c>
      <c r="Q24" s="217">
        <f t="shared" si="19"/>
        <v>2542.5</v>
      </c>
      <c r="R24" s="217">
        <f t="shared" si="20"/>
        <v>2105.21</v>
      </c>
      <c r="S24" s="217">
        <f t="shared" si="21"/>
        <v>437.28999999999996</v>
      </c>
      <c r="T24" s="218">
        <f t="shared" si="22"/>
        <v>0.10879999999999999</v>
      </c>
      <c r="U24" s="217">
        <f t="shared" si="23"/>
        <v>47.577151999999991</v>
      </c>
      <c r="V24" s="217">
        <f t="shared" si="24"/>
        <v>123.62</v>
      </c>
      <c r="W24" s="217">
        <f t="shared" si="25"/>
        <v>171.19715199999999</v>
      </c>
      <c r="X24" s="217">
        <f t="shared" si="26"/>
        <v>162.435</v>
      </c>
      <c r="Y24" s="217">
        <f t="shared" si="27"/>
        <v>8.7621519999999862</v>
      </c>
      <c r="Z24" s="219"/>
      <c r="AA24" s="233">
        <f t="shared" si="28"/>
        <v>0</v>
      </c>
      <c r="AB24" s="215">
        <f t="shared" si="29"/>
        <v>8.7621519999999862</v>
      </c>
      <c r="AC24" s="215">
        <v>0</v>
      </c>
      <c r="AD24" s="220">
        <v>0</v>
      </c>
      <c r="AE24" s="220">
        <v>0</v>
      </c>
      <c r="AF24" s="220">
        <v>0</v>
      </c>
      <c r="AG24" s="215">
        <f t="shared" si="30"/>
        <v>8.7621519999999862</v>
      </c>
      <c r="AH24" s="215">
        <f t="shared" si="31"/>
        <v>2533.7378480000002</v>
      </c>
      <c r="AI24" s="111"/>
      <c r="AJ24" s="52"/>
      <c r="AK24" s="111">
        <v>4.1399999999999864</v>
      </c>
      <c r="AL24" s="111">
        <f t="shared" si="49"/>
        <v>4.6221519999999998</v>
      </c>
    </row>
    <row r="25" spans="1:38" s="140" customFormat="1" ht="30" hidden="1" customHeight="1">
      <c r="A25" s="7"/>
      <c r="B25" s="108">
        <v>18</v>
      </c>
      <c r="C25" s="147"/>
      <c r="D25" s="148"/>
      <c r="E25" s="109"/>
      <c r="F25" s="142"/>
      <c r="G25" s="117"/>
      <c r="H25" s="110"/>
      <c r="I25" s="110"/>
      <c r="J25" s="110"/>
      <c r="K25" s="110"/>
      <c r="L25" s="110"/>
      <c r="M25" s="110"/>
      <c r="N25" s="215"/>
      <c r="O25" s="216"/>
      <c r="P25" s="217"/>
      <c r="Q25" s="217"/>
      <c r="R25" s="217"/>
      <c r="S25" s="217"/>
      <c r="T25" s="218"/>
      <c r="U25" s="217"/>
      <c r="V25" s="217"/>
      <c r="W25" s="217"/>
      <c r="X25" s="217"/>
      <c r="Y25" s="217"/>
      <c r="Z25" s="219"/>
      <c r="AA25" s="233"/>
      <c r="AB25" s="215"/>
      <c r="AC25" s="215"/>
      <c r="AD25" s="220"/>
      <c r="AE25" s="220"/>
      <c r="AF25" s="220"/>
      <c r="AG25" s="215"/>
      <c r="AH25" s="215"/>
      <c r="AI25" s="457"/>
      <c r="AJ25" s="52"/>
      <c r="AK25" s="111">
        <v>4.1399999999999864</v>
      </c>
      <c r="AL25" s="111">
        <f t="shared" si="49"/>
        <v>-4.1399999999999864</v>
      </c>
    </row>
    <row r="26" spans="1:38" s="140" customFormat="1" ht="30" hidden="1" customHeight="1">
      <c r="A26" s="7"/>
      <c r="B26" s="108">
        <v>19</v>
      </c>
      <c r="C26" s="397"/>
      <c r="D26" s="148"/>
      <c r="E26" s="109"/>
      <c r="F26" s="142"/>
      <c r="G26" s="117"/>
      <c r="H26" s="110"/>
      <c r="I26" s="110"/>
      <c r="J26" s="110"/>
      <c r="K26" s="110"/>
      <c r="L26" s="110"/>
      <c r="M26" s="110"/>
      <c r="N26" s="215"/>
      <c r="O26" s="216"/>
      <c r="P26" s="217"/>
      <c r="Q26" s="217"/>
      <c r="R26" s="217"/>
      <c r="S26" s="217"/>
      <c r="T26" s="218"/>
      <c r="U26" s="217"/>
      <c r="V26" s="217"/>
      <c r="W26" s="217"/>
      <c r="X26" s="217"/>
      <c r="Y26" s="217"/>
      <c r="Z26" s="219"/>
      <c r="AA26" s="233"/>
      <c r="AB26" s="215"/>
      <c r="AC26" s="215"/>
      <c r="AD26" s="220"/>
      <c r="AE26" s="220"/>
      <c r="AF26" s="220"/>
      <c r="AG26" s="215"/>
      <c r="AH26" s="215"/>
      <c r="AI26" s="454"/>
      <c r="AJ26" s="52"/>
      <c r="AK26" s="111">
        <v>41</v>
      </c>
      <c r="AL26" s="111">
        <f t="shared" si="49"/>
        <v>-41</v>
      </c>
    </row>
    <row r="27" spans="1:38" s="140" customFormat="1" ht="30" customHeight="1">
      <c r="A27" s="7"/>
      <c r="B27" s="108"/>
      <c r="C27" s="397" t="s">
        <v>534</v>
      </c>
      <c r="D27" s="148" t="s">
        <v>248</v>
      </c>
      <c r="E27" s="109">
        <v>15</v>
      </c>
      <c r="F27" s="142">
        <v>169.5</v>
      </c>
      <c r="G27" s="117">
        <f t="shared" ref="G27" si="50">E27*F27</f>
        <v>2542.5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215">
        <f t="shared" ref="N27" si="51">SUM(G27:M27)</f>
        <v>2542.5</v>
      </c>
      <c r="O27" s="216"/>
      <c r="P27" s="217">
        <f t="shared" ref="P27" si="52">IF(F27=47.16,0,IF(F27&gt;47.16,K27*0.5,0))</f>
        <v>0</v>
      </c>
      <c r="Q27" s="217">
        <f t="shared" ref="Q27" si="53">G27+H27+I27+L27+P27+J27</f>
        <v>2542.5</v>
      </c>
      <c r="R27" s="217">
        <f t="shared" ref="R27" si="54">VLOOKUP(Q27,Tarifa1,1)</f>
        <v>2105.21</v>
      </c>
      <c r="S27" s="217">
        <f t="shared" ref="S27" si="55">Q27-R27</f>
        <v>437.28999999999996</v>
      </c>
      <c r="T27" s="218">
        <f t="shared" ref="T27" si="56">VLOOKUP(Q27,Tarifa1,3)</f>
        <v>0.10879999999999999</v>
      </c>
      <c r="U27" s="217">
        <f t="shared" ref="U27" si="57">S27*T27</f>
        <v>47.577151999999991</v>
      </c>
      <c r="V27" s="217">
        <f t="shared" ref="V27" si="58">VLOOKUP(Q27,Tarifa1,2)</f>
        <v>123.62</v>
      </c>
      <c r="W27" s="217">
        <f t="shared" ref="W27" si="59">U27+V27</f>
        <v>171.19715199999999</v>
      </c>
      <c r="X27" s="217">
        <f t="shared" ref="X27" si="60">VLOOKUP(Q27,Credito1,2)</f>
        <v>162.435</v>
      </c>
      <c r="Y27" s="217">
        <f t="shared" ref="Y27" si="61">W27-X27</f>
        <v>8.7621519999999862</v>
      </c>
      <c r="Z27" s="219"/>
      <c r="AA27" s="233">
        <f t="shared" ref="AA27" si="62">-IF(Y27&gt;0,0,Y27)</f>
        <v>0</v>
      </c>
      <c r="AB27" s="215">
        <f t="shared" ref="AB27" si="63">IF(Y27&lt;0,0,Y27)</f>
        <v>8.7621519999999862</v>
      </c>
      <c r="AC27" s="215">
        <v>0</v>
      </c>
      <c r="AD27" s="220">
        <v>0</v>
      </c>
      <c r="AE27" s="220">
        <v>0</v>
      </c>
      <c r="AF27" s="220">
        <v>0</v>
      </c>
      <c r="AG27" s="215">
        <f t="shared" ref="AG27" si="64">SUM(AB27:AF27)</f>
        <v>8.7621519999999862</v>
      </c>
      <c r="AH27" s="215">
        <f t="shared" ref="AH27" si="65">N27+AA27-AG27</f>
        <v>2533.7378480000002</v>
      </c>
      <c r="AI27" s="454"/>
      <c r="AJ27" s="52"/>
      <c r="AK27" s="111"/>
      <c r="AL27" s="111"/>
    </row>
    <row r="28" spans="1:38" s="140" customFormat="1" ht="30" customHeight="1">
      <c r="A28" s="7"/>
      <c r="B28" s="108">
        <v>20</v>
      </c>
      <c r="C28" s="147" t="s">
        <v>261</v>
      </c>
      <c r="D28" s="148" t="s">
        <v>220</v>
      </c>
      <c r="E28" s="109">
        <v>15</v>
      </c>
      <c r="F28" s="142">
        <v>182</v>
      </c>
      <c r="G28" s="117">
        <f t="shared" si="16"/>
        <v>2730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215">
        <f t="shared" si="17"/>
        <v>2730</v>
      </c>
      <c r="O28" s="216"/>
      <c r="P28" s="217">
        <f t="shared" si="18"/>
        <v>0</v>
      </c>
      <c r="Q28" s="217">
        <f t="shared" si="19"/>
        <v>2730</v>
      </c>
      <c r="R28" s="217">
        <f t="shared" si="20"/>
        <v>2105.21</v>
      </c>
      <c r="S28" s="217">
        <f t="shared" si="21"/>
        <v>624.79</v>
      </c>
      <c r="T28" s="218">
        <f t="shared" si="22"/>
        <v>0.10879999999999999</v>
      </c>
      <c r="U28" s="217">
        <f t="shared" si="23"/>
        <v>67.97715199999999</v>
      </c>
      <c r="V28" s="217">
        <f t="shared" si="24"/>
        <v>123.62</v>
      </c>
      <c r="W28" s="217">
        <f t="shared" si="25"/>
        <v>191.59715199999999</v>
      </c>
      <c r="X28" s="217">
        <f t="shared" si="26"/>
        <v>147.315</v>
      </c>
      <c r="Y28" s="217">
        <f t="shared" si="27"/>
        <v>44.282151999999996</v>
      </c>
      <c r="Z28" s="219"/>
      <c r="AA28" s="233">
        <f t="shared" si="28"/>
        <v>0</v>
      </c>
      <c r="AB28" s="215">
        <f t="shared" si="29"/>
        <v>44.282151999999996</v>
      </c>
      <c r="AC28" s="215">
        <v>0</v>
      </c>
      <c r="AD28" s="220">
        <v>0</v>
      </c>
      <c r="AE28" s="220">
        <v>0</v>
      </c>
      <c r="AF28" s="220">
        <v>0</v>
      </c>
      <c r="AG28" s="215">
        <f t="shared" si="30"/>
        <v>44.282151999999996</v>
      </c>
      <c r="AH28" s="215">
        <f t="shared" si="31"/>
        <v>2685.7178480000002</v>
      </c>
      <c r="AI28" s="111"/>
      <c r="AJ28" s="52"/>
      <c r="AK28" s="111">
        <v>43</v>
      </c>
      <c r="AL28" s="111">
        <f t="shared" ref="AL28" si="66">AB28-AK28</f>
        <v>1.2821519999999964</v>
      </c>
    </row>
    <row r="29" spans="1:38" s="140" customFormat="1" ht="30" customHeight="1">
      <c r="A29" s="7"/>
      <c r="B29" s="108">
        <v>21</v>
      </c>
      <c r="C29" s="147" t="s">
        <v>339</v>
      </c>
      <c r="D29" s="148" t="s">
        <v>343</v>
      </c>
      <c r="E29" s="109">
        <v>15</v>
      </c>
      <c r="F29" s="239">
        <v>167</v>
      </c>
      <c r="G29" s="117">
        <f t="shared" si="16"/>
        <v>2505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215">
        <f t="shared" si="17"/>
        <v>2505</v>
      </c>
      <c r="O29" s="216"/>
      <c r="P29" s="217">
        <f t="shared" si="18"/>
        <v>0</v>
      </c>
      <c r="Q29" s="217">
        <f t="shared" si="19"/>
        <v>2505</v>
      </c>
      <c r="R29" s="217">
        <f t="shared" si="20"/>
        <v>2105.21</v>
      </c>
      <c r="S29" s="217">
        <f t="shared" si="21"/>
        <v>399.78999999999996</v>
      </c>
      <c r="T29" s="218">
        <f t="shared" si="22"/>
        <v>0.10879999999999999</v>
      </c>
      <c r="U29" s="217">
        <f t="shared" si="23"/>
        <v>43.497151999999993</v>
      </c>
      <c r="V29" s="217">
        <f t="shared" si="24"/>
        <v>123.62</v>
      </c>
      <c r="W29" s="217">
        <f t="shared" si="25"/>
        <v>167.117152</v>
      </c>
      <c r="X29" s="217">
        <f t="shared" si="26"/>
        <v>162.435</v>
      </c>
      <c r="Y29" s="217">
        <f t="shared" si="27"/>
        <v>4.6821520000000021</v>
      </c>
      <c r="Z29" s="219"/>
      <c r="AA29" s="233">
        <f t="shared" si="28"/>
        <v>0</v>
      </c>
      <c r="AB29" s="215">
        <f t="shared" si="29"/>
        <v>4.6821520000000021</v>
      </c>
      <c r="AC29" s="215">
        <v>0</v>
      </c>
      <c r="AD29" s="220">
        <v>0</v>
      </c>
      <c r="AE29" s="220">
        <v>0</v>
      </c>
      <c r="AF29" s="220">
        <v>0</v>
      </c>
      <c r="AG29" s="215">
        <f t="shared" si="30"/>
        <v>4.6821520000000021</v>
      </c>
      <c r="AH29" s="215">
        <f t="shared" si="31"/>
        <v>2500.3178480000001</v>
      </c>
      <c r="AI29" s="111"/>
      <c r="AJ29" s="52"/>
      <c r="AK29" s="111"/>
      <c r="AL29" s="111"/>
    </row>
    <row r="30" spans="1:38" s="140" customFormat="1" ht="30" customHeight="1">
      <c r="A30" s="7"/>
      <c r="B30" s="108">
        <v>22</v>
      </c>
      <c r="C30" s="147" t="s">
        <v>340</v>
      </c>
      <c r="D30" s="148" t="s">
        <v>343</v>
      </c>
      <c r="E30" s="109">
        <v>15</v>
      </c>
      <c r="F30" s="239">
        <v>167</v>
      </c>
      <c r="G30" s="117">
        <f t="shared" si="16"/>
        <v>2505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215">
        <f t="shared" si="17"/>
        <v>2505</v>
      </c>
      <c r="O30" s="216"/>
      <c r="P30" s="217">
        <f t="shared" si="18"/>
        <v>0</v>
      </c>
      <c r="Q30" s="217">
        <f t="shared" si="19"/>
        <v>2505</v>
      </c>
      <c r="R30" s="217">
        <f t="shared" si="20"/>
        <v>2105.21</v>
      </c>
      <c r="S30" s="217">
        <f t="shared" si="21"/>
        <v>399.78999999999996</v>
      </c>
      <c r="T30" s="218">
        <f t="shared" si="22"/>
        <v>0.10879999999999999</v>
      </c>
      <c r="U30" s="217">
        <f t="shared" si="23"/>
        <v>43.497151999999993</v>
      </c>
      <c r="V30" s="217">
        <f t="shared" si="24"/>
        <v>123.62</v>
      </c>
      <c r="W30" s="217">
        <f t="shared" si="25"/>
        <v>167.117152</v>
      </c>
      <c r="X30" s="217">
        <f t="shared" si="26"/>
        <v>162.435</v>
      </c>
      <c r="Y30" s="217">
        <f t="shared" si="27"/>
        <v>4.6821520000000021</v>
      </c>
      <c r="Z30" s="219"/>
      <c r="AA30" s="233">
        <f t="shared" si="28"/>
        <v>0</v>
      </c>
      <c r="AB30" s="215">
        <f t="shared" si="29"/>
        <v>4.6821520000000021</v>
      </c>
      <c r="AC30" s="215">
        <v>0</v>
      </c>
      <c r="AD30" s="220">
        <v>0</v>
      </c>
      <c r="AE30" s="220">
        <v>0</v>
      </c>
      <c r="AF30" s="220">
        <v>0</v>
      </c>
      <c r="AG30" s="215">
        <f t="shared" si="30"/>
        <v>4.6821520000000021</v>
      </c>
      <c r="AH30" s="215">
        <f t="shared" si="31"/>
        <v>2500.3178480000001</v>
      </c>
      <c r="AI30" s="111"/>
      <c r="AJ30" s="52"/>
      <c r="AK30" s="111"/>
      <c r="AL30" s="111"/>
    </row>
    <row r="31" spans="1:38" s="140" customFormat="1" ht="30" customHeight="1">
      <c r="A31" s="7"/>
      <c r="B31" s="108">
        <v>23</v>
      </c>
      <c r="C31" s="147" t="s">
        <v>341</v>
      </c>
      <c r="D31" s="148" t="s">
        <v>344</v>
      </c>
      <c r="E31" s="109">
        <v>15</v>
      </c>
      <c r="F31" s="239">
        <v>131</v>
      </c>
      <c r="G31" s="117">
        <f t="shared" si="16"/>
        <v>1965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215">
        <f t="shared" si="17"/>
        <v>1965</v>
      </c>
      <c r="O31" s="216"/>
      <c r="P31" s="217">
        <f t="shared" si="18"/>
        <v>0</v>
      </c>
      <c r="Q31" s="217">
        <f t="shared" si="19"/>
        <v>1965</v>
      </c>
      <c r="R31" s="217">
        <f t="shared" si="20"/>
        <v>248.04</v>
      </c>
      <c r="S31" s="217">
        <f t="shared" si="21"/>
        <v>1716.96</v>
      </c>
      <c r="T31" s="218">
        <f t="shared" si="22"/>
        <v>6.4000000000000001E-2</v>
      </c>
      <c r="U31" s="217">
        <f t="shared" si="23"/>
        <v>109.88544</v>
      </c>
      <c r="V31" s="217">
        <f t="shared" si="24"/>
        <v>4.76</v>
      </c>
      <c r="W31" s="217">
        <f t="shared" si="25"/>
        <v>114.64544000000001</v>
      </c>
      <c r="X31" s="217">
        <f t="shared" si="26"/>
        <v>191.23</v>
      </c>
      <c r="Y31" s="217">
        <f t="shared" si="27"/>
        <v>-76.584559999999982</v>
      </c>
      <c r="Z31" s="219"/>
      <c r="AA31" s="233">
        <f t="shared" si="28"/>
        <v>76.584559999999982</v>
      </c>
      <c r="AB31" s="215">
        <f t="shared" si="29"/>
        <v>0</v>
      </c>
      <c r="AC31" s="215">
        <v>0</v>
      </c>
      <c r="AD31" s="220">
        <v>0</v>
      </c>
      <c r="AE31" s="220">
        <v>0</v>
      </c>
      <c r="AF31" s="220">
        <v>0</v>
      </c>
      <c r="AG31" s="215">
        <f t="shared" si="30"/>
        <v>0</v>
      </c>
      <c r="AH31" s="215">
        <f t="shared" si="31"/>
        <v>2041.58456</v>
      </c>
      <c r="AI31" s="111"/>
      <c r="AJ31" s="52"/>
      <c r="AK31" s="111"/>
      <c r="AL31" s="111"/>
    </row>
    <row r="32" spans="1:38" s="140" customFormat="1" ht="30" customHeight="1">
      <c r="A32" s="7"/>
      <c r="B32" s="108">
        <v>24</v>
      </c>
      <c r="C32" s="147" t="s">
        <v>342</v>
      </c>
      <c r="D32" s="148" t="s">
        <v>344</v>
      </c>
      <c r="E32" s="109">
        <v>15</v>
      </c>
      <c r="F32" s="239">
        <v>131</v>
      </c>
      <c r="G32" s="117">
        <f t="shared" si="16"/>
        <v>1965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215">
        <f t="shared" si="17"/>
        <v>1965</v>
      </c>
      <c r="O32" s="216"/>
      <c r="P32" s="217">
        <f t="shared" si="18"/>
        <v>0</v>
      </c>
      <c r="Q32" s="217">
        <f t="shared" si="19"/>
        <v>1965</v>
      </c>
      <c r="R32" s="217">
        <f t="shared" si="20"/>
        <v>248.04</v>
      </c>
      <c r="S32" s="217">
        <f t="shared" si="21"/>
        <v>1716.96</v>
      </c>
      <c r="T32" s="218">
        <f t="shared" si="22"/>
        <v>6.4000000000000001E-2</v>
      </c>
      <c r="U32" s="217">
        <f t="shared" si="23"/>
        <v>109.88544</v>
      </c>
      <c r="V32" s="217">
        <f t="shared" si="24"/>
        <v>4.76</v>
      </c>
      <c r="W32" s="217">
        <f t="shared" si="25"/>
        <v>114.64544000000001</v>
      </c>
      <c r="X32" s="217">
        <f t="shared" si="26"/>
        <v>191.23</v>
      </c>
      <c r="Y32" s="217">
        <f t="shared" si="27"/>
        <v>-76.584559999999982</v>
      </c>
      <c r="Z32" s="219"/>
      <c r="AA32" s="233">
        <f t="shared" si="28"/>
        <v>76.584559999999982</v>
      </c>
      <c r="AB32" s="215">
        <f t="shared" si="29"/>
        <v>0</v>
      </c>
      <c r="AC32" s="215">
        <v>0</v>
      </c>
      <c r="AD32" s="220">
        <v>0</v>
      </c>
      <c r="AE32" s="220">
        <v>0</v>
      </c>
      <c r="AF32" s="220">
        <v>0</v>
      </c>
      <c r="AG32" s="215">
        <f t="shared" si="30"/>
        <v>0</v>
      </c>
      <c r="AH32" s="215">
        <f t="shared" si="31"/>
        <v>2041.58456</v>
      </c>
      <c r="AI32" s="111"/>
      <c r="AJ32" s="52"/>
      <c r="AK32" s="111"/>
      <c r="AL32" s="111"/>
    </row>
    <row r="33" spans="1:38" s="140" customFormat="1" ht="30" hidden="1" customHeight="1">
      <c r="A33" s="7"/>
      <c r="B33" s="108">
        <v>25</v>
      </c>
      <c r="C33" s="147"/>
      <c r="D33" s="148"/>
      <c r="E33" s="109"/>
      <c r="F33" s="142"/>
      <c r="G33" s="117"/>
      <c r="H33" s="110"/>
      <c r="I33" s="110"/>
      <c r="J33" s="110"/>
      <c r="K33" s="110"/>
      <c r="L33" s="110"/>
      <c r="M33" s="110"/>
      <c r="N33" s="215"/>
      <c r="O33" s="216"/>
      <c r="P33" s="217"/>
      <c r="Q33" s="217"/>
      <c r="R33" s="217"/>
      <c r="S33" s="217"/>
      <c r="T33" s="218"/>
      <c r="U33" s="217"/>
      <c r="V33" s="217"/>
      <c r="W33" s="217"/>
      <c r="X33" s="217"/>
      <c r="Y33" s="217"/>
      <c r="Z33" s="219"/>
      <c r="AA33" s="233"/>
      <c r="AB33" s="215"/>
      <c r="AC33" s="215"/>
      <c r="AD33" s="220"/>
      <c r="AE33" s="220"/>
      <c r="AF33" s="220"/>
      <c r="AG33" s="215"/>
      <c r="AH33" s="215"/>
      <c r="AI33" s="111"/>
      <c r="AJ33" s="52"/>
      <c r="AK33" s="111"/>
      <c r="AL33" s="111"/>
    </row>
    <row r="34" spans="1:38" s="140" customFormat="1" ht="30" customHeight="1">
      <c r="A34" s="7"/>
      <c r="B34" s="108">
        <v>25</v>
      </c>
      <c r="C34" s="240" t="s">
        <v>348</v>
      </c>
      <c r="D34" s="148" t="s">
        <v>380</v>
      </c>
      <c r="E34" s="109">
        <v>15</v>
      </c>
      <c r="F34" s="142">
        <v>131</v>
      </c>
      <c r="G34" s="117">
        <f t="shared" si="16"/>
        <v>1965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215">
        <f t="shared" si="17"/>
        <v>1965</v>
      </c>
      <c r="O34" s="216"/>
      <c r="P34" s="217">
        <f t="shared" si="18"/>
        <v>0</v>
      </c>
      <c r="Q34" s="217">
        <f t="shared" si="19"/>
        <v>1965</v>
      </c>
      <c r="R34" s="217">
        <f t="shared" si="20"/>
        <v>248.04</v>
      </c>
      <c r="S34" s="217">
        <f t="shared" si="21"/>
        <v>1716.96</v>
      </c>
      <c r="T34" s="218">
        <f t="shared" si="22"/>
        <v>6.4000000000000001E-2</v>
      </c>
      <c r="U34" s="217">
        <f t="shared" si="23"/>
        <v>109.88544</v>
      </c>
      <c r="V34" s="217">
        <f t="shared" si="24"/>
        <v>4.76</v>
      </c>
      <c r="W34" s="217">
        <f t="shared" si="25"/>
        <v>114.64544000000001</v>
      </c>
      <c r="X34" s="217">
        <f t="shared" si="26"/>
        <v>191.23</v>
      </c>
      <c r="Y34" s="217">
        <f t="shared" si="27"/>
        <v>-76.584559999999982</v>
      </c>
      <c r="Z34" s="219"/>
      <c r="AA34" s="233">
        <f t="shared" si="28"/>
        <v>76.584559999999982</v>
      </c>
      <c r="AB34" s="215">
        <f t="shared" si="29"/>
        <v>0</v>
      </c>
      <c r="AC34" s="215">
        <v>0</v>
      </c>
      <c r="AD34" s="220">
        <v>0</v>
      </c>
      <c r="AE34" s="220">
        <v>0</v>
      </c>
      <c r="AF34" s="220">
        <v>0</v>
      </c>
      <c r="AG34" s="215">
        <f t="shared" si="30"/>
        <v>0</v>
      </c>
      <c r="AH34" s="215">
        <f t="shared" si="31"/>
        <v>2041.58456</v>
      </c>
      <c r="AI34" s="111"/>
      <c r="AJ34" s="52"/>
      <c r="AK34" s="111"/>
      <c r="AL34" s="111"/>
    </row>
    <row r="35" spans="1:38" s="140" customFormat="1" ht="30" customHeight="1">
      <c r="A35" s="7"/>
      <c r="B35" s="108">
        <v>26</v>
      </c>
      <c r="C35" s="240" t="s">
        <v>473</v>
      </c>
      <c r="D35" s="148" t="s">
        <v>388</v>
      </c>
      <c r="E35" s="109">
        <v>15</v>
      </c>
      <c r="F35" s="142">
        <v>167</v>
      </c>
      <c r="G35" s="117">
        <f t="shared" si="16"/>
        <v>2505</v>
      </c>
      <c r="H35" s="110"/>
      <c r="I35" s="110"/>
      <c r="J35" s="110"/>
      <c r="K35" s="110">
        <v>0</v>
      </c>
      <c r="L35" s="110">
        <v>0</v>
      </c>
      <c r="M35" s="110">
        <v>0</v>
      </c>
      <c r="N35" s="215">
        <f t="shared" ref="N35" si="67">SUM(G35:M35)</f>
        <v>2505</v>
      </c>
      <c r="O35" s="216"/>
      <c r="P35" s="217">
        <f t="shared" ref="P35" si="68">IF(F35=47.16,0,IF(F35&gt;47.16,K35*0.5,0))</f>
        <v>0</v>
      </c>
      <c r="Q35" s="217">
        <f t="shared" ref="Q35" si="69">G35+H35+I35+L35+P35+J35</f>
        <v>2505</v>
      </c>
      <c r="R35" s="217">
        <f t="shared" ref="R35" si="70">VLOOKUP(Q35,Tarifa1,1)</f>
        <v>2105.21</v>
      </c>
      <c r="S35" s="217">
        <f t="shared" ref="S35" si="71">Q35-R35</f>
        <v>399.78999999999996</v>
      </c>
      <c r="T35" s="218">
        <f t="shared" ref="T35" si="72">VLOOKUP(Q35,Tarifa1,3)</f>
        <v>0.10879999999999999</v>
      </c>
      <c r="U35" s="217">
        <f t="shared" ref="U35" si="73">S35*T35</f>
        <v>43.497151999999993</v>
      </c>
      <c r="V35" s="217">
        <f t="shared" ref="V35" si="74">VLOOKUP(Q35,Tarifa1,2)</f>
        <v>123.62</v>
      </c>
      <c r="W35" s="217">
        <f t="shared" ref="W35" si="75">U35+V35</f>
        <v>167.117152</v>
      </c>
      <c r="X35" s="217">
        <f t="shared" ref="X35" si="76">VLOOKUP(Q35,Credito1,2)</f>
        <v>162.435</v>
      </c>
      <c r="Y35" s="217">
        <f t="shared" ref="Y35" si="77">W35-X35</f>
        <v>4.6821520000000021</v>
      </c>
      <c r="Z35" s="219"/>
      <c r="AA35" s="233">
        <f t="shared" ref="AA35" si="78">-IF(Y35&gt;0,0,Y35)</f>
        <v>0</v>
      </c>
      <c r="AB35" s="215">
        <f t="shared" ref="AB35" si="79">IF(Y35&lt;0,0,Y35)</f>
        <v>4.6821520000000021</v>
      </c>
      <c r="AC35" s="215">
        <v>0</v>
      </c>
      <c r="AD35" s="220">
        <v>0</v>
      </c>
      <c r="AE35" s="220">
        <v>0</v>
      </c>
      <c r="AF35" s="220">
        <v>0</v>
      </c>
      <c r="AG35" s="215">
        <f t="shared" ref="AG35" si="80">SUM(AB35:AF35)</f>
        <v>4.6821520000000021</v>
      </c>
      <c r="AH35" s="215">
        <f t="shared" ref="AH35" si="81">N35+AA35-AG35</f>
        <v>2500.3178480000001</v>
      </c>
      <c r="AI35" s="111"/>
      <c r="AJ35" s="52"/>
      <c r="AK35" s="111"/>
      <c r="AL35" s="111"/>
    </row>
    <row r="36" spans="1:38" s="140" customFormat="1" ht="30" customHeight="1">
      <c r="A36" s="7"/>
      <c r="B36" s="108">
        <v>27</v>
      </c>
      <c r="C36" s="240" t="s">
        <v>370</v>
      </c>
      <c r="D36" s="148" t="s">
        <v>448</v>
      </c>
      <c r="E36" s="109">
        <v>15</v>
      </c>
      <c r="F36" s="142">
        <v>121</v>
      </c>
      <c r="G36" s="117">
        <f t="shared" ref="G36:G42" si="82">E36*F36</f>
        <v>1815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215">
        <f t="shared" ref="N36:N42" si="83">SUM(G36:M36)</f>
        <v>1815</v>
      </c>
      <c r="O36" s="216"/>
      <c r="P36" s="217">
        <f t="shared" ref="P36:P42" si="84">IF(F36=47.16,0,IF(F36&gt;47.16,K36*0.5,0))</f>
        <v>0</v>
      </c>
      <c r="Q36" s="217">
        <f t="shared" ref="Q36:Q42" si="85">G36+H36+I36+L36+P36+J36</f>
        <v>1815</v>
      </c>
      <c r="R36" s="217">
        <f t="shared" ref="R36:R42" si="86">VLOOKUP(Q36,Tarifa1,1)</f>
        <v>248.04</v>
      </c>
      <c r="S36" s="217">
        <f t="shared" ref="S36:S42" si="87">Q36-R36</f>
        <v>1566.96</v>
      </c>
      <c r="T36" s="218">
        <f t="shared" ref="T36:T42" si="88">VLOOKUP(Q36,Tarifa1,3)</f>
        <v>6.4000000000000001E-2</v>
      </c>
      <c r="U36" s="217">
        <f t="shared" ref="U36:U42" si="89">S36*T36</f>
        <v>100.28544000000001</v>
      </c>
      <c r="V36" s="217">
        <f t="shared" ref="V36:V42" si="90">VLOOKUP(Q36,Tarifa1,2)</f>
        <v>4.76</v>
      </c>
      <c r="W36" s="217">
        <f t="shared" ref="W36:W42" si="91">U36+V36</f>
        <v>105.04544000000001</v>
      </c>
      <c r="X36" s="217">
        <f t="shared" ref="X36:X42" si="92">VLOOKUP(Q36,Credito1,2)</f>
        <v>191.23</v>
      </c>
      <c r="Y36" s="217">
        <f t="shared" ref="Y36:Y42" si="93">W36-X36</f>
        <v>-86.184559999999976</v>
      </c>
      <c r="Z36" s="219"/>
      <c r="AA36" s="233">
        <f t="shared" ref="AA36:AA42" si="94">-IF(Y36&gt;0,0,Y36)</f>
        <v>86.184559999999976</v>
      </c>
      <c r="AB36" s="215">
        <f t="shared" ref="AB36:AB42" si="95">IF(Y36&lt;0,0,Y36)</f>
        <v>0</v>
      </c>
      <c r="AC36" s="215">
        <v>0</v>
      </c>
      <c r="AD36" s="220">
        <v>0</v>
      </c>
      <c r="AE36" s="220">
        <v>0</v>
      </c>
      <c r="AF36" s="220">
        <v>0</v>
      </c>
      <c r="AG36" s="215">
        <f t="shared" ref="AG36:AG42" si="96">SUM(AB36:AF36)</f>
        <v>0</v>
      </c>
      <c r="AH36" s="215">
        <f t="shared" ref="AH36:AH42" si="97">N36+AA36-AG36</f>
        <v>1901.1845599999999</v>
      </c>
      <c r="AI36" s="111"/>
      <c r="AJ36" s="52"/>
      <c r="AK36" s="111"/>
      <c r="AL36" s="111"/>
    </row>
    <row r="37" spans="1:38" s="140" customFormat="1" ht="30" customHeight="1">
      <c r="A37" s="7"/>
      <c r="B37" s="108">
        <v>28</v>
      </c>
      <c r="C37" s="240" t="s">
        <v>371</v>
      </c>
      <c r="D37" s="148" t="s">
        <v>231</v>
      </c>
      <c r="E37" s="109">
        <v>15</v>
      </c>
      <c r="F37" s="142">
        <v>131</v>
      </c>
      <c r="G37" s="117">
        <f t="shared" si="82"/>
        <v>1965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215">
        <f t="shared" si="83"/>
        <v>1965</v>
      </c>
      <c r="O37" s="216"/>
      <c r="P37" s="217">
        <f t="shared" si="84"/>
        <v>0</v>
      </c>
      <c r="Q37" s="217">
        <f t="shared" si="85"/>
        <v>1965</v>
      </c>
      <c r="R37" s="217">
        <f t="shared" si="86"/>
        <v>248.04</v>
      </c>
      <c r="S37" s="217">
        <f t="shared" si="87"/>
        <v>1716.96</v>
      </c>
      <c r="T37" s="218">
        <f t="shared" si="88"/>
        <v>6.4000000000000001E-2</v>
      </c>
      <c r="U37" s="217">
        <f t="shared" si="89"/>
        <v>109.88544</v>
      </c>
      <c r="V37" s="217">
        <f t="shared" si="90"/>
        <v>4.76</v>
      </c>
      <c r="W37" s="217">
        <f t="shared" si="91"/>
        <v>114.64544000000001</v>
      </c>
      <c r="X37" s="217">
        <f t="shared" si="92"/>
        <v>191.23</v>
      </c>
      <c r="Y37" s="217">
        <f t="shared" si="93"/>
        <v>-76.584559999999982</v>
      </c>
      <c r="Z37" s="219"/>
      <c r="AA37" s="233">
        <f t="shared" si="94"/>
        <v>76.584559999999982</v>
      </c>
      <c r="AB37" s="215">
        <f t="shared" si="95"/>
        <v>0</v>
      </c>
      <c r="AC37" s="215">
        <v>0</v>
      </c>
      <c r="AD37" s="220">
        <v>0</v>
      </c>
      <c r="AE37" s="220">
        <v>0</v>
      </c>
      <c r="AF37" s="220">
        <v>0</v>
      </c>
      <c r="AG37" s="215">
        <f t="shared" si="96"/>
        <v>0</v>
      </c>
      <c r="AH37" s="215">
        <f t="shared" si="97"/>
        <v>2041.58456</v>
      </c>
      <c r="AI37" s="111"/>
      <c r="AJ37" s="52"/>
      <c r="AK37" s="111"/>
      <c r="AL37" s="111"/>
    </row>
    <row r="38" spans="1:38" s="140" customFormat="1" ht="30" customHeight="1">
      <c r="A38" s="7"/>
      <c r="B38" s="108">
        <v>29</v>
      </c>
      <c r="C38" s="240" t="s">
        <v>372</v>
      </c>
      <c r="D38" s="148" t="s">
        <v>242</v>
      </c>
      <c r="E38" s="109">
        <v>15</v>
      </c>
      <c r="F38" s="142">
        <v>131</v>
      </c>
      <c r="G38" s="117">
        <f t="shared" si="82"/>
        <v>1965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215">
        <f t="shared" si="83"/>
        <v>1965</v>
      </c>
      <c r="O38" s="216"/>
      <c r="P38" s="217">
        <f t="shared" si="84"/>
        <v>0</v>
      </c>
      <c r="Q38" s="217">
        <f t="shared" si="85"/>
        <v>1965</v>
      </c>
      <c r="R38" s="217">
        <f t="shared" si="86"/>
        <v>248.04</v>
      </c>
      <c r="S38" s="217">
        <f t="shared" si="87"/>
        <v>1716.96</v>
      </c>
      <c r="T38" s="218">
        <f t="shared" si="88"/>
        <v>6.4000000000000001E-2</v>
      </c>
      <c r="U38" s="217">
        <f t="shared" si="89"/>
        <v>109.88544</v>
      </c>
      <c r="V38" s="217">
        <f t="shared" si="90"/>
        <v>4.76</v>
      </c>
      <c r="W38" s="217">
        <f t="shared" si="91"/>
        <v>114.64544000000001</v>
      </c>
      <c r="X38" s="217">
        <f t="shared" si="92"/>
        <v>191.23</v>
      </c>
      <c r="Y38" s="217">
        <f t="shared" si="93"/>
        <v>-76.584559999999982</v>
      </c>
      <c r="Z38" s="219"/>
      <c r="AA38" s="233">
        <f t="shared" si="94"/>
        <v>76.584559999999982</v>
      </c>
      <c r="AB38" s="215">
        <f t="shared" si="95"/>
        <v>0</v>
      </c>
      <c r="AC38" s="215">
        <v>0</v>
      </c>
      <c r="AD38" s="220">
        <v>0</v>
      </c>
      <c r="AE38" s="220">
        <v>0</v>
      </c>
      <c r="AF38" s="220">
        <v>0</v>
      </c>
      <c r="AG38" s="215">
        <f t="shared" si="96"/>
        <v>0</v>
      </c>
      <c r="AH38" s="215">
        <f t="shared" si="97"/>
        <v>2041.58456</v>
      </c>
      <c r="AI38" s="111"/>
      <c r="AJ38" s="52"/>
      <c r="AK38" s="111"/>
      <c r="AL38" s="111"/>
    </row>
    <row r="39" spans="1:38" s="140" customFormat="1" ht="30" customHeight="1">
      <c r="A39" s="7"/>
      <c r="B39" s="108">
        <v>30</v>
      </c>
      <c r="C39" s="240" t="s">
        <v>373</v>
      </c>
      <c r="D39" s="148" t="s">
        <v>231</v>
      </c>
      <c r="E39" s="109">
        <v>15</v>
      </c>
      <c r="F39" s="142">
        <v>131</v>
      </c>
      <c r="G39" s="117">
        <f t="shared" si="82"/>
        <v>1965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215">
        <f t="shared" si="83"/>
        <v>1965</v>
      </c>
      <c r="O39" s="216"/>
      <c r="P39" s="217">
        <f t="shared" si="84"/>
        <v>0</v>
      </c>
      <c r="Q39" s="217">
        <f t="shared" si="85"/>
        <v>1965</v>
      </c>
      <c r="R39" s="217">
        <f t="shared" si="86"/>
        <v>248.04</v>
      </c>
      <c r="S39" s="217">
        <f t="shared" si="87"/>
        <v>1716.96</v>
      </c>
      <c r="T39" s="218">
        <f t="shared" si="88"/>
        <v>6.4000000000000001E-2</v>
      </c>
      <c r="U39" s="217">
        <f t="shared" si="89"/>
        <v>109.88544</v>
      </c>
      <c r="V39" s="217">
        <f t="shared" si="90"/>
        <v>4.76</v>
      </c>
      <c r="W39" s="217">
        <f t="shared" si="91"/>
        <v>114.64544000000001</v>
      </c>
      <c r="X39" s="217">
        <f t="shared" si="92"/>
        <v>191.23</v>
      </c>
      <c r="Y39" s="217">
        <f t="shared" si="93"/>
        <v>-76.584559999999982</v>
      </c>
      <c r="Z39" s="219"/>
      <c r="AA39" s="233">
        <f t="shared" si="94"/>
        <v>76.584559999999982</v>
      </c>
      <c r="AB39" s="215">
        <f t="shared" si="95"/>
        <v>0</v>
      </c>
      <c r="AC39" s="215">
        <v>0</v>
      </c>
      <c r="AD39" s="220">
        <v>0</v>
      </c>
      <c r="AE39" s="220">
        <v>0</v>
      </c>
      <c r="AF39" s="220">
        <v>0</v>
      </c>
      <c r="AG39" s="215">
        <f t="shared" si="96"/>
        <v>0</v>
      </c>
      <c r="AH39" s="215">
        <f t="shared" si="97"/>
        <v>2041.58456</v>
      </c>
      <c r="AI39" s="111"/>
      <c r="AJ39" s="52"/>
      <c r="AK39" s="111"/>
      <c r="AL39" s="111"/>
    </row>
    <row r="40" spans="1:38" s="140" customFormat="1" ht="30" customHeight="1">
      <c r="A40" s="7"/>
      <c r="B40" s="108">
        <v>31</v>
      </c>
      <c r="C40" s="147" t="s">
        <v>374</v>
      </c>
      <c r="D40" s="148" t="s">
        <v>231</v>
      </c>
      <c r="E40" s="109">
        <v>15</v>
      </c>
      <c r="F40" s="142">
        <v>131</v>
      </c>
      <c r="G40" s="117">
        <f t="shared" si="82"/>
        <v>1965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215">
        <f t="shared" si="83"/>
        <v>1965</v>
      </c>
      <c r="O40" s="216"/>
      <c r="P40" s="217">
        <f t="shared" si="84"/>
        <v>0</v>
      </c>
      <c r="Q40" s="217">
        <f t="shared" si="85"/>
        <v>1965</v>
      </c>
      <c r="R40" s="217">
        <f t="shared" si="86"/>
        <v>248.04</v>
      </c>
      <c r="S40" s="217">
        <f t="shared" si="87"/>
        <v>1716.96</v>
      </c>
      <c r="T40" s="218">
        <f t="shared" si="88"/>
        <v>6.4000000000000001E-2</v>
      </c>
      <c r="U40" s="217">
        <f t="shared" si="89"/>
        <v>109.88544</v>
      </c>
      <c r="V40" s="217">
        <f t="shared" si="90"/>
        <v>4.76</v>
      </c>
      <c r="W40" s="217">
        <f t="shared" si="91"/>
        <v>114.64544000000001</v>
      </c>
      <c r="X40" s="217">
        <f t="shared" si="92"/>
        <v>191.23</v>
      </c>
      <c r="Y40" s="217">
        <f t="shared" si="93"/>
        <v>-76.584559999999982</v>
      </c>
      <c r="Z40" s="219"/>
      <c r="AA40" s="233">
        <f t="shared" si="94"/>
        <v>76.584559999999982</v>
      </c>
      <c r="AB40" s="215">
        <f t="shared" si="95"/>
        <v>0</v>
      </c>
      <c r="AC40" s="215">
        <v>0</v>
      </c>
      <c r="AD40" s="220">
        <v>0</v>
      </c>
      <c r="AE40" s="220">
        <v>0</v>
      </c>
      <c r="AF40" s="220">
        <v>0</v>
      </c>
      <c r="AG40" s="215">
        <f t="shared" si="96"/>
        <v>0</v>
      </c>
      <c r="AH40" s="215">
        <f t="shared" si="97"/>
        <v>2041.58456</v>
      </c>
      <c r="AI40" s="111"/>
      <c r="AJ40" s="52"/>
      <c r="AK40" s="111"/>
      <c r="AL40" s="111"/>
    </row>
    <row r="41" spans="1:38" s="140" customFormat="1" ht="30" customHeight="1">
      <c r="A41" s="7"/>
      <c r="B41" s="108">
        <v>32</v>
      </c>
      <c r="C41" s="147" t="s">
        <v>375</v>
      </c>
      <c r="D41" s="148" t="s">
        <v>231</v>
      </c>
      <c r="E41" s="109">
        <v>15</v>
      </c>
      <c r="F41" s="142">
        <v>131</v>
      </c>
      <c r="G41" s="117">
        <f t="shared" si="82"/>
        <v>1965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215">
        <f t="shared" si="83"/>
        <v>1965</v>
      </c>
      <c r="O41" s="216"/>
      <c r="P41" s="217">
        <f t="shared" si="84"/>
        <v>0</v>
      </c>
      <c r="Q41" s="217">
        <f t="shared" si="85"/>
        <v>1965</v>
      </c>
      <c r="R41" s="217">
        <f t="shared" si="86"/>
        <v>248.04</v>
      </c>
      <c r="S41" s="217">
        <f t="shared" si="87"/>
        <v>1716.96</v>
      </c>
      <c r="T41" s="218">
        <f t="shared" si="88"/>
        <v>6.4000000000000001E-2</v>
      </c>
      <c r="U41" s="217">
        <f t="shared" si="89"/>
        <v>109.88544</v>
      </c>
      <c r="V41" s="217">
        <f t="shared" si="90"/>
        <v>4.76</v>
      </c>
      <c r="W41" s="217">
        <f t="shared" si="91"/>
        <v>114.64544000000001</v>
      </c>
      <c r="X41" s="217">
        <f t="shared" si="92"/>
        <v>191.23</v>
      </c>
      <c r="Y41" s="217">
        <f t="shared" si="93"/>
        <v>-76.584559999999982</v>
      </c>
      <c r="Z41" s="219"/>
      <c r="AA41" s="233">
        <f t="shared" si="94"/>
        <v>76.584559999999982</v>
      </c>
      <c r="AB41" s="215">
        <f t="shared" si="95"/>
        <v>0</v>
      </c>
      <c r="AC41" s="215">
        <v>0</v>
      </c>
      <c r="AD41" s="220">
        <v>0</v>
      </c>
      <c r="AE41" s="220">
        <v>0</v>
      </c>
      <c r="AF41" s="220">
        <v>0</v>
      </c>
      <c r="AG41" s="215">
        <f t="shared" si="96"/>
        <v>0</v>
      </c>
      <c r="AH41" s="215">
        <f t="shared" si="97"/>
        <v>2041.58456</v>
      </c>
      <c r="AI41" s="111"/>
      <c r="AJ41" s="52"/>
      <c r="AK41" s="111"/>
      <c r="AL41" s="111"/>
    </row>
    <row r="42" spans="1:38" s="140" customFormat="1" ht="30" customHeight="1">
      <c r="A42" s="7"/>
      <c r="B42" s="108">
        <v>33</v>
      </c>
      <c r="C42" s="147" t="s">
        <v>376</v>
      </c>
      <c r="D42" s="148" t="s">
        <v>231</v>
      </c>
      <c r="E42" s="109">
        <v>15</v>
      </c>
      <c r="F42" s="142">
        <v>131</v>
      </c>
      <c r="G42" s="117">
        <f t="shared" si="82"/>
        <v>1965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215">
        <f t="shared" si="83"/>
        <v>1965</v>
      </c>
      <c r="O42" s="216"/>
      <c r="P42" s="217">
        <f t="shared" si="84"/>
        <v>0</v>
      </c>
      <c r="Q42" s="217">
        <f t="shared" si="85"/>
        <v>1965</v>
      </c>
      <c r="R42" s="217">
        <f t="shared" si="86"/>
        <v>248.04</v>
      </c>
      <c r="S42" s="217">
        <f t="shared" si="87"/>
        <v>1716.96</v>
      </c>
      <c r="T42" s="218">
        <f t="shared" si="88"/>
        <v>6.4000000000000001E-2</v>
      </c>
      <c r="U42" s="217">
        <f t="shared" si="89"/>
        <v>109.88544</v>
      </c>
      <c r="V42" s="217">
        <f t="shared" si="90"/>
        <v>4.76</v>
      </c>
      <c r="W42" s="217">
        <f t="shared" si="91"/>
        <v>114.64544000000001</v>
      </c>
      <c r="X42" s="217">
        <f t="shared" si="92"/>
        <v>191.23</v>
      </c>
      <c r="Y42" s="217">
        <f t="shared" si="93"/>
        <v>-76.584559999999982</v>
      </c>
      <c r="Z42" s="219"/>
      <c r="AA42" s="233">
        <f t="shared" si="94"/>
        <v>76.584559999999982</v>
      </c>
      <c r="AB42" s="215">
        <f t="shared" si="95"/>
        <v>0</v>
      </c>
      <c r="AC42" s="215">
        <v>0</v>
      </c>
      <c r="AD42" s="220">
        <v>0</v>
      </c>
      <c r="AE42" s="220">
        <v>0</v>
      </c>
      <c r="AF42" s="220">
        <v>0</v>
      </c>
      <c r="AG42" s="215">
        <f t="shared" si="96"/>
        <v>0</v>
      </c>
      <c r="AH42" s="215">
        <f t="shared" si="97"/>
        <v>2041.58456</v>
      </c>
      <c r="AI42" s="111"/>
      <c r="AJ42" s="52"/>
      <c r="AK42" s="111"/>
      <c r="AL42" s="111"/>
    </row>
    <row r="43" spans="1:38" s="140" customFormat="1" ht="30" customHeight="1">
      <c r="A43" s="7"/>
      <c r="B43" s="108">
        <v>34</v>
      </c>
      <c r="C43" s="147" t="s">
        <v>378</v>
      </c>
      <c r="D43" s="148" t="s">
        <v>231</v>
      </c>
      <c r="E43" s="109">
        <v>13</v>
      </c>
      <c r="F43" s="142">
        <v>131</v>
      </c>
      <c r="G43" s="117">
        <f t="shared" ref="G43:G49" si="98">E43*F43</f>
        <v>1703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215">
        <f t="shared" ref="N43:N49" si="99">SUM(G43:M43)</f>
        <v>1703</v>
      </c>
      <c r="O43" s="216"/>
      <c r="P43" s="217">
        <f t="shared" ref="P43:P49" si="100">IF(F43=47.16,0,IF(F43&gt;47.16,K43*0.5,0))</f>
        <v>0</v>
      </c>
      <c r="Q43" s="217">
        <f t="shared" ref="Q43:Q49" si="101">G43+H43+I43+L43+P43+J43</f>
        <v>1703</v>
      </c>
      <c r="R43" s="217">
        <f t="shared" ref="R43:R49" si="102">VLOOKUP(Q43,Tarifa1,1)</f>
        <v>248.04</v>
      </c>
      <c r="S43" s="217">
        <f t="shared" ref="S43:S49" si="103">Q43-R43</f>
        <v>1454.96</v>
      </c>
      <c r="T43" s="218">
        <f t="shared" ref="T43:T49" si="104">VLOOKUP(Q43,Tarifa1,3)</f>
        <v>6.4000000000000001E-2</v>
      </c>
      <c r="U43" s="217">
        <f t="shared" ref="U43:U49" si="105">S43*T43</f>
        <v>93.117440000000002</v>
      </c>
      <c r="V43" s="217">
        <f t="shared" ref="V43:V49" si="106">VLOOKUP(Q43,Tarifa1,2)</f>
        <v>4.76</v>
      </c>
      <c r="W43" s="217">
        <f t="shared" ref="W43:W49" si="107">U43+V43</f>
        <v>97.877440000000007</v>
      </c>
      <c r="X43" s="217">
        <f t="shared" ref="X43:X49" si="108">VLOOKUP(Q43,Credito1,2)</f>
        <v>203.31</v>
      </c>
      <c r="Y43" s="217">
        <f t="shared" ref="Y43:Y49" si="109">W43-X43</f>
        <v>-105.43256</v>
      </c>
      <c r="Z43" s="219"/>
      <c r="AA43" s="233">
        <f t="shared" ref="AA43:AA49" si="110">-IF(Y43&gt;0,0,Y43)</f>
        <v>105.43256</v>
      </c>
      <c r="AB43" s="215">
        <f t="shared" ref="AB43:AB49" si="111">IF(Y43&lt;0,0,Y43)</f>
        <v>0</v>
      </c>
      <c r="AC43" s="215">
        <v>0</v>
      </c>
      <c r="AD43" s="220">
        <v>0</v>
      </c>
      <c r="AE43" s="220">
        <v>0</v>
      </c>
      <c r="AF43" s="220">
        <v>0</v>
      </c>
      <c r="AG43" s="215">
        <f t="shared" ref="AG43:AG49" si="112">SUM(AB43:AF43)</f>
        <v>0</v>
      </c>
      <c r="AH43" s="215">
        <f t="shared" ref="AH43:AH49" si="113">N43+AA43-AG43</f>
        <v>1808.43256</v>
      </c>
      <c r="AI43" s="111"/>
      <c r="AJ43" s="52"/>
      <c r="AK43" s="111"/>
      <c r="AL43" s="111"/>
    </row>
    <row r="44" spans="1:38" s="140" customFormat="1" ht="30" customHeight="1">
      <c r="A44" s="7"/>
      <c r="B44" s="108">
        <v>35</v>
      </c>
      <c r="C44" s="147" t="s">
        <v>379</v>
      </c>
      <c r="D44" s="148" t="s">
        <v>380</v>
      </c>
      <c r="E44" s="109">
        <v>13</v>
      </c>
      <c r="F44" s="142">
        <v>131</v>
      </c>
      <c r="G44" s="117">
        <f t="shared" si="98"/>
        <v>1703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215">
        <f t="shared" si="99"/>
        <v>1703</v>
      </c>
      <c r="O44" s="216"/>
      <c r="P44" s="217">
        <f t="shared" si="100"/>
        <v>0</v>
      </c>
      <c r="Q44" s="217">
        <f t="shared" si="101"/>
        <v>1703</v>
      </c>
      <c r="R44" s="217">
        <f t="shared" si="102"/>
        <v>248.04</v>
      </c>
      <c r="S44" s="217">
        <f t="shared" si="103"/>
        <v>1454.96</v>
      </c>
      <c r="T44" s="218">
        <f t="shared" si="104"/>
        <v>6.4000000000000001E-2</v>
      </c>
      <c r="U44" s="217">
        <f t="shared" si="105"/>
        <v>93.117440000000002</v>
      </c>
      <c r="V44" s="217">
        <f t="shared" si="106"/>
        <v>4.76</v>
      </c>
      <c r="W44" s="217">
        <f t="shared" si="107"/>
        <v>97.877440000000007</v>
      </c>
      <c r="X44" s="217">
        <f t="shared" si="108"/>
        <v>203.31</v>
      </c>
      <c r="Y44" s="217">
        <f t="shared" si="109"/>
        <v>-105.43256</v>
      </c>
      <c r="Z44" s="219"/>
      <c r="AA44" s="233">
        <f t="shared" si="110"/>
        <v>105.43256</v>
      </c>
      <c r="AB44" s="215">
        <f t="shared" si="111"/>
        <v>0</v>
      </c>
      <c r="AC44" s="215">
        <v>0</v>
      </c>
      <c r="AD44" s="220">
        <v>0</v>
      </c>
      <c r="AE44" s="220">
        <v>0</v>
      </c>
      <c r="AF44" s="220">
        <v>0</v>
      </c>
      <c r="AG44" s="215">
        <f t="shared" si="112"/>
        <v>0</v>
      </c>
      <c r="AH44" s="215">
        <f t="shared" si="113"/>
        <v>1808.43256</v>
      </c>
      <c r="AI44" s="111"/>
      <c r="AJ44" s="52"/>
      <c r="AK44" s="111"/>
      <c r="AL44" s="111"/>
    </row>
    <row r="45" spans="1:38" s="140" customFormat="1" ht="30" customHeight="1">
      <c r="A45" s="7"/>
      <c r="B45" s="108">
        <v>36</v>
      </c>
      <c r="C45" s="147" t="s">
        <v>381</v>
      </c>
      <c r="D45" s="148" t="s">
        <v>380</v>
      </c>
      <c r="E45" s="109">
        <v>15</v>
      </c>
      <c r="F45" s="142">
        <v>131</v>
      </c>
      <c r="G45" s="117">
        <f t="shared" si="98"/>
        <v>1965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215">
        <f t="shared" si="99"/>
        <v>1965</v>
      </c>
      <c r="O45" s="216"/>
      <c r="P45" s="217">
        <f t="shared" si="100"/>
        <v>0</v>
      </c>
      <c r="Q45" s="217">
        <f t="shared" si="101"/>
        <v>1965</v>
      </c>
      <c r="R45" s="217">
        <f t="shared" si="102"/>
        <v>248.04</v>
      </c>
      <c r="S45" s="217">
        <f t="shared" si="103"/>
        <v>1716.96</v>
      </c>
      <c r="T45" s="218">
        <f t="shared" si="104"/>
        <v>6.4000000000000001E-2</v>
      </c>
      <c r="U45" s="217">
        <f t="shared" si="105"/>
        <v>109.88544</v>
      </c>
      <c r="V45" s="217">
        <f t="shared" si="106"/>
        <v>4.76</v>
      </c>
      <c r="W45" s="217">
        <f t="shared" si="107"/>
        <v>114.64544000000001</v>
      </c>
      <c r="X45" s="217">
        <f t="shared" si="108"/>
        <v>191.23</v>
      </c>
      <c r="Y45" s="217">
        <f t="shared" si="109"/>
        <v>-76.584559999999982</v>
      </c>
      <c r="Z45" s="219"/>
      <c r="AA45" s="233">
        <f t="shared" si="110"/>
        <v>76.584559999999982</v>
      </c>
      <c r="AB45" s="215">
        <f t="shared" si="111"/>
        <v>0</v>
      </c>
      <c r="AC45" s="215">
        <v>0</v>
      </c>
      <c r="AD45" s="220">
        <v>0</v>
      </c>
      <c r="AE45" s="220">
        <v>0</v>
      </c>
      <c r="AF45" s="220">
        <v>0</v>
      </c>
      <c r="AG45" s="215">
        <f t="shared" si="112"/>
        <v>0</v>
      </c>
      <c r="AH45" s="215">
        <f t="shared" si="113"/>
        <v>2041.58456</v>
      </c>
      <c r="AI45" s="111"/>
      <c r="AJ45" s="52"/>
      <c r="AK45" s="111"/>
      <c r="AL45" s="111"/>
    </row>
    <row r="46" spans="1:38" s="140" customFormat="1" ht="30" customHeight="1">
      <c r="A46" s="7"/>
      <c r="B46" s="108">
        <v>37</v>
      </c>
      <c r="C46" s="397" t="s">
        <v>382</v>
      </c>
      <c r="D46" s="398" t="s">
        <v>383</v>
      </c>
      <c r="E46" s="399">
        <v>15</v>
      </c>
      <c r="F46" s="400">
        <v>110</v>
      </c>
      <c r="G46" s="405">
        <f t="shared" si="98"/>
        <v>1650</v>
      </c>
      <c r="H46" s="406">
        <v>0</v>
      </c>
      <c r="I46" s="406">
        <v>0</v>
      </c>
      <c r="J46" s="406">
        <v>0</v>
      </c>
      <c r="K46" s="406">
        <v>0</v>
      </c>
      <c r="L46" s="406">
        <v>0</v>
      </c>
      <c r="M46" s="406">
        <v>0</v>
      </c>
      <c r="N46" s="401">
        <f t="shared" si="99"/>
        <v>1650</v>
      </c>
      <c r="O46" s="403"/>
      <c r="P46" s="401">
        <f t="shared" si="100"/>
        <v>0</v>
      </c>
      <c r="Q46" s="401">
        <f t="shared" si="101"/>
        <v>1650</v>
      </c>
      <c r="R46" s="401">
        <f t="shared" si="102"/>
        <v>248.04</v>
      </c>
      <c r="S46" s="401">
        <f t="shared" si="103"/>
        <v>1401.96</v>
      </c>
      <c r="T46" s="404">
        <f t="shared" si="104"/>
        <v>6.4000000000000001E-2</v>
      </c>
      <c r="U46" s="401">
        <f t="shared" si="105"/>
        <v>89.725440000000006</v>
      </c>
      <c r="V46" s="401">
        <f t="shared" si="106"/>
        <v>4.76</v>
      </c>
      <c r="W46" s="401">
        <f t="shared" si="107"/>
        <v>94.485440000000011</v>
      </c>
      <c r="X46" s="401">
        <f t="shared" si="108"/>
        <v>203.31</v>
      </c>
      <c r="Y46" s="401">
        <f t="shared" si="109"/>
        <v>-108.82455999999999</v>
      </c>
      <c r="Z46" s="403"/>
      <c r="AA46" s="407">
        <f t="shared" si="110"/>
        <v>108.82455999999999</v>
      </c>
      <c r="AB46" s="401">
        <f t="shared" si="111"/>
        <v>0</v>
      </c>
      <c r="AC46" s="401">
        <v>0</v>
      </c>
      <c r="AD46" s="402">
        <v>0</v>
      </c>
      <c r="AE46" s="402">
        <v>0</v>
      </c>
      <c r="AF46" s="402">
        <v>0</v>
      </c>
      <c r="AG46" s="401">
        <f t="shared" si="112"/>
        <v>0</v>
      </c>
      <c r="AH46" s="401">
        <f t="shared" si="113"/>
        <v>1758.82456</v>
      </c>
      <c r="AI46" s="111"/>
      <c r="AJ46" s="52"/>
      <c r="AK46" s="111"/>
      <c r="AL46" s="111"/>
    </row>
    <row r="47" spans="1:38" s="140" customFormat="1" ht="30" customHeight="1">
      <c r="A47" s="7"/>
      <c r="B47" s="108">
        <v>38</v>
      </c>
      <c r="C47" s="397" t="s">
        <v>384</v>
      </c>
      <c r="D47" s="398" t="s">
        <v>385</v>
      </c>
      <c r="E47" s="399">
        <v>15</v>
      </c>
      <c r="F47" s="400">
        <v>110</v>
      </c>
      <c r="G47" s="405">
        <f t="shared" si="98"/>
        <v>1650</v>
      </c>
      <c r="H47" s="406">
        <v>0</v>
      </c>
      <c r="I47" s="406">
        <v>0</v>
      </c>
      <c r="J47" s="406">
        <v>0</v>
      </c>
      <c r="K47" s="406">
        <v>0</v>
      </c>
      <c r="L47" s="406">
        <v>0</v>
      </c>
      <c r="M47" s="406">
        <v>0</v>
      </c>
      <c r="N47" s="401">
        <f t="shared" si="99"/>
        <v>1650</v>
      </c>
      <c r="O47" s="403"/>
      <c r="P47" s="401">
        <f t="shared" si="100"/>
        <v>0</v>
      </c>
      <c r="Q47" s="401">
        <f t="shared" si="101"/>
        <v>1650</v>
      </c>
      <c r="R47" s="401">
        <f t="shared" si="102"/>
        <v>248.04</v>
      </c>
      <c r="S47" s="401">
        <f t="shared" si="103"/>
        <v>1401.96</v>
      </c>
      <c r="T47" s="404">
        <f t="shared" si="104"/>
        <v>6.4000000000000001E-2</v>
      </c>
      <c r="U47" s="401">
        <f t="shared" si="105"/>
        <v>89.725440000000006</v>
      </c>
      <c r="V47" s="401">
        <f t="shared" si="106"/>
        <v>4.76</v>
      </c>
      <c r="W47" s="401">
        <f t="shared" si="107"/>
        <v>94.485440000000011</v>
      </c>
      <c r="X47" s="401">
        <f t="shared" si="108"/>
        <v>203.31</v>
      </c>
      <c r="Y47" s="401">
        <f t="shared" si="109"/>
        <v>-108.82455999999999</v>
      </c>
      <c r="Z47" s="403"/>
      <c r="AA47" s="407">
        <f t="shared" si="110"/>
        <v>108.82455999999999</v>
      </c>
      <c r="AB47" s="401">
        <f t="shared" si="111"/>
        <v>0</v>
      </c>
      <c r="AC47" s="401">
        <v>0</v>
      </c>
      <c r="AD47" s="402">
        <v>0</v>
      </c>
      <c r="AE47" s="402">
        <v>0</v>
      </c>
      <c r="AF47" s="402">
        <v>0</v>
      </c>
      <c r="AG47" s="401">
        <f t="shared" si="112"/>
        <v>0</v>
      </c>
      <c r="AH47" s="401">
        <f t="shared" si="113"/>
        <v>1758.82456</v>
      </c>
      <c r="AI47" s="111"/>
      <c r="AJ47" s="52"/>
      <c r="AK47" s="111"/>
      <c r="AL47" s="111"/>
    </row>
    <row r="48" spans="1:38" s="140" customFormat="1" ht="30" customHeight="1">
      <c r="A48" s="7"/>
      <c r="B48" s="108">
        <v>39</v>
      </c>
      <c r="C48" s="147" t="s">
        <v>386</v>
      </c>
      <c r="D48" s="148" t="s">
        <v>380</v>
      </c>
      <c r="E48" s="109">
        <v>15</v>
      </c>
      <c r="F48" s="142">
        <v>131</v>
      </c>
      <c r="G48" s="117">
        <f t="shared" si="98"/>
        <v>1965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215">
        <f t="shared" si="99"/>
        <v>1965</v>
      </c>
      <c r="O48" s="216"/>
      <c r="P48" s="217">
        <f t="shared" si="100"/>
        <v>0</v>
      </c>
      <c r="Q48" s="217">
        <f t="shared" si="101"/>
        <v>1965</v>
      </c>
      <c r="R48" s="217">
        <f t="shared" si="102"/>
        <v>248.04</v>
      </c>
      <c r="S48" s="217">
        <f t="shared" si="103"/>
        <v>1716.96</v>
      </c>
      <c r="T48" s="218">
        <f t="shared" si="104"/>
        <v>6.4000000000000001E-2</v>
      </c>
      <c r="U48" s="217">
        <f t="shared" si="105"/>
        <v>109.88544</v>
      </c>
      <c r="V48" s="217">
        <f t="shared" si="106"/>
        <v>4.76</v>
      </c>
      <c r="W48" s="217">
        <f t="shared" si="107"/>
        <v>114.64544000000001</v>
      </c>
      <c r="X48" s="217">
        <f t="shared" si="108"/>
        <v>191.23</v>
      </c>
      <c r="Y48" s="217">
        <f t="shared" si="109"/>
        <v>-76.584559999999982</v>
      </c>
      <c r="Z48" s="219"/>
      <c r="AA48" s="233">
        <f t="shared" si="110"/>
        <v>76.584559999999982</v>
      </c>
      <c r="AB48" s="215">
        <f t="shared" si="111"/>
        <v>0</v>
      </c>
      <c r="AC48" s="215">
        <v>0</v>
      </c>
      <c r="AD48" s="220">
        <v>0</v>
      </c>
      <c r="AE48" s="220">
        <v>0</v>
      </c>
      <c r="AF48" s="220">
        <v>0</v>
      </c>
      <c r="AG48" s="215">
        <f t="shared" si="112"/>
        <v>0</v>
      </c>
      <c r="AH48" s="215">
        <f t="shared" si="113"/>
        <v>2041.58456</v>
      </c>
      <c r="AI48" s="111"/>
      <c r="AJ48" s="52"/>
      <c r="AK48" s="111"/>
      <c r="AL48" s="111"/>
    </row>
    <row r="49" spans="1:40" s="140" customFormat="1" ht="30" customHeight="1">
      <c r="A49" s="7"/>
      <c r="B49" s="108">
        <v>40</v>
      </c>
      <c r="C49" s="147" t="s">
        <v>377</v>
      </c>
      <c r="D49" s="148" t="s">
        <v>231</v>
      </c>
      <c r="E49" s="109">
        <v>13</v>
      </c>
      <c r="F49" s="142">
        <v>131</v>
      </c>
      <c r="G49" s="117">
        <f t="shared" si="98"/>
        <v>1703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215">
        <f t="shared" si="99"/>
        <v>1703</v>
      </c>
      <c r="O49" s="216"/>
      <c r="P49" s="217">
        <f t="shared" si="100"/>
        <v>0</v>
      </c>
      <c r="Q49" s="217">
        <f t="shared" si="101"/>
        <v>1703</v>
      </c>
      <c r="R49" s="217">
        <f t="shared" si="102"/>
        <v>248.04</v>
      </c>
      <c r="S49" s="217">
        <f t="shared" si="103"/>
        <v>1454.96</v>
      </c>
      <c r="T49" s="218">
        <f t="shared" si="104"/>
        <v>6.4000000000000001E-2</v>
      </c>
      <c r="U49" s="217">
        <f t="shared" si="105"/>
        <v>93.117440000000002</v>
      </c>
      <c r="V49" s="217">
        <f t="shared" si="106"/>
        <v>4.76</v>
      </c>
      <c r="W49" s="217">
        <f t="shared" si="107"/>
        <v>97.877440000000007</v>
      </c>
      <c r="X49" s="217">
        <f t="shared" si="108"/>
        <v>203.31</v>
      </c>
      <c r="Y49" s="217">
        <f t="shared" si="109"/>
        <v>-105.43256</v>
      </c>
      <c r="Z49" s="219"/>
      <c r="AA49" s="233">
        <f t="shared" si="110"/>
        <v>105.43256</v>
      </c>
      <c r="AB49" s="215">
        <f t="shared" si="111"/>
        <v>0</v>
      </c>
      <c r="AC49" s="215">
        <v>0</v>
      </c>
      <c r="AD49" s="220">
        <v>0</v>
      </c>
      <c r="AE49" s="220">
        <v>0</v>
      </c>
      <c r="AF49" s="220">
        <v>0</v>
      </c>
      <c r="AG49" s="215">
        <f t="shared" si="112"/>
        <v>0</v>
      </c>
      <c r="AH49" s="215">
        <f t="shared" si="113"/>
        <v>1808.43256</v>
      </c>
      <c r="AI49" s="111"/>
      <c r="AJ49" s="52"/>
      <c r="AK49" s="111"/>
      <c r="AL49" s="111"/>
    </row>
    <row r="50" spans="1:40" s="140" customFormat="1">
      <c r="A50" s="7"/>
      <c r="B50" s="100"/>
      <c r="C50" s="115"/>
      <c r="D50" s="115"/>
      <c r="E50" s="100"/>
      <c r="F50" s="101"/>
      <c r="G50" s="118"/>
      <c r="H50" s="102"/>
      <c r="I50" s="102"/>
      <c r="J50" s="102"/>
      <c r="K50" s="102"/>
      <c r="L50" s="102"/>
      <c r="M50" s="102"/>
      <c r="N50" s="221"/>
      <c r="O50" s="222"/>
      <c r="P50" s="223"/>
      <c r="Q50" s="224"/>
      <c r="R50" s="224"/>
      <c r="S50" s="224"/>
      <c r="T50" s="224"/>
      <c r="U50" s="224"/>
      <c r="V50" s="224"/>
      <c r="W50" s="224"/>
      <c r="X50" s="224"/>
      <c r="Y50" s="224"/>
      <c r="Z50" s="225"/>
      <c r="AA50" s="221"/>
      <c r="AB50" s="221"/>
      <c r="AC50" s="221"/>
      <c r="AD50" s="221"/>
      <c r="AE50" s="221"/>
      <c r="AF50" s="221"/>
      <c r="AG50" s="221"/>
      <c r="AH50" s="226"/>
      <c r="AI50" s="105"/>
      <c r="AJ50" s="7"/>
      <c r="AK50" s="105"/>
      <c r="AL50" s="105"/>
      <c r="AN50" s="140">
        <f>SUM(AN9:AN49)</f>
        <v>0</v>
      </c>
    </row>
    <row r="51" spans="1:40" s="140" customFormat="1">
      <c r="A51" s="7"/>
      <c r="B51" s="93"/>
      <c r="C51" s="93"/>
      <c r="D51" s="93"/>
      <c r="E51" s="92"/>
      <c r="F51" s="93"/>
      <c r="G51" s="95"/>
      <c r="H51" s="95"/>
      <c r="I51" s="95"/>
      <c r="J51" s="95"/>
      <c r="K51" s="95"/>
      <c r="L51" s="95"/>
      <c r="M51" s="95"/>
      <c r="N51" s="227"/>
      <c r="O51" s="228"/>
      <c r="P51" s="229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98"/>
      <c r="AJ51" s="7"/>
      <c r="AK51" s="98"/>
      <c r="AL51" s="98"/>
    </row>
    <row r="52" spans="1:40" s="140" customFormat="1" ht="15.75" thickBot="1">
      <c r="A52" s="7"/>
      <c r="B52" s="634" t="s">
        <v>71</v>
      </c>
      <c r="C52" s="635"/>
      <c r="D52" s="635"/>
      <c r="E52" s="635"/>
      <c r="F52" s="636"/>
      <c r="G52" s="114">
        <f t="shared" ref="G52:N52" si="114">SUM(G8:G51)</f>
        <v>81464</v>
      </c>
      <c r="H52" s="114">
        <f t="shared" si="114"/>
        <v>0</v>
      </c>
      <c r="I52" s="114">
        <f t="shared" si="114"/>
        <v>0</v>
      </c>
      <c r="J52" s="114">
        <f t="shared" si="114"/>
        <v>0</v>
      </c>
      <c r="K52" s="114">
        <f t="shared" si="114"/>
        <v>0</v>
      </c>
      <c r="L52" s="114">
        <f t="shared" si="114"/>
        <v>0</v>
      </c>
      <c r="M52" s="114">
        <f t="shared" si="114"/>
        <v>0</v>
      </c>
      <c r="N52" s="188">
        <f t="shared" si="114"/>
        <v>81464</v>
      </c>
      <c r="O52" s="189"/>
      <c r="P52" s="190">
        <f t="shared" ref="P52:Y52" si="115">SUM(P8:P51)</f>
        <v>0</v>
      </c>
      <c r="Q52" s="190">
        <f t="shared" si="115"/>
        <v>81464</v>
      </c>
      <c r="R52" s="190">
        <f t="shared" si="115"/>
        <v>31696.935000000016</v>
      </c>
      <c r="S52" s="190">
        <f t="shared" si="115"/>
        <v>49767.064999999988</v>
      </c>
      <c r="T52" s="190">
        <f t="shared" si="115"/>
        <v>3.0400000000000014</v>
      </c>
      <c r="U52" s="190">
        <f t="shared" si="115"/>
        <v>3388.8014400000006</v>
      </c>
      <c r="V52" s="190">
        <f t="shared" si="115"/>
        <v>1666.5849999999996</v>
      </c>
      <c r="W52" s="190">
        <f t="shared" si="115"/>
        <v>5055.3864400000029</v>
      </c>
      <c r="X52" s="190">
        <f t="shared" si="115"/>
        <v>7087.0699999999979</v>
      </c>
      <c r="Y52" s="190">
        <f t="shared" si="115"/>
        <v>-2031.6835599999999</v>
      </c>
      <c r="Z52" s="189"/>
      <c r="AA52" s="188">
        <f>SUM(AA8:AA51)</f>
        <v>2458.8935279999996</v>
      </c>
      <c r="AB52" s="188">
        <f t="shared" ref="AB52:AH52" si="116">SUM(AB8:AB51)</f>
        <v>427.209968</v>
      </c>
      <c r="AC52" s="188">
        <f t="shared" si="116"/>
        <v>0</v>
      </c>
      <c r="AD52" s="188">
        <f t="shared" si="116"/>
        <v>0</v>
      </c>
      <c r="AE52" s="188">
        <f t="shared" si="116"/>
        <v>0</v>
      </c>
      <c r="AF52" s="188">
        <f t="shared" si="116"/>
        <v>0</v>
      </c>
      <c r="AG52" s="188">
        <f t="shared" si="116"/>
        <v>427.209968</v>
      </c>
      <c r="AH52" s="188">
        <f t="shared" si="116"/>
        <v>83495.683560000019</v>
      </c>
      <c r="AI52" s="114"/>
      <c r="AJ52" s="7"/>
      <c r="AK52" s="114">
        <f>SUM(AK8:AK51)</f>
        <v>843.25999999999988</v>
      </c>
      <c r="AL52" s="114">
        <f>SUM(AL8:AL51)</f>
        <v>-447.62079199999982</v>
      </c>
    </row>
    <row r="53" spans="1:40" s="140" customFormat="1" ht="13.5" thickTop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59"/>
      <c r="AB53" s="159"/>
      <c r="AC53" s="159"/>
      <c r="AD53" s="159"/>
      <c r="AE53" s="159"/>
      <c r="AF53" s="159"/>
      <c r="AG53" s="159"/>
      <c r="AH53" s="159"/>
      <c r="AI53" s="7"/>
      <c r="AJ53" s="7"/>
      <c r="AK53" s="7"/>
      <c r="AL53" s="7"/>
    </row>
    <row r="56" spans="1:40">
      <c r="C56" s="52"/>
      <c r="D56" s="52"/>
    </row>
    <row r="57" spans="1:40">
      <c r="C57" s="52"/>
      <c r="D57" s="52"/>
    </row>
    <row r="58" spans="1:40">
      <c r="C58" s="52"/>
      <c r="D58" s="52"/>
    </row>
    <row r="60" spans="1:40">
      <c r="C60" s="144"/>
      <c r="D60" s="144"/>
    </row>
  </sheetData>
  <mergeCells count="6">
    <mergeCell ref="B52:F52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1" fitToHeight="2" orientation="landscape" r:id="rId1"/>
  <headerFooter alignWithMargins="0">
    <oddHeader>&amp;C&amp;"Arial,Negrita"&amp;12TEOCUITATLAN DE CORONA JALISCO              
NOMINA DEL 16 AL 31 DE OCTUBRE DE 2015   &amp;"Arial,Normal"&amp;10           
SERVICIOS PUBLICOS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9"/>
  <sheetViews>
    <sheetView showGridLines="0" zoomScale="68" zoomScaleNormal="68" workbookViewId="0">
      <selection activeCell="D25" sqref="D25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7.42578125" style="7" bestFit="1" customWidth="1"/>
    <col min="12" max="12" width="10" style="7" bestFit="1" customWidth="1"/>
    <col min="13" max="13" width="8.710937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1.42578125" style="7" bestFit="1" customWidth="1"/>
    <col min="29" max="29" width="11.28515625" style="7" hidden="1" customWidth="1"/>
    <col min="30" max="31" width="10.42578125" style="7" hidden="1" customWidth="1"/>
    <col min="32" max="32" width="11" style="7" bestFit="1" customWidth="1"/>
    <col min="33" max="33" width="11.140625" style="7" customWidth="1"/>
    <col min="34" max="34" width="13.42578125" style="7" customWidth="1"/>
    <col min="35" max="35" width="41.5703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659" t="s">
        <v>113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145"/>
      <c r="AJ2" s="7"/>
    </row>
    <row r="3" spans="1:38" s="140" customFormat="1">
      <c r="A3" s="7"/>
      <c r="B3" s="662" t="str">
        <f>'  SEGURIDAD PUBLICA  '!B3:AH3</f>
        <v>NOMINA DEL 01 AL 15 DE NOVIEMBRE DE 2015</v>
      </c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146"/>
      <c r="AJ3" s="7"/>
    </row>
    <row r="4" spans="1:38" s="140" customFormat="1">
      <c r="A4" s="7"/>
      <c r="B4" s="79"/>
      <c r="C4" s="79"/>
      <c r="D4" s="79"/>
      <c r="E4" s="80" t="s">
        <v>44</v>
      </c>
      <c r="F4" s="80" t="s">
        <v>9</v>
      </c>
      <c r="G4" s="639" t="s">
        <v>2</v>
      </c>
      <c r="H4" s="640"/>
      <c r="I4" s="640"/>
      <c r="J4" s="640"/>
      <c r="K4" s="640"/>
      <c r="L4" s="640"/>
      <c r="M4" s="640"/>
      <c r="N4" s="641"/>
      <c r="O4" s="81"/>
      <c r="P4" s="82" t="s">
        <v>49</v>
      </c>
      <c r="Q4" s="83"/>
      <c r="R4" s="642" t="s">
        <v>30</v>
      </c>
      <c r="S4" s="643"/>
      <c r="T4" s="643"/>
      <c r="U4" s="643"/>
      <c r="V4" s="643"/>
      <c r="W4" s="644"/>
      <c r="X4" s="82" t="s">
        <v>56</v>
      </c>
      <c r="Y4" s="82" t="s">
        <v>31</v>
      </c>
      <c r="Z4" s="84"/>
      <c r="AA4" s="80" t="s">
        <v>91</v>
      </c>
      <c r="AB4" s="639" t="s">
        <v>3</v>
      </c>
      <c r="AC4" s="640"/>
      <c r="AD4" s="640"/>
      <c r="AE4" s="640"/>
      <c r="AF4" s="640"/>
      <c r="AG4" s="641"/>
      <c r="AH4" s="80" t="s">
        <v>0</v>
      </c>
      <c r="AI4" s="80"/>
      <c r="AJ4" s="7"/>
      <c r="AK4" s="80" t="s">
        <v>31</v>
      </c>
      <c r="AL4" s="80"/>
    </row>
    <row r="5" spans="1:38" s="140" customFormat="1">
      <c r="A5" s="7"/>
      <c r="B5" s="85" t="s">
        <v>42</v>
      </c>
      <c r="C5" s="85" t="s">
        <v>43</v>
      </c>
      <c r="D5" s="85"/>
      <c r="E5" s="86" t="s">
        <v>45</v>
      </c>
      <c r="F5" s="85" t="s">
        <v>46</v>
      </c>
      <c r="G5" s="80" t="s">
        <v>9</v>
      </c>
      <c r="H5" s="80" t="s">
        <v>47</v>
      </c>
      <c r="I5" s="80" t="s">
        <v>47</v>
      </c>
      <c r="J5" s="80" t="s">
        <v>76</v>
      </c>
      <c r="K5" s="80" t="s">
        <v>49</v>
      </c>
      <c r="L5" s="80" t="s">
        <v>51</v>
      </c>
      <c r="M5" s="80" t="s">
        <v>51</v>
      </c>
      <c r="N5" s="80" t="s">
        <v>54</v>
      </c>
      <c r="O5" s="81"/>
      <c r="P5" s="87" t="s">
        <v>50</v>
      </c>
      <c r="Q5" s="83" t="s">
        <v>58</v>
      </c>
      <c r="R5" s="83" t="s">
        <v>33</v>
      </c>
      <c r="S5" s="83" t="s">
        <v>60</v>
      </c>
      <c r="T5" s="83" t="s">
        <v>62</v>
      </c>
      <c r="U5" s="83" t="s">
        <v>63</v>
      </c>
      <c r="V5" s="83" t="s">
        <v>35</v>
      </c>
      <c r="W5" s="83" t="s">
        <v>31</v>
      </c>
      <c r="X5" s="87" t="s">
        <v>66</v>
      </c>
      <c r="Y5" s="87" t="s">
        <v>67</v>
      </c>
      <c r="Z5" s="84"/>
      <c r="AA5" s="85" t="s">
        <v>57</v>
      </c>
      <c r="AB5" s="80" t="s">
        <v>4</v>
      </c>
      <c r="AC5" s="80" t="s">
        <v>5</v>
      </c>
      <c r="AD5" s="80" t="s">
        <v>56</v>
      </c>
      <c r="AE5" s="80" t="s">
        <v>77</v>
      </c>
      <c r="AF5" s="80"/>
      <c r="AG5" s="80" t="s">
        <v>10</v>
      </c>
      <c r="AH5" s="85" t="s">
        <v>6</v>
      </c>
      <c r="AI5" s="85" t="s">
        <v>110</v>
      </c>
      <c r="AJ5" s="7"/>
      <c r="AK5" s="85" t="s">
        <v>105</v>
      </c>
      <c r="AL5" s="85" t="s">
        <v>107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73</v>
      </c>
      <c r="H6" s="88" t="s">
        <v>79</v>
      </c>
      <c r="I6" s="88" t="s">
        <v>48</v>
      </c>
      <c r="J6" s="88"/>
      <c r="K6" s="88" t="s">
        <v>50</v>
      </c>
      <c r="L6" s="88" t="s">
        <v>52</v>
      </c>
      <c r="M6" s="88" t="s">
        <v>53</v>
      </c>
      <c r="N6" s="88" t="s">
        <v>55</v>
      </c>
      <c r="O6" s="81"/>
      <c r="P6" s="89" t="s">
        <v>69</v>
      </c>
      <c r="Q6" s="82" t="s">
        <v>59</v>
      </c>
      <c r="R6" s="82" t="s">
        <v>34</v>
      </c>
      <c r="S6" s="82" t="s">
        <v>61</v>
      </c>
      <c r="T6" s="82" t="s">
        <v>61</v>
      </c>
      <c r="U6" s="82" t="s">
        <v>64</v>
      </c>
      <c r="V6" s="82" t="s">
        <v>36</v>
      </c>
      <c r="W6" s="82" t="s">
        <v>65</v>
      </c>
      <c r="X6" s="87" t="s">
        <v>40</v>
      </c>
      <c r="Y6" s="90" t="s">
        <v>68</v>
      </c>
      <c r="Z6" s="91"/>
      <c r="AA6" s="88" t="s">
        <v>90</v>
      </c>
      <c r="AB6" s="88"/>
      <c r="AC6" s="88"/>
      <c r="AD6" s="88" t="s">
        <v>75</v>
      </c>
      <c r="AE6" s="88" t="s">
        <v>78</v>
      </c>
      <c r="AF6" s="88" t="s">
        <v>101</v>
      </c>
      <c r="AG6" s="88" t="s">
        <v>70</v>
      </c>
      <c r="AH6" s="88" t="s">
        <v>7</v>
      </c>
      <c r="AI6" s="88"/>
      <c r="AJ6" s="7"/>
      <c r="AK6" s="88" t="s">
        <v>106</v>
      </c>
      <c r="AL6" s="88"/>
    </row>
    <row r="7" spans="1:38" s="140" customFormat="1" ht="30" customHeight="1">
      <c r="A7" s="7"/>
      <c r="B7" s="85"/>
      <c r="C7" s="107" t="s">
        <v>212</v>
      </c>
      <c r="D7" s="107" t="s">
        <v>103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168</v>
      </c>
      <c r="D8" s="148" t="s">
        <v>172</v>
      </c>
      <c r="E8" s="109">
        <v>15</v>
      </c>
      <c r="F8" s="142">
        <v>285</v>
      </c>
      <c r="G8" s="117">
        <f t="shared" ref="G8:G12" si="0">E8*F8</f>
        <v>4275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92">
        <f t="shared" ref="N8:N12" si="1">SUM(G8:M8)</f>
        <v>4275</v>
      </c>
      <c r="O8" s="193"/>
      <c r="P8" s="194">
        <f t="shared" ref="P8:P12" si="2">IF(F8=47.16,0,IF(F8&gt;47.16,K8*0.5,0))</f>
        <v>0</v>
      </c>
      <c r="Q8" s="194">
        <f t="shared" ref="Q8:Q12" si="3">G8+H8+I8+L8+P8+J8</f>
        <v>4275</v>
      </c>
      <c r="R8" s="194">
        <f t="shared" ref="R8:R12" si="4">VLOOKUP(Q8,Tarifa1,1)</f>
        <v>3699.7150000000001</v>
      </c>
      <c r="S8" s="194">
        <f t="shared" ref="S8:S12" si="5">Q8-R8</f>
        <v>575.28499999999985</v>
      </c>
      <c r="T8" s="195">
        <f t="shared" ref="T8:T12" si="6">VLOOKUP(Q8,Tarifa1,3)</f>
        <v>0.16</v>
      </c>
      <c r="U8" s="194">
        <f t="shared" ref="U8:U12" si="7">S8*T8</f>
        <v>92.045599999999979</v>
      </c>
      <c r="V8" s="194">
        <f t="shared" ref="V8:V12" si="8">VLOOKUP(Q8,Tarifa1,2)</f>
        <v>297.10500000000002</v>
      </c>
      <c r="W8" s="194">
        <f t="shared" ref="W8:W12" si="9">U8+V8</f>
        <v>389.1506</v>
      </c>
      <c r="X8" s="194">
        <f t="shared" ref="X8:X12" si="10">VLOOKUP(Q8,Credito1,2)</f>
        <v>0</v>
      </c>
      <c r="Y8" s="194">
        <f t="shared" ref="Y8:Y12" si="11">W8-X8</f>
        <v>389.1506</v>
      </c>
      <c r="Z8" s="131"/>
      <c r="AA8" s="192">
        <f t="shared" ref="AA8:AA12" si="12">-IF(Y8&gt;0,0,Y8)</f>
        <v>0</v>
      </c>
      <c r="AB8" s="192">
        <f t="shared" ref="AB8:AB12" si="13">IF(Y8&lt;0,0,Y8)</f>
        <v>389.1506</v>
      </c>
      <c r="AC8" s="192">
        <v>0</v>
      </c>
      <c r="AD8" s="196">
        <v>0</v>
      </c>
      <c r="AE8" s="196">
        <v>0</v>
      </c>
      <c r="AF8" s="196">
        <v>0</v>
      </c>
      <c r="AG8" s="192">
        <f t="shared" ref="AG8:AG11" si="14">SUM(AB8:AF8)</f>
        <v>389.1506</v>
      </c>
      <c r="AH8" s="192">
        <f t="shared" ref="AH8:AH12" si="15">N8+AA8-AG8</f>
        <v>3885.8494000000001</v>
      </c>
      <c r="AI8" s="111"/>
      <c r="AJ8" s="52"/>
      <c r="AK8" s="111">
        <v>73</v>
      </c>
      <c r="AL8" s="111">
        <f>AB8-AK8</f>
        <v>316.1506</v>
      </c>
    </row>
    <row r="9" spans="1:38" s="140" customFormat="1" ht="33.950000000000003" customHeight="1">
      <c r="A9" s="7"/>
      <c r="B9" s="108">
        <v>2</v>
      </c>
      <c r="C9" s="147" t="s">
        <v>169</v>
      </c>
      <c r="D9" s="148" t="s">
        <v>475</v>
      </c>
      <c r="E9" s="109">
        <v>15</v>
      </c>
      <c r="F9" s="142">
        <v>247</v>
      </c>
      <c r="G9" s="117">
        <f t="shared" si="0"/>
        <v>3705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92">
        <f t="shared" si="1"/>
        <v>3705</v>
      </c>
      <c r="O9" s="193"/>
      <c r="P9" s="194">
        <f t="shared" si="2"/>
        <v>0</v>
      </c>
      <c r="Q9" s="194">
        <f t="shared" si="3"/>
        <v>3705</v>
      </c>
      <c r="R9" s="194">
        <f t="shared" si="4"/>
        <v>3699.7150000000001</v>
      </c>
      <c r="S9" s="194">
        <f t="shared" si="5"/>
        <v>5.2849999999998545</v>
      </c>
      <c r="T9" s="195">
        <f t="shared" si="6"/>
        <v>0.16</v>
      </c>
      <c r="U9" s="194">
        <f t="shared" si="7"/>
        <v>0.8455999999999767</v>
      </c>
      <c r="V9" s="194">
        <f t="shared" si="8"/>
        <v>297.10500000000002</v>
      </c>
      <c r="W9" s="194">
        <f t="shared" si="9"/>
        <v>297.95060000000001</v>
      </c>
      <c r="X9" s="194">
        <f t="shared" si="10"/>
        <v>0</v>
      </c>
      <c r="Y9" s="194">
        <f t="shared" si="11"/>
        <v>297.95060000000001</v>
      </c>
      <c r="Z9" s="131"/>
      <c r="AA9" s="192">
        <f t="shared" si="12"/>
        <v>0</v>
      </c>
      <c r="AB9" s="192">
        <f t="shared" si="13"/>
        <v>297.95060000000001</v>
      </c>
      <c r="AC9" s="192">
        <v>0</v>
      </c>
      <c r="AD9" s="196">
        <v>0</v>
      </c>
      <c r="AE9" s="196">
        <v>0</v>
      </c>
      <c r="AF9" s="196">
        <v>0</v>
      </c>
      <c r="AG9" s="192">
        <f t="shared" si="14"/>
        <v>297.95060000000001</v>
      </c>
      <c r="AH9" s="192">
        <f t="shared" si="15"/>
        <v>3407.0493999999999</v>
      </c>
      <c r="AI9" s="111"/>
      <c r="AJ9" s="52"/>
      <c r="AK9" s="111">
        <v>4.1399999999999864</v>
      </c>
      <c r="AL9" s="111">
        <f>AB9-AK9</f>
        <v>293.81060000000002</v>
      </c>
    </row>
    <row r="10" spans="1:38" s="140" customFormat="1" ht="33.950000000000003" customHeight="1">
      <c r="A10" s="7"/>
      <c r="B10" s="108">
        <v>3</v>
      </c>
      <c r="C10" s="147" t="s">
        <v>170</v>
      </c>
      <c r="D10" s="148" t="s">
        <v>171</v>
      </c>
      <c r="E10" s="109">
        <v>15</v>
      </c>
      <c r="F10" s="142">
        <v>167</v>
      </c>
      <c r="G10" s="117">
        <f t="shared" si="0"/>
        <v>2505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92">
        <f t="shared" si="1"/>
        <v>2505</v>
      </c>
      <c r="O10" s="193"/>
      <c r="P10" s="194">
        <f t="shared" si="2"/>
        <v>0</v>
      </c>
      <c r="Q10" s="194">
        <f t="shared" si="3"/>
        <v>2505</v>
      </c>
      <c r="R10" s="194">
        <f t="shared" si="4"/>
        <v>2105.21</v>
      </c>
      <c r="S10" s="194">
        <f t="shared" si="5"/>
        <v>399.78999999999996</v>
      </c>
      <c r="T10" s="195">
        <f t="shared" si="6"/>
        <v>0.10879999999999999</v>
      </c>
      <c r="U10" s="194">
        <f t="shared" si="7"/>
        <v>43.497151999999993</v>
      </c>
      <c r="V10" s="194">
        <f t="shared" si="8"/>
        <v>123.62</v>
      </c>
      <c r="W10" s="194">
        <f t="shared" si="9"/>
        <v>167.117152</v>
      </c>
      <c r="X10" s="194">
        <f t="shared" si="10"/>
        <v>162.435</v>
      </c>
      <c r="Y10" s="194">
        <f t="shared" si="11"/>
        <v>4.6821520000000021</v>
      </c>
      <c r="Z10" s="131"/>
      <c r="AA10" s="192">
        <f t="shared" si="12"/>
        <v>0</v>
      </c>
      <c r="AB10" s="192">
        <f t="shared" si="13"/>
        <v>4.6821520000000021</v>
      </c>
      <c r="AC10" s="192">
        <v>0</v>
      </c>
      <c r="AD10" s="196">
        <v>0</v>
      </c>
      <c r="AE10" s="196">
        <v>0</v>
      </c>
      <c r="AF10" s="196">
        <v>0</v>
      </c>
      <c r="AG10" s="192">
        <f t="shared" si="14"/>
        <v>4.6821520000000021</v>
      </c>
      <c r="AH10" s="192">
        <f t="shared" si="15"/>
        <v>2500.3178480000001</v>
      </c>
      <c r="AI10" s="111"/>
      <c r="AJ10" s="52"/>
      <c r="AK10" s="111">
        <v>46</v>
      </c>
      <c r="AL10" s="111">
        <f>AB10-AK10</f>
        <v>-41.317847999999998</v>
      </c>
    </row>
    <row r="11" spans="1:38" s="140" customFormat="1" ht="33.950000000000003" customHeight="1">
      <c r="A11" s="7"/>
      <c r="B11" s="108">
        <v>4</v>
      </c>
      <c r="C11" s="397" t="s">
        <v>392</v>
      </c>
      <c r="D11" s="398" t="s">
        <v>393</v>
      </c>
      <c r="E11" s="399">
        <v>13</v>
      </c>
      <c r="F11" s="400">
        <v>183</v>
      </c>
      <c r="G11" s="405">
        <f t="shared" si="0"/>
        <v>2379</v>
      </c>
      <c r="H11" s="406">
        <v>0</v>
      </c>
      <c r="I11" s="406">
        <f>H11</f>
        <v>0</v>
      </c>
      <c r="J11" s="406">
        <v>0</v>
      </c>
      <c r="K11" s="406">
        <v>0</v>
      </c>
      <c r="L11" s="406">
        <v>0</v>
      </c>
      <c r="M11" s="406">
        <v>0</v>
      </c>
      <c r="N11" s="409">
        <f t="shared" si="1"/>
        <v>2379</v>
      </c>
      <c r="O11" s="410"/>
      <c r="P11" s="409">
        <f t="shared" si="2"/>
        <v>0</v>
      </c>
      <c r="Q11" s="409">
        <f t="shared" si="3"/>
        <v>2379</v>
      </c>
      <c r="R11" s="409">
        <f t="shared" si="4"/>
        <v>2105.21</v>
      </c>
      <c r="S11" s="409">
        <f t="shared" si="5"/>
        <v>273.78999999999996</v>
      </c>
      <c r="T11" s="411">
        <f t="shared" si="6"/>
        <v>0.10879999999999999</v>
      </c>
      <c r="U11" s="409">
        <f t="shared" si="7"/>
        <v>29.788351999999993</v>
      </c>
      <c r="V11" s="409">
        <f t="shared" si="8"/>
        <v>123.62</v>
      </c>
      <c r="W11" s="409">
        <f t="shared" si="9"/>
        <v>153.40835200000001</v>
      </c>
      <c r="X11" s="409">
        <f t="shared" si="10"/>
        <v>162.435</v>
      </c>
      <c r="Y11" s="409">
        <f t="shared" si="11"/>
        <v>-9.0266479999999945</v>
      </c>
      <c r="Z11" s="410"/>
      <c r="AA11" s="409">
        <f t="shared" si="12"/>
        <v>9.0266479999999945</v>
      </c>
      <c r="AB11" s="409">
        <f t="shared" si="13"/>
        <v>0</v>
      </c>
      <c r="AC11" s="409">
        <v>0</v>
      </c>
      <c r="AD11" s="412">
        <v>0</v>
      </c>
      <c r="AE11" s="412">
        <v>0</v>
      </c>
      <c r="AF11" s="412">
        <v>0</v>
      </c>
      <c r="AG11" s="409">
        <f t="shared" si="14"/>
        <v>0</v>
      </c>
      <c r="AH11" s="409">
        <f t="shared" si="15"/>
        <v>2388.026648</v>
      </c>
      <c r="AI11" s="111"/>
      <c r="AJ11" s="52"/>
      <c r="AK11" s="111">
        <v>4.1399999999999864</v>
      </c>
      <c r="AL11" s="111">
        <f>AB11-AK11</f>
        <v>-4.1399999999999864</v>
      </c>
    </row>
    <row r="12" spans="1:38" s="140" customFormat="1" ht="33.950000000000003" customHeight="1">
      <c r="A12" s="7"/>
      <c r="B12" s="108">
        <v>5</v>
      </c>
      <c r="C12" s="397" t="s">
        <v>294</v>
      </c>
      <c r="D12" s="398" t="s">
        <v>296</v>
      </c>
      <c r="E12" s="399">
        <v>15</v>
      </c>
      <c r="F12" s="400">
        <v>115</v>
      </c>
      <c r="G12" s="405">
        <f t="shared" si="0"/>
        <v>1725</v>
      </c>
      <c r="H12" s="406">
        <v>0</v>
      </c>
      <c r="I12" s="406">
        <f t="shared" ref="I12" si="16">H12</f>
        <v>0</v>
      </c>
      <c r="J12" s="406">
        <v>0</v>
      </c>
      <c r="K12" s="406">
        <v>0</v>
      </c>
      <c r="L12" s="406">
        <v>0</v>
      </c>
      <c r="M12" s="406">
        <v>0</v>
      </c>
      <c r="N12" s="409">
        <f t="shared" si="1"/>
        <v>1725</v>
      </c>
      <c r="O12" s="410"/>
      <c r="P12" s="409">
        <f t="shared" si="2"/>
        <v>0</v>
      </c>
      <c r="Q12" s="409">
        <f t="shared" si="3"/>
        <v>1725</v>
      </c>
      <c r="R12" s="409">
        <f t="shared" si="4"/>
        <v>248.04</v>
      </c>
      <c r="S12" s="409">
        <f t="shared" si="5"/>
        <v>1476.96</v>
      </c>
      <c r="T12" s="411">
        <f t="shared" si="6"/>
        <v>6.4000000000000001E-2</v>
      </c>
      <c r="U12" s="409">
        <f t="shared" si="7"/>
        <v>94.525440000000003</v>
      </c>
      <c r="V12" s="409">
        <f t="shared" si="8"/>
        <v>4.76</v>
      </c>
      <c r="W12" s="409">
        <f t="shared" si="9"/>
        <v>99.285440000000008</v>
      </c>
      <c r="X12" s="409">
        <f t="shared" si="10"/>
        <v>203.31</v>
      </c>
      <c r="Y12" s="409">
        <f t="shared" si="11"/>
        <v>-104.02455999999999</v>
      </c>
      <c r="Z12" s="410"/>
      <c r="AA12" s="409">
        <f t="shared" si="12"/>
        <v>104.02455999999999</v>
      </c>
      <c r="AB12" s="409">
        <f t="shared" si="13"/>
        <v>0</v>
      </c>
      <c r="AC12" s="409">
        <v>0</v>
      </c>
      <c r="AD12" s="412">
        <v>0</v>
      </c>
      <c r="AE12" s="412">
        <v>0</v>
      </c>
      <c r="AF12" s="412">
        <v>0</v>
      </c>
      <c r="AG12" s="409">
        <f t="shared" ref="AG12" si="17">SUM(AB12:AF12)</f>
        <v>0</v>
      </c>
      <c r="AH12" s="409">
        <f t="shared" si="15"/>
        <v>1829.0245600000001</v>
      </c>
      <c r="AI12" s="111"/>
      <c r="AJ12" s="52"/>
      <c r="AK12" s="111">
        <v>73</v>
      </c>
      <c r="AL12" s="111">
        <f t="shared" ref="AL12" si="18">AB12-AK12</f>
        <v>-73</v>
      </c>
    </row>
    <row r="13" spans="1:38" s="140" customFormat="1" ht="33.950000000000003" customHeight="1">
      <c r="A13" s="7"/>
      <c r="B13" s="108">
        <v>6</v>
      </c>
      <c r="C13" s="397" t="s">
        <v>394</v>
      </c>
      <c r="D13" s="398" t="s">
        <v>220</v>
      </c>
      <c r="E13" s="399">
        <v>13</v>
      </c>
      <c r="F13" s="400">
        <v>183</v>
      </c>
      <c r="G13" s="405">
        <f t="shared" ref="G13:G15" si="19">E13*F13</f>
        <v>2379</v>
      </c>
      <c r="H13" s="406">
        <v>0</v>
      </c>
      <c r="I13" s="406">
        <f t="shared" ref="I13:I15" si="20">H13</f>
        <v>0</v>
      </c>
      <c r="J13" s="406">
        <v>0</v>
      </c>
      <c r="K13" s="406">
        <v>0</v>
      </c>
      <c r="L13" s="406">
        <v>0</v>
      </c>
      <c r="M13" s="406">
        <v>0</v>
      </c>
      <c r="N13" s="409">
        <f t="shared" ref="N13:N15" si="21">SUM(G13:M13)</f>
        <v>2379</v>
      </c>
      <c r="O13" s="410"/>
      <c r="P13" s="409">
        <f t="shared" ref="P13:P15" si="22">IF(F13=47.16,0,IF(F13&gt;47.16,K13*0.5,0))</f>
        <v>0</v>
      </c>
      <c r="Q13" s="409">
        <f t="shared" ref="Q13:Q15" si="23">G13+H13+I13+L13+P13+J13</f>
        <v>2379</v>
      </c>
      <c r="R13" s="409">
        <f t="shared" ref="R13:R15" si="24">VLOOKUP(Q13,Tarifa1,1)</f>
        <v>2105.21</v>
      </c>
      <c r="S13" s="409">
        <f t="shared" ref="S13:S15" si="25">Q13-R13</f>
        <v>273.78999999999996</v>
      </c>
      <c r="T13" s="411">
        <f t="shared" ref="T13:T15" si="26">VLOOKUP(Q13,Tarifa1,3)</f>
        <v>0.10879999999999999</v>
      </c>
      <c r="U13" s="409">
        <f t="shared" ref="U13:U15" si="27">S13*T13</f>
        <v>29.788351999999993</v>
      </c>
      <c r="V13" s="409">
        <f t="shared" ref="V13:V15" si="28">VLOOKUP(Q13,Tarifa1,2)</f>
        <v>123.62</v>
      </c>
      <c r="W13" s="409">
        <f t="shared" ref="W13:W15" si="29">U13+V13</f>
        <v>153.40835200000001</v>
      </c>
      <c r="X13" s="409">
        <f t="shared" ref="X13:X15" si="30">VLOOKUP(Q13,Credito1,2)</f>
        <v>162.435</v>
      </c>
      <c r="Y13" s="409">
        <f t="shared" ref="Y13:Y15" si="31">W13-X13</f>
        <v>-9.0266479999999945</v>
      </c>
      <c r="Z13" s="410"/>
      <c r="AA13" s="409">
        <f t="shared" ref="AA13:AA15" si="32">-IF(Y13&gt;0,0,Y13)</f>
        <v>9.0266479999999945</v>
      </c>
      <c r="AB13" s="409">
        <f t="shared" ref="AB13:AB15" si="33">IF(Y13&lt;0,0,Y13)</f>
        <v>0</v>
      </c>
      <c r="AC13" s="409">
        <v>0</v>
      </c>
      <c r="AD13" s="412">
        <v>0</v>
      </c>
      <c r="AE13" s="412">
        <v>0</v>
      </c>
      <c r="AF13" s="412">
        <v>0</v>
      </c>
      <c r="AG13" s="409">
        <f t="shared" ref="AG13:AG15" si="34">SUM(AB13:AF13)</f>
        <v>0</v>
      </c>
      <c r="AH13" s="409">
        <f t="shared" ref="AH13:AH15" si="35">N13+AA13-AG13</f>
        <v>2388.026648</v>
      </c>
      <c r="AI13" s="111"/>
      <c r="AJ13" s="52"/>
      <c r="AK13" s="111"/>
      <c r="AL13" s="111"/>
    </row>
    <row r="14" spans="1:38" s="140" customFormat="1" ht="33.950000000000003" customHeight="1">
      <c r="A14" s="7"/>
      <c r="B14" s="108">
        <v>7</v>
      </c>
      <c r="C14" s="397" t="s">
        <v>395</v>
      </c>
      <c r="D14" s="398" t="s">
        <v>476</v>
      </c>
      <c r="E14" s="399">
        <v>10</v>
      </c>
      <c r="F14" s="400">
        <v>183</v>
      </c>
      <c r="G14" s="405">
        <f t="shared" si="19"/>
        <v>1830</v>
      </c>
      <c r="H14" s="406">
        <v>0</v>
      </c>
      <c r="I14" s="406">
        <f t="shared" si="20"/>
        <v>0</v>
      </c>
      <c r="J14" s="406">
        <v>0</v>
      </c>
      <c r="K14" s="406">
        <v>0</v>
      </c>
      <c r="L14" s="406">
        <v>0</v>
      </c>
      <c r="M14" s="406">
        <v>0</v>
      </c>
      <c r="N14" s="409">
        <f t="shared" si="21"/>
        <v>1830</v>
      </c>
      <c r="O14" s="410"/>
      <c r="P14" s="409">
        <f t="shared" si="22"/>
        <v>0</v>
      </c>
      <c r="Q14" s="409">
        <f t="shared" si="23"/>
        <v>1830</v>
      </c>
      <c r="R14" s="409">
        <f t="shared" si="24"/>
        <v>248.04</v>
      </c>
      <c r="S14" s="409">
        <f t="shared" si="25"/>
        <v>1581.96</v>
      </c>
      <c r="T14" s="411">
        <f t="shared" si="26"/>
        <v>6.4000000000000001E-2</v>
      </c>
      <c r="U14" s="409">
        <f t="shared" si="27"/>
        <v>101.24544</v>
      </c>
      <c r="V14" s="409">
        <f t="shared" si="28"/>
        <v>4.76</v>
      </c>
      <c r="W14" s="409">
        <f t="shared" si="29"/>
        <v>106.00544000000001</v>
      </c>
      <c r="X14" s="409">
        <f t="shared" si="30"/>
        <v>191.23</v>
      </c>
      <c r="Y14" s="409">
        <f t="shared" si="31"/>
        <v>-85.224559999999983</v>
      </c>
      <c r="Z14" s="410"/>
      <c r="AA14" s="409">
        <f t="shared" si="32"/>
        <v>85.224559999999983</v>
      </c>
      <c r="AB14" s="409">
        <f t="shared" si="33"/>
        <v>0</v>
      </c>
      <c r="AC14" s="409">
        <v>0</v>
      </c>
      <c r="AD14" s="412">
        <v>0</v>
      </c>
      <c r="AE14" s="412">
        <v>0</v>
      </c>
      <c r="AF14" s="412">
        <v>0</v>
      </c>
      <c r="AG14" s="409">
        <f t="shared" si="34"/>
        <v>0</v>
      </c>
      <c r="AH14" s="409">
        <f t="shared" si="35"/>
        <v>1915.2245599999999</v>
      </c>
      <c r="AI14" s="111"/>
      <c r="AJ14" s="52"/>
      <c r="AK14" s="111"/>
      <c r="AL14" s="111"/>
    </row>
    <row r="15" spans="1:38" s="140" customFormat="1" ht="33.950000000000003" customHeight="1">
      <c r="A15" s="7"/>
      <c r="B15" s="108">
        <v>8</v>
      </c>
      <c r="C15" s="147" t="s">
        <v>396</v>
      </c>
      <c r="D15" s="148" t="s">
        <v>393</v>
      </c>
      <c r="E15" s="109">
        <v>15</v>
      </c>
      <c r="F15" s="142">
        <v>205</v>
      </c>
      <c r="G15" s="117">
        <f t="shared" si="19"/>
        <v>3075</v>
      </c>
      <c r="H15" s="110">
        <v>0</v>
      </c>
      <c r="I15" s="110">
        <f t="shared" si="20"/>
        <v>0</v>
      </c>
      <c r="J15" s="110">
        <v>0</v>
      </c>
      <c r="K15" s="110">
        <v>0</v>
      </c>
      <c r="L15" s="110">
        <v>0</v>
      </c>
      <c r="M15" s="110">
        <v>0</v>
      </c>
      <c r="N15" s="192">
        <f t="shared" si="21"/>
        <v>3075</v>
      </c>
      <c r="O15" s="193"/>
      <c r="P15" s="194">
        <f t="shared" si="22"/>
        <v>0</v>
      </c>
      <c r="Q15" s="194">
        <f t="shared" si="23"/>
        <v>3075</v>
      </c>
      <c r="R15" s="194">
        <f t="shared" si="24"/>
        <v>2105.21</v>
      </c>
      <c r="S15" s="194">
        <f t="shared" si="25"/>
        <v>969.79</v>
      </c>
      <c r="T15" s="195">
        <f t="shared" si="26"/>
        <v>0.10879999999999999</v>
      </c>
      <c r="U15" s="194">
        <f t="shared" si="27"/>
        <v>105.51315199999999</v>
      </c>
      <c r="V15" s="194">
        <f t="shared" si="28"/>
        <v>123.62</v>
      </c>
      <c r="W15" s="194">
        <f t="shared" si="29"/>
        <v>229.133152</v>
      </c>
      <c r="X15" s="194">
        <f t="shared" si="30"/>
        <v>147.315</v>
      </c>
      <c r="Y15" s="194">
        <f t="shared" si="31"/>
        <v>81.818151999999998</v>
      </c>
      <c r="Z15" s="131"/>
      <c r="AA15" s="192">
        <f t="shared" si="32"/>
        <v>0</v>
      </c>
      <c r="AB15" s="192">
        <f t="shared" si="33"/>
        <v>81.818151999999998</v>
      </c>
      <c r="AC15" s="192">
        <v>0</v>
      </c>
      <c r="AD15" s="196">
        <v>0</v>
      </c>
      <c r="AE15" s="196">
        <v>0</v>
      </c>
      <c r="AF15" s="196">
        <v>0</v>
      </c>
      <c r="AG15" s="192">
        <f t="shared" si="34"/>
        <v>81.818151999999998</v>
      </c>
      <c r="AH15" s="192">
        <f t="shared" si="35"/>
        <v>2993.1818480000002</v>
      </c>
      <c r="AI15" s="111"/>
      <c r="AJ15" s="52"/>
      <c r="AK15" s="111"/>
      <c r="AL15" s="111"/>
    </row>
    <row r="16" spans="1:38" s="140" customFormat="1" ht="33.950000000000003" customHeight="1">
      <c r="A16" s="7"/>
      <c r="B16" s="166">
        <v>9</v>
      </c>
      <c r="C16" s="167" t="s">
        <v>397</v>
      </c>
      <c r="D16" s="168" t="s">
        <v>476</v>
      </c>
      <c r="E16" s="169">
        <v>15</v>
      </c>
      <c r="F16" s="142">
        <v>183</v>
      </c>
      <c r="G16" s="117">
        <f t="shared" ref="G16" si="36">E16*F16</f>
        <v>2745</v>
      </c>
      <c r="H16" s="110">
        <v>0</v>
      </c>
      <c r="I16" s="110">
        <f t="shared" ref="I16" si="37">H16</f>
        <v>0</v>
      </c>
      <c r="J16" s="110">
        <v>0</v>
      </c>
      <c r="K16" s="110">
        <v>0</v>
      </c>
      <c r="L16" s="110">
        <v>0</v>
      </c>
      <c r="M16" s="110">
        <v>0</v>
      </c>
      <c r="N16" s="192">
        <f t="shared" ref="N16" si="38">SUM(G16:M16)</f>
        <v>2745</v>
      </c>
      <c r="O16" s="193"/>
      <c r="P16" s="194">
        <f t="shared" ref="P16" si="39">IF(F16=47.16,0,IF(F16&gt;47.16,K16*0.5,0))</f>
        <v>0</v>
      </c>
      <c r="Q16" s="194">
        <f t="shared" ref="Q16" si="40">G16+H16+I16+L16+P16+J16</f>
        <v>2745</v>
      </c>
      <c r="R16" s="194">
        <f t="shared" ref="R16" si="41">VLOOKUP(Q16,Tarifa1,1)</f>
        <v>2105.21</v>
      </c>
      <c r="S16" s="194">
        <f t="shared" ref="S16" si="42">Q16-R16</f>
        <v>639.79</v>
      </c>
      <c r="T16" s="195">
        <f t="shared" ref="T16" si="43">VLOOKUP(Q16,Tarifa1,3)</f>
        <v>0.10879999999999999</v>
      </c>
      <c r="U16" s="194">
        <f t="shared" ref="U16" si="44">S16*T16</f>
        <v>69.609151999999995</v>
      </c>
      <c r="V16" s="194">
        <f t="shared" ref="V16" si="45">VLOOKUP(Q16,Tarifa1,2)</f>
        <v>123.62</v>
      </c>
      <c r="W16" s="194">
        <f t="shared" ref="W16" si="46">U16+V16</f>
        <v>193.229152</v>
      </c>
      <c r="X16" s="194">
        <f t="shared" ref="X16" si="47">VLOOKUP(Q16,Credito1,2)</f>
        <v>147.315</v>
      </c>
      <c r="Y16" s="194">
        <f t="shared" ref="Y16" si="48">W16-X16</f>
        <v>45.914152000000001</v>
      </c>
      <c r="Z16" s="131"/>
      <c r="AA16" s="192">
        <f t="shared" ref="AA16" si="49">-IF(Y16&gt;0,0,Y16)</f>
        <v>0</v>
      </c>
      <c r="AB16" s="192">
        <f t="shared" ref="AB16" si="50">IF(Y16&lt;0,0,Y16)</f>
        <v>45.914152000000001</v>
      </c>
      <c r="AC16" s="192">
        <v>0</v>
      </c>
      <c r="AD16" s="196">
        <v>0</v>
      </c>
      <c r="AE16" s="196">
        <v>0</v>
      </c>
      <c r="AF16" s="196">
        <v>0</v>
      </c>
      <c r="AG16" s="192">
        <f t="shared" ref="AG16" si="51">SUM(AB16:AF16)</f>
        <v>45.914152000000001</v>
      </c>
      <c r="AH16" s="192">
        <f t="shared" ref="AH16" si="52">N16+AA16-AG16</f>
        <v>2699.0858480000002</v>
      </c>
      <c r="AI16" s="157"/>
      <c r="AJ16" s="52"/>
      <c r="AK16" s="111"/>
      <c r="AL16" s="111"/>
    </row>
    <row r="17" spans="1:38" s="140" customFormat="1" ht="33.950000000000003" customHeight="1">
      <c r="A17" s="7"/>
      <c r="B17" s="166">
        <v>10</v>
      </c>
      <c r="C17" s="167" t="s">
        <v>477</v>
      </c>
      <c r="D17" s="168" t="s">
        <v>393</v>
      </c>
      <c r="E17" s="169">
        <v>15</v>
      </c>
      <c r="F17" s="408">
        <v>330</v>
      </c>
      <c r="G17" s="117">
        <f t="shared" ref="G17" si="53">E17*F17</f>
        <v>4950</v>
      </c>
      <c r="H17" s="110">
        <v>0</v>
      </c>
      <c r="I17" s="110">
        <f t="shared" ref="I17" si="54">H17</f>
        <v>0</v>
      </c>
      <c r="J17" s="110">
        <v>0</v>
      </c>
      <c r="K17" s="110">
        <v>0</v>
      </c>
      <c r="L17" s="110">
        <v>0</v>
      </c>
      <c r="M17" s="110">
        <v>0</v>
      </c>
      <c r="N17" s="192">
        <f t="shared" ref="N17" si="55">SUM(G17:M17)</f>
        <v>4950</v>
      </c>
      <c r="O17" s="193"/>
      <c r="P17" s="194">
        <f t="shared" ref="P17" si="56">IF(F17=47.16,0,IF(F17&gt;47.16,K17*0.5,0))</f>
        <v>0</v>
      </c>
      <c r="Q17" s="194">
        <f t="shared" ref="Q17" si="57">G17+H17+I17+L17+P17+J17</f>
        <v>4950</v>
      </c>
      <c r="R17" s="194">
        <f t="shared" ref="R17" si="58">VLOOKUP(Q17,Tarifa1,1)</f>
        <v>4300.7550000000001</v>
      </c>
      <c r="S17" s="194">
        <f t="shared" ref="S17" si="59">Q17-R17</f>
        <v>649.24499999999989</v>
      </c>
      <c r="T17" s="195">
        <f t="shared" ref="T17" si="60">VLOOKUP(Q17,Tarifa1,3)</f>
        <v>0.1792</v>
      </c>
      <c r="U17" s="194">
        <f t="shared" ref="U17" si="61">S17*T17</f>
        <v>116.34470399999998</v>
      </c>
      <c r="V17" s="194">
        <f t="shared" ref="V17" si="62">VLOOKUP(Q17,Tarifa1,2)</f>
        <v>393.27</v>
      </c>
      <c r="W17" s="194">
        <f t="shared" ref="W17" si="63">U17+V17</f>
        <v>509.61470399999996</v>
      </c>
      <c r="X17" s="194">
        <f t="shared" ref="X17" si="64">VLOOKUP(Q17,Credito1,2)</f>
        <v>0</v>
      </c>
      <c r="Y17" s="194">
        <f t="shared" ref="Y17" si="65">W17-X17</f>
        <v>509.61470399999996</v>
      </c>
      <c r="Z17" s="131"/>
      <c r="AA17" s="192">
        <f t="shared" ref="AA17" si="66">-IF(Y17&gt;0,0,Y17)</f>
        <v>0</v>
      </c>
      <c r="AB17" s="192">
        <f t="shared" ref="AB17" si="67">IF(Y17&lt;0,0,Y17)</f>
        <v>509.61470399999996</v>
      </c>
      <c r="AC17" s="192">
        <v>0</v>
      </c>
      <c r="AD17" s="196">
        <v>0</v>
      </c>
      <c r="AE17" s="196">
        <v>0</v>
      </c>
      <c r="AF17" s="196">
        <v>0</v>
      </c>
      <c r="AG17" s="192">
        <f t="shared" ref="AG17" si="68">SUM(AB17:AF17)</f>
        <v>509.61470399999996</v>
      </c>
      <c r="AH17" s="192">
        <f t="shared" ref="AH17" si="69">N17+AA17-AG17</f>
        <v>4440.3852960000004</v>
      </c>
      <c r="AI17" s="157"/>
      <c r="AJ17" s="52"/>
      <c r="AK17" s="111"/>
      <c r="AL17" s="111"/>
    </row>
    <row r="18" spans="1:38" s="140" customFormat="1" ht="56.25" customHeight="1">
      <c r="A18" s="7"/>
      <c r="B18" s="241">
        <v>11</v>
      </c>
      <c r="C18" s="242" t="s">
        <v>293</v>
      </c>
      <c r="D18" s="184" t="s">
        <v>295</v>
      </c>
      <c r="E18" s="243">
        <v>15</v>
      </c>
      <c r="F18" s="244">
        <v>115</v>
      </c>
      <c r="G18" s="245">
        <f t="shared" ref="G18" si="70">E18*F18</f>
        <v>1725</v>
      </c>
      <c r="H18" s="246">
        <v>0</v>
      </c>
      <c r="I18" s="246">
        <f>H18</f>
        <v>0</v>
      </c>
      <c r="J18" s="246">
        <v>0</v>
      </c>
      <c r="K18" s="246">
        <v>0</v>
      </c>
      <c r="L18" s="246">
        <v>0</v>
      </c>
      <c r="M18" s="246">
        <v>0</v>
      </c>
      <c r="N18" s="247">
        <f t="shared" ref="N18" si="71">SUM(G18:M18)</f>
        <v>1725</v>
      </c>
      <c r="O18" s="248"/>
      <c r="P18" s="249">
        <f t="shared" ref="P18" si="72">IF(F18=47.16,0,IF(F18&gt;47.16,K18*0.5,0))</f>
        <v>0</v>
      </c>
      <c r="Q18" s="249">
        <f t="shared" ref="Q18" si="73">G18+H18+I18+L18+P18+J18</f>
        <v>1725</v>
      </c>
      <c r="R18" s="249">
        <f t="shared" ref="R18" si="74">VLOOKUP(Q18,Tarifa1,1)</f>
        <v>248.04</v>
      </c>
      <c r="S18" s="249">
        <f t="shared" ref="S18" si="75">Q18-R18</f>
        <v>1476.96</v>
      </c>
      <c r="T18" s="250">
        <f t="shared" ref="T18" si="76">VLOOKUP(Q18,Tarifa1,3)</f>
        <v>6.4000000000000001E-2</v>
      </c>
      <c r="U18" s="249">
        <f t="shared" ref="U18" si="77">S18*T18</f>
        <v>94.525440000000003</v>
      </c>
      <c r="V18" s="249">
        <f t="shared" ref="V18" si="78">VLOOKUP(Q18,Tarifa1,2)</f>
        <v>4.76</v>
      </c>
      <c r="W18" s="249">
        <f t="shared" ref="W18" si="79">U18+V18</f>
        <v>99.285440000000008</v>
      </c>
      <c r="X18" s="249">
        <f t="shared" ref="X18" si="80">VLOOKUP(Q18,Credito1,2)</f>
        <v>203.31</v>
      </c>
      <c r="Y18" s="249">
        <f t="shared" ref="Y18" si="81">W18-X18</f>
        <v>-104.02455999999999</v>
      </c>
      <c r="Z18" s="251"/>
      <c r="AA18" s="247">
        <f t="shared" ref="AA18" si="82">-IF(Y18&gt;0,0,Y18)</f>
        <v>104.02455999999999</v>
      </c>
      <c r="AB18" s="247">
        <f t="shared" ref="AB18" si="83">IF(Y18&lt;0,0,Y18)</f>
        <v>0</v>
      </c>
      <c r="AC18" s="247">
        <v>0</v>
      </c>
      <c r="AD18" s="252">
        <v>0</v>
      </c>
      <c r="AE18" s="252">
        <v>0</v>
      </c>
      <c r="AF18" s="252">
        <v>0</v>
      </c>
      <c r="AG18" s="247">
        <f t="shared" ref="AG18" si="84">SUM(AB18:AF18)</f>
        <v>0</v>
      </c>
      <c r="AH18" s="247">
        <f t="shared" ref="AH18" si="85">N18+AA18-AG18</f>
        <v>1829.0245600000001</v>
      </c>
      <c r="AI18" s="215"/>
      <c r="AJ18" s="52"/>
      <c r="AK18" s="111"/>
      <c r="AL18" s="111"/>
    </row>
    <row r="19" spans="1:38" s="140" customFormat="1">
      <c r="A19" s="7"/>
      <c r="B19" s="170"/>
      <c r="C19" s="171"/>
      <c r="D19" s="171"/>
      <c r="E19" s="170"/>
      <c r="F19" s="172"/>
      <c r="G19" s="118"/>
      <c r="H19" s="102"/>
      <c r="I19" s="102"/>
      <c r="J19" s="102"/>
      <c r="K19" s="102"/>
      <c r="L19" s="102"/>
      <c r="M19" s="102"/>
      <c r="N19" s="221"/>
      <c r="O19" s="222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221"/>
      <c r="AB19" s="221"/>
      <c r="AC19" s="221"/>
      <c r="AD19" s="221"/>
      <c r="AE19" s="221"/>
      <c r="AF19" s="221"/>
      <c r="AG19" s="221"/>
      <c r="AH19" s="226"/>
      <c r="AI19" s="226"/>
      <c r="AJ19" s="7"/>
      <c r="AK19" s="105"/>
      <c r="AL19" s="105"/>
    </row>
    <row r="20" spans="1:38" s="140" customFormat="1">
      <c r="A20" s="7"/>
      <c r="B20" s="173"/>
      <c r="C20" s="173"/>
      <c r="D20" s="173"/>
      <c r="E20" s="174"/>
      <c r="F20" s="173"/>
      <c r="G20" s="95"/>
      <c r="H20" s="95"/>
      <c r="I20" s="95"/>
      <c r="J20" s="95"/>
      <c r="K20" s="95"/>
      <c r="L20" s="95"/>
      <c r="M20" s="95"/>
      <c r="N20" s="227"/>
      <c r="O20" s="228"/>
      <c r="P20" s="229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7"/>
      <c r="AK20" s="98"/>
      <c r="AL20" s="98"/>
    </row>
    <row r="21" spans="1:38" s="140" customFormat="1" ht="15.75" thickBot="1">
      <c r="A21" s="7"/>
      <c r="B21" s="663" t="s">
        <v>71</v>
      </c>
      <c r="C21" s="664"/>
      <c r="D21" s="664"/>
      <c r="E21" s="664"/>
      <c r="F21" s="665"/>
      <c r="G21" s="158">
        <f t="shared" ref="G21:N21" si="86">SUM(G8:G20)</f>
        <v>31293</v>
      </c>
      <c r="H21" s="158">
        <f t="shared" si="86"/>
        <v>0</v>
      </c>
      <c r="I21" s="158">
        <f t="shared" si="86"/>
        <v>0</v>
      </c>
      <c r="J21" s="158">
        <f t="shared" si="86"/>
        <v>0</v>
      </c>
      <c r="K21" s="158">
        <f t="shared" si="86"/>
        <v>0</v>
      </c>
      <c r="L21" s="158">
        <f t="shared" si="86"/>
        <v>0</v>
      </c>
      <c r="M21" s="158">
        <f t="shared" si="86"/>
        <v>0</v>
      </c>
      <c r="N21" s="188">
        <f t="shared" si="86"/>
        <v>31293</v>
      </c>
      <c r="O21" s="189"/>
      <c r="P21" s="190">
        <f t="shared" ref="P21:Y21" si="87">SUM(P8:P20)</f>
        <v>0</v>
      </c>
      <c r="Q21" s="190">
        <f t="shared" si="87"/>
        <v>31293</v>
      </c>
      <c r="R21" s="190">
        <f t="shared" si="87"/>
        <v>22970.355</v>
      </c>
      <c r="S21" s="190">
        <f t="shared" si="87"/>
        <v>8322.6450000000004</v>
      </c>
      <c r="T21" s="190">
        <f t="shared" si="87"/>
        <v>1.2352000000000001</v>
      </c>
      <c r="U21" s="190">
        <f t="shared" si="87"/>
        <v>777.72838399999989</v>
      </c>
      <c r="V21" s="190">
        <f t="shared" si="87"/>
        <v>1619.86</v>
      </c>
      <c r="W21" s="190">
        <f t="shared" si="87"/>
        <v>2397.5883840000001</v>
      </c>
      <c r="X21" s="190">
        <f t="shared" si="87"/>
        <v>1379.7850000000001</v>
      </c>
      <c r="Y21" s="190">
        <f t="shared" si="87"/>
        <v>1017.8033840000002</v>
      </c>
      <c r="Z21" s="189"/>
      <c r="AA21" s="188">
        <f t="shared" ref="AA21:AH21" si="88">SUM(AA8:AA20)</f>
        <v>311.32697599999995</v>
      </c>
      <c r="AB21" s="188">
        <f t="shared" si="88"/>
        <v>1329.1303600000001</v>
      </c>
      <c r="AC21" s="188">
        <f t="shared" si="88"/>
        <v>0</v>
      </c>
      <c r="AD21" s="188">
        <f t="shared" si="88"/>
        <v>0</v>
      </c>
      <c r="AE21" s="188">
        <f t="shared" si="88"/>
        <v>0</v>
      </c>
      <c r="AF21" s="188">
        <f t="shared" si="88"/>
        <v>0</v>
      </c>
      <c r="AG21" s="188">
        <f t="shared" si="88"/>
        <v>1329.1303600000001</v>
      </c>
      <c r="AH21" s="188">
        <f t="shared" si="88"/>
        <v>30275.196616000001</v>
      </c>
      <c r="AI21" s="188"/>
      <c r="AJ21" s="7"/>
      <c r="AK21" s="114">
        <f t="shared" ref="AK21:AL21" si="89">SUM(AK8:AK20)</f>
        <v>200.27999999999997</v>
      </c>
      <c r="AL21" s="114">
        <f t="shared" si="89"/>
        <v>491.50335199999995</v>
      </c>
    </row>
    <row r="22" spans="1:38" s="140" customFormat="1" ht="13.5" thickTop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7"/>
      <c r="AK22" s="7"/>
      <c r="AL22" s="7"/>
    </row>
    <row r="23" spans="1:38"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</row>
    <row r="25" spans="1:38">
      <c r="C25" s="52"/>
      <c r="D25" s="52"/>
    </row>
    <row r="26" spans="1:38">
      <c r="C26" s="52"/>
      <c r="D26" s="52"/>
    </row>
    <row r="27" spans="1:38">
      <c r="C27" s="52"/>
      <c r="D27" s="52"/>
      <c r="N27" s="159"/>
    </row>
    <row r="28" spans="1:38">
      <c r="N28" s="159"/>
    </row>
    <row r="29" spans="1:38">
      <c r="C29" s="144"/>
      <c r="D29" s="144"/>
    </row>
  </sheetData>
  <mergeCells count="6">
    <mergeCell ref="B21:F21"/>
    <mergeCell ref="B2:AH2"/>
    <mergeCell ref="B3:AH3"/>
    <mergeCell ref="G4:N4"/>
    <mergeCell ref="R4:W4"/>
    <mergeCell ref="AB4:AG4"/>
  </mergeCells>
  <pageMargins left="0.25" right="0.25" top="0.75" bottom="0.75" header="0.3" footer="0.3"/>
  <pageSetup paperSize="5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28</vt:i4>
      </vt:variant>
    </vt:vector>
  </HeadingPairs>
  <TitlesOfParts>
    <vt:vector size="55" baseType="lpstr">
      <vt:lpstr>tarifa</vt:lpstr>
      <vt:lpstr>  SEGURIDAD PUBLICA  </vt:lpstr>
      <vt:lpstr>FOM EC=PLANEAC=COM SOC=INFORM</vt:lpstr>
      <vt:lpstr>  AGUA POTABLE  </vt:lpstr>
      <vt:lpstr>  OBR. PUBLICA  </vt:lpstr>
      <vt:lpstr>  PRESIDENCIA  </vt:lpstr>
      <vt:lpstr>  TESORERIA  </vt:lpstr>
      <vt:lpstr>  SERV. PUBLICOS  </vt:lpstr>
      <vt:lpstr>  MODULO  </vt:lpstr>
      <vt:lpstr>  CATASTRO Y REG. CIVIL  </vt:lpstr>
      <vt:lpstr>   REGIDORES PROP.  </vt:lpstr>
      <vt:lpstr>  RASTRO  </vt:lpstr>
      <vt:lpstr>FOM. AGROPECIARIO</vt:lpstr>
      <vt:lpstr>  DIF  </vt:lpstr>
      <vt:lpstr>CENTRO DE SALUD</vt:lpstr>
      <vt:lpstr>TURISMO, ECOLOGIA Y COMEDOR</vt:lpstr>
      <vt:lpstr>  PROTECCION CIVIL  </vt:lpstr>
      <vt:lpstr>  DEPORTES  </vt:lpstr>
      <vt:lpstr>  CASA DE LA CULTURA  </vt:lpstr>
      <vt:lpstr>  APOYOS MENSUALES ESCUELAS </vt:lpstr>
      <vt:lpstr>APOYOS MENSUALES COMUNIDADES</vt:lpstr>
      <vt:lpstr>Calculo ISPT MENSUAL  2015  </vt:lpstr>
      <vt:lpstr>CALCULO AGINALDO PROPORCIONAL</vt:lpstr>
      <vt:lpstr>EVENTUALES</vt:lpstr>
      <vt:lpstr>MAESTROS CULTURA</vt:lpstr>
      <vt:lpstr>AGENTES MUNICIPALES</vt:lpstr>
      <vt:lpstr>RESUMEN</vt:lpstr>
      <vt:lpstr>'   REGIDORES PROP.  '!Área_de_impresión</vt:lpstr>
      <vt:lpstr>'  AGUA POTABLE  '!Área_de_impresión</vt:lpstr>
      <vt:lpstr>'  APOYOS MENSUALES ESCUELAS '!Área_de_impresión</vt:lpstr>
      <vt:lpstr>'  CASA DE LA CULTURA  '!Área_de_impresión</vt:lpstr>
      <vt:lpstr>'  CATASTRO Y REG. CIVIL  '!Área_de_impresión</vt:lpstr>
      <vt:lpstr>'  DEPORTES  '!Área_de_impresión</vt:lpstr>
      <vt:lpstr>'  DIF  '!Área_de_impresión</vt:lpstr>
      <vt:lpstr>'  MODULO  '!Área_de_impresión</vt:lpstr>
      <vt:lpstr>'  OBR. PUBLICA  '!Área_de_impresión</vt:lpstr>
      <vt:lpstr>'  PRESIDENCIA  '!Área_de_impresión</vt:lpstr>
      <vt:lpstr>'  PROTECCION CIVIL  '!Área_de_impresión</vt:lpstr>
      <vt:lpstr>'  RASTRO  '!Área_de_impresión</vt:lpstr>
      <vt:lpstr>'  SEGURIDAD PUBLICA  '!Área_de_impresión</vt:lpstr>
      <vt:lpstr>'  TESORERIA  '!Área_de_impresión</vt:lpstr>
      <vt:lpstr>'AGENTES MUNICIPALES'!Área_de_impresión</vt:lpstr>
      <vt:lpstr>'APOYOS MENSUALES COMUNIDADES'!Área_de_impresión</vt:lpstr>
      <vt:lpstr>'Calculo ISPT MENSUAL  2015  '!Área_de_impresión</vt:lpstr>
      <vt:lpstr>EVENTUALES!Área_de_impresión</vt:lpstr>
      <vt:lpstr>'FOM EC=PLANEAC=COM SOC=INFORM'!Área_de_impresión</vt:lpstr>
      <vt:lpstr>'FOM. AGROPECIARIO'!Área_de_impresión</vt:lpstr>
      <vt:lpstr>'MAESTROS CULTURA'!Área_de_impresión</vt:lpstr>
      <vt:lpstr>'TURISMO, ECOLOGIA Y COMEDOR'!Área_de_impresión</vt:lpstr>
      <vt:lpstr>'Calculo ISPT MENSUAL  2015  '!CREDITO</vt:lpstr>
      <vt:lpstr>Credito1</vt:lpstr>
      <vt:lpstr>'Calculo ISPT MENSUAL  2015  '!TABLA</vt:lpstr>
      <vt:lpstr>'Calculo ISPT MENSUAL  2015  '!TARIFA</vt:lpstr>
      <vt:lpstr>Tarifa1</vt:lpstr>
      <vt:lpstr>'APOYOS MENSUALES COMUNIDADES'!Títulos_a_imprimir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2016-07-01T12:55:16Z</cp:lastPrinted>
  <dcterms:created xsi:type="dcterms:W3CDTF">2000-05-05T04:08:27Z</dcterms:created>
  <dcterms:modified xsi:type="dcterms:W3CDTF">2016-07-21T18:52:48Z</dcterms:modified>
</cp:coreProperties>
</file>