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 firstSheet="19" activeTab="23"/>
  </bookViews>
  <sheets>
    <sheet name="01-15 ENERO " sheetId="1" r:id="rId1"/>
    <sheet name="16-31 ENERO" sheetId="2" r:id="rId2"/>
    <sheet name="01-15 FEBRERO" sheetId="3" r:id="rId3"/>
    <sheet name="16-28 FEBRERO" sheetId="4" r:id="rId4"/>
    <sheet name="01-15 MARZO" sheetId="5" r:id="rId5"/>
    <sheet name="16-31 MARZO" sheetId="6" r:id="rId6"/>
    <sheet name="01-15 ABRIL" sheetId="7" r:id="rId7"/>
    <sheet name="16-30 ABRIL" sheetId="10" r:id="rId8"/>
    <sheet name="01-15 MAYO" sheetId="11" r:id="rId9"/>
    <sheet name="16-31 MAYO" sheetId="12" r:id="rId10"/>
    <sheet name="01-15 JUNIO" sheetId="13" r:id="rId11"/>
    <sheet name="16-30 JUNIO" sheetId="14" r:id="rId12"/>
    <sheet name="01-15 JULIO" sheetId="15" r:id="rId13"/>
    <sheet name="16-31 JULIO" sheetId="16" r:id="rId14"/>
    <sheet name="01-15 AGOSTO" sheetId="17" r:id="rId15"/>
    <sheet name="16-30 AGOSTO" sheetId="18" r:id="rId16"/>
    <sheet name="01-15 SEPTIEMBRE" sheetId="19" r:id="rId17"/>
    <sheet name="16-30 SEPTIEMBRE " sheetId="21" r:id="rId18"/>
    <sheet name="01-15 OCTUBRE" sheetId="22" r:id="rId19"/>
    <sheet name="16-31 OCTUBRE" sheetId="23" r:id="rId20"/>
    <sheet name="01-15 NOVIEMBRE" sheetId="8" r:id="rId21"/>
    <sheet name="16-30 NOVIEMBRE" sheetId="9" r:id="rId22"/>
    <sheet name="01-15 DICIEMBRE" sheetId="25" r:id="rId23"/>
    <sheet name="16-31 DICIEMBRE" sheetId="26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xlnm.Print_Titles" localSheetId="6">'01-15 ABRIL'!$3:$9</definedName>
    <definedName name="_xlnm.Print_Titles" localSheetId="14">'01-15 AGOSTO'!$3:$9</definedName>
    <definedName name="_xlnm.Print_Titles" localSheetId="22">'01-15 DICIEMBRE'!$3:$9</definedName>
    <definedName name="_xlnm.Print_Titles" localSheetId="0">'01-15 ENERO '!$3:$9</definedName>
    <definedName name="_xlnm.Print_Titles" localSheetId="2">'01-15 FEBRERO'!$3:$9</definedName>
    <definedName name="_xlnm.Print_Titles" localSheetId="12">'01-15 JULIO'!$3:$9</definedName>
    <definedName name="_xlnm.Print_Titles" localSheetId="10">'01-15 JUNIO'!$3:$9</definedName>
    <definedName name="_xlnm.Print_Titles" localSheetId="4">'01-15 MARZO'!$3:$9</definedName>
    <definedName name="_xlnm.Print_Titles" localSheetId="8">'01-15 MAYO'!$3:$9</definedName>
    <definedName name="_xlnm.Print_Titles" localSheetId="20">'01-15 NOVIEMBRE'!$3:$9</definedName>
    <definedName name="_xlnm.Print_Titles" localSheetId="18">'01-15 OCTUBRE'!$3:$9</definedName>
    <definedName name="_xlnm.Print_Titles" localSheetId="16">'01-15 SEPTIEMBRE'!$3:$9</definedName>
    <definedName name="_xlnm.Print_Titles" localSheetId="3">'16-28 FEBRERO'!$3:$9</definedName>
    <definedName name="_xlnm.Print_Titles" localSheetId="7">'16-30 ABRIL'!$3:$9</definedName>
    <definedName name="_xlnm.Print_Titles" localSheetId="15">'16-30 AGOSTO'!$3:$9</definedName>
    <definedName name="_xlnm.Print_Titles" localSheetId="11">'16-30 JUNIO'!$3:$9</definedName>
    <definedName name="_xlnm.Print_Titles" localSheetId="21">'16-30 NOVIEMBRE'!$3:$9</definedName>
    <definedName name="_xlnm.Print_Titles" localSheetId="17">'16-30 SEPTIEMBRE '!$3:$9</definedName>
    <definedName name="_xlnm.Print_Titles" localSheetId="23">'16-31 DICIEMBRE'!$3:$9</definedName>
    <definedName name="_xlnm.Print_Titles" localSheetId="1">'16-31 ENERO'!$3:$9</definedName>
    <definedName name="_xlnm.Print_Titles" localSheetId="13">'16-31 JULIO'!$3:$9</definedName>
    <definedName name="_xlnm.Print_Titles" localSheetId="5">'16-31 MARZO'!$3:$9</definedName>
    <definedName name="_xlnm.Print_Titles" localSheetId="9">'16-31 MAYO'!$3:$9</definedName>
    <definedName name="_xlnm.Print_Titles" localSheetId="19">'16-31 OCTUBRE'!$3:$9</definedName>
  </definedNames>
  <calcPr calcId="125725"/>
</workbook>
</file>

<file path=xl/calcChain.xml><?xml version="1.0" encoding="utf-8"?>
<calcChain xmlns="http://schemas.openxmlformats.org/spreadsheetml/2006/main">
  <c r="V38" i="26"/>
  <c r="F38"/>
  <c r="E38"/>
  <c r="D38"/>
  <c r="C38"/>
  <c r="Z37"/>
  <c r="X37"/>
  <c r="Q37"/>
  <c r="L37"/>
  <c r="K37"/>
  <c r="J37"/>
  <c r="H37"/>
  <c r="G37"/>
  <c r="I37" s="1"/>
  <c r="Z36"/>
  <c r="X36"/>
  <c r="Q36"/>
  <c r="L36"/>
  <c r="K36"/>
  <c r="J36"/>
  <c r="H36"/>
  <c r="G36"/>
  <c r="I36" s="1"/>
  <c r="Z35"/>
  <c r="X35"/>
  <c r="Q35"/>
  <c r="L35"/>
  <c r="K35"/>
  <c r="J35"/>
  <c r="I35"/>
  <c r="R35" s="1"/>
  <c r="W35" s="1"/>
  <c r="H35"/>
  <c r="G35"/>
  <c r="X34"/>
  <c r="Q34"/>
  <c r="L34"/>
  <c r="K34"/>
  <c r="J34"/>
  <c r="Z34" s="1"/>
  <c r="I34"/>
  <c r="R34" s="1"/>
  <c r="H34"/>
  <c r="G34"/>
  <c r="Z33"/>
  <c r="X33"/>
  <c r="Q33"/>
  <c r="L33"/>
  <c r="K33"/>
  <c r="J33"/>
  <c r="H33"/>
  <c r="G33"/>
  <c r="I33" s="1"/>
  <c r="X32"/>
  <c r="Q32"/>
  <c r="L32"/>
  <c r="K32"/>
  <c r="J32"/>
  <c r="Z32" s="1"/>
  <c r="H32"/>
  <c r="G32"/>
  <c r="I32" s="1"/>
  <c r="Z31"/>
  <c r="X31"/>
  <c r="Q31"/>
  <c r="L31"/>
  <c r="K31"/>
  <c r="J31"/>
  <c r="I31"/>
  <c r="R31" s="1"/>
  <c r="W31" s="1"/>
  <c r="H31"/>
  <c r="G31"/>
  <c r="X30"/>
  <c r="V30"/>
  <c r="Q30"/>
  <c r="L30"/>
  <c r="K30"/>
  <c r="J30"/>
  <c r="Z30" s="1"/>
  <c r="H30"/>
  <c r="G30"/>
  <c r="I30" s="1"/>
  <c r="X29"/>
  <c r="Q29"/>
  <c r="L29"/>
  <c r="K29"/>
  <c r="J29"/>
  <c r="Z29" s="1"/>
  <c r="H29"/>
  <c r="G29"/>
  <c r="I29" s="1"/>
  <c r="X28"/>
  <c r="Q28"/>
  <c r="L28"/>
  <c r="K28"/>
  <c r="J28"/>
  <c r="Z28" s="1"/>
  <c r="I28"/>
  <c r="R28" s="1"/>
  <c r="H28"/>
  <c r="G28"/>
  <c r="X27"/>
  <c r="V27"/>
  <c r="Q27"/>
  <c r="L27"/>
  <c r="K27"/>
  <c r="J27"/>
  <c r="Z27" s="1"/>
  <c r="H27"/>
  <c r="I27" s="1"/>
  <c r="G27"/>
  <c r="X26"/>
  <c r="Q26"/>
  <c r="L26"/>
  <c r="K26"/>
  <c r="J26"/>
  <c r="Z26" s="1"/>
  <c r="H26"/>
  <c r="G26"/>
  <c r="I26" s="1"/>
  <c r="Z25"/>
  <c r="X25"/>
  <c r="Q25"/>
  <c r="L25"/>
  <c r="K25"/>
  <c r="J25"/>
  <c r="H25"/>
  <c r="G25"/>
  <c r="I25" s="1"/>
  <c r="X24"/>
  <c r="Q24"/>
  <c r="L24"/>
  <c r="K24"/>
  <c r="J24"/>
  <c r="Z24" s="1"/>
  <c r="I24"/>
  <c r="P24" s="1"/>
  <c r="H24"/>
  <c r="G24"/>
  <c r="Z23"/>
  <c r="X23"/>
  <c r="Q23"/>
  <c r="L23"/>
  <c r="K23"/>
  <c r="J23"/>
  <c r="H23"/>
  <c r="G23"/>
  <c r="I23" s="1"/>
  <c r="X22"/>
  <c r="Q22"/>
  <c r="L22"/>
  <c r="K22"/>
  <c r="J22"/>
  <c r="Z22" s="1"/>
  <c r="H22"/>
  <c r="I22" s="1"/>
  <c r="G22"/>
  <c r="X21"/>
  <c r="Q21"/>
  <c r="L21"/>
  <c r="K21"/>
  <c r="J21"/>
  <c r="Z21" s="1"/>
  <c r="H21"/>
  <c r="G21"/>
  <c r="I21" s="1"/>
  <c r="Z20"/>
  <c r="X20"/>
  <c r="U20"/>
  <c r="S20"/>
  <c r="Q20"/>
  <c r="M20"/>
  <c r="L20"/>
  <c r="K20"/>
  <c r="J20"/>
  <c r="H20"/>
  <c r="G20"/>
  <c r="I20" s="1"/>
  <c r="X19"/>
  <c r="U19"/>
  <c r="Q19"/>
  <c r="L19"/>
  <c r="K19"/>
  <c r="J19"/>
  <c r="Z19" s="1"/>
  <c r="H19"/>
  <c r="I19" s="1"/>
  <c r="G19"/>
  <c r="Z18"/>
  <c r="X18"/>
  <c r="S18"/>
  <c r="Q18"/>
  <c r="P18"/>
  <c r="L18"/>
  <c r="K18"/>
  <c r="J18"/>
  <c r="I18"/>
  <c r="R18" s="1"/>
  <c r="H18"/>
  <c r="G18"/>
  <c r="X17"/>
  <c r="Q17"/>
  <c r="L17"/>
  <c r="K17"/>
  <c r="J17"/>
  <c r="Z17" s="1"/>
  <c r="H17"/>
  <c r="G17"/>
  <c r="I17" s="1"/>
  <c r="X16"/>
  <c r="V16"/>
  <c r="U16"/>
  <c r="S16"/>
  <c r="Q16"/>
  <c r="L16"/>
  <c r="K16"/>
  <c r="J16"/>
  <c r="Z16" s="1"/>
  <c r="H16"/>
  <c r="I16" s="1"/>
  <c r="G16"/>
  <c r="X15"/>
  <c r="U15"/>
  <c r="S15"/>
  <c r="Q15"/>
  <c r="O15"/>
  <c r="L15"/>
  <c r="K15"/>
  <c r="J15"/>
  <c r="Z15" s="1"/>
  <c r="I15"/>
  <c r="T15" s="1"/>
  <c r="H15"/>
  <c r="G15"/>
  <c r="X14"/>
  <c r="S14"/>
  <c r="Q14"/>
  <c r="O14"/>
  <c r="M14"/>
  <c r="L14"/>
  <c r="K14"/>
  <c r="J14"/>
  <c r="Z14" s="1"/>
  <c r="H14"/>
  <c r="G14"/>
  <c r="I14" s="1"/>
  <c r="X13"/>
  <c r="U13"/>
  <c r="Q13"/>
  <c r="M13"/>
  <c r="L13"/>
  <c r="K13"/>
  <c r="J13"/>
  <c r="Z13" s="1"/>
  <c r="H13"/>
  <c r="G13"/>
  <c r="I13" s="1"/>
  <c r="Z12"/>
  <c r="X12"/>
  <c r="U12"/>
  <c r="Q12"/>
  <c r="M12"/>
  <c r="M38" s="1"/>
  <c r="L12"/>
  <c r="K12"/>
  <c r="J12"/>
  <c r="H12"/>
  <c r="G12"/>
  <c r="I12" s="1"/>
  <c r="X11"/>
  <c r="U11"/>
  <c r="S11"/>
  <c r="S38" s="1"/>
  <c r="Q11"/>
  <c r="O11"/>
  <c r="O38" s="1"/>
  <c r="L11"/>
  <c r="K11"/>
  <c r="J11"/>
  <c r="Z11" s="1"/>
  <c r="I11"/>
  <c r="T11" s="1"/>
  <c r="H11"/>
  <c r="G11"/>
  <c r="X10"/>
  <c r="X38" s="1"/>
  <c r="U10"/>
  <c r="U38" s="1"/>
  <c r="Q10"/>
  <c r="L10"/>
  <c r="L38" s="1"/>
  <c r="K10"/>
  <c r="K38" s="1"/>
  <c r="J10"/>
  <c r="Z10" s="1"/>
  <c r="I10"/>
  <c r="H10"/>
  <c r="H38" s="1"/>
  <c r="G10"/>
  <c r="G38" s="1"/>
  <c r="P29" l="1"/>
  <c r="Y29" s="1"/>
  <c r="R29"/>
  <c r="W29" s="1"/>
  <c r="P36"/>
  <c r="Y36" s="1"/>
  <c r="R36"/>
  <c r="W36" s="1"/>
  <c r="T14"/>
  <c r="W14" s="1"/>
  <c r="P14"/>
  <c r="R14"/>
  <c r="R21"/>
  <c r="T21"/>
  <c r="W21" s="1"/>
  <c r="P21"/>
  <c r="P22"/>
  <c r="Y22" s="1"/>
  <c r="R22"/>
  <c r="W22" s="1"/>
  <c r="P30"/>
  <c r="R30"/>
  <c r="P33"/>
  <c r="R33"/>
  <c r="W15"/>
  <c r="W33"/>
  <c r="Y24"/>
  <c r="R12"/>
  <c r="T12"/>
  <c r="N12"/>
  <c r="P12"/>
  <c r="P32"/>
  <c r="R32"/>
  <c r="W32" s="1"/>
  <c r="R37"/>
  <c r="P37"/>
  <c r="Y37" s="1"/>
  <c r="P13"/>
  <c r="R13"/>
  <c r="T13"/>
  <c r="T17"/>
  <c r="R17"/>
  <c r="P17"/>
  <c r="W30"/>
  <c r="Z38"/>
  <c r="W12"/>
  <c r="W28"/>
  <c r="R20"/>
  <c r="W20" s="1"/>
  <c r="T20"/>
  <c r="P20"/>
  <c r="T16"/>
  <c r="P16"/>
  <c r="R16"/>
  <c r="R19"/>
  <c r="T19"/>
  <c r="W19" s="1"/>
  <c r="P19"/>
  <c r="T23"/>
  <c r="R23"/>
  <c r="P23"/>
  <c r="P25"/>
  <c r="Y25" s="1"/>
  <c r="R25"/>
  <c r="W25" s="1"/>
  <c r="R26"/>
  <c r="W26" s="1"/>
  <c r="T26"/>
  <c r="P26"/>
  <c r="P27"/>
  <c r="T27"/>
  <c r="R27"/>
  <c r="W27" s="1"/>
  <c r="W13"/>
  <c r="W34"/>
  <c r="W37"/>
  <c r="N10"/>
  <c r="N38" s="1"/>
  <c r="N11"/>
  <c r="T18"/>
  <c r="W18" s="1"/>
  <c r="Y18" s="1"/>
  <c r="P28"/>
  <c r="P35"/>
  <c r="Y35" s="1"/>
  <c r="J38"/>
  <c r="R10"/>
  <c r="R38" s="1"/>
  <c r="R15"/>
  <c r="T24"/>
  <c r="P34"/>
  <c r="I38"/>
  <c r="Q38"/>
  <c r="T10"/>
  <c r="R11"/>
  <c r="W11" s="1"/>
  <c r="P31"/>
  <c r="Y31" s="1"/>
  <c r="P11"/>
  <c r="Y11" s="1"/>
  <c r="R24"/>
  <c r="W24" s="1"/>
  <c r="P15"/>
  <c r="Y26" l="1"/>
  <c r="Y19"/>
  <c r="W17"/>
  <c r="Y13"/>
  <c r="Y32"/>
  <c r="Y21"/>
  <c r="Y14"/>
  <c r="Y12"/>
  <c r="Y30"/>
  <c r="T38"/>
  <c r="Y27"/>
  <c r="W16"/>
  <c r="Y16" s="1"/>
  <c r="P10"/>
  <c r="Y17"/>
  <c r="Y33"/>
  <c r="Y28"/>
  <c r="Y15"/>
  <c r="Y34"/>
  <c r="W23"/>
  <c r="Y23" s="1"/>
  <c r="Y20"/>
  <c r="W10"/>
  <c r="W38" s="1"/>
  <c r="Y10" l="1"/>
  <c r="Y38" s="1"/>
  <c r="P38"/>
  <c r="V38" i="25" l="1"/>
  <c r="F38"/>
  <c r="E38"/>
  <c r="D38"/>
  <c r="C38"/>
  <c r="Z37"/>
  <c r="X37"/>
  <c r="Q37"/>
  <c r="L37"/>
  <c r="K37"/>
  <c r="J37"/>
  <c r="H37"/>
  <c r="G37"/>
  <c r="I37" s="1"/>
  <c r="Z36"/>
  <c r="X36"/>
  <c r="Q36"/>
  <c r="L36"/>
  <c r="K36"/>
  <c r="J36"/>
  <c r="H36"/>
  <c r="G36"/>
  <c r="I36" s="1"/>
  <c r="Z35"/>
  <c r="X35"/>
  <c r="Q35"/>
  <c r="L35"/>
  <c r="K35"/>
  <c r="J35"/>
  <c r="I35"/>
  <c r="R35" s="1"/>
  <c r="W35" s="1"/>
  <c r="H35"/>
  <c r="G35"/>
  <c r="X34"/>
  <c r="Q34"/>
  <c r="L34"/>
  <c r="K34"/>
  <c r="J34"/>
  <c r="Z34" s="1"/>
  <c r="I34"/>
  <c r="R34" s="1"/>
  <c r="H34"/>
  <c r="G34"/>
  <c r="Z33"/>
  <c r="X33"/>
  <c r="Q33"/>
  <c r="L33"/>
  <c r="K33"/>
  <c r="J33"/>
  <c r="H33"/>
  <c r="G33"/>
  <c r="I33" s="1"/>
  <c r="Z32"/>
  <c r="X32"/>
  <c r="Q32"/>
  <c r="L32"/>
  <c r="K32"/>
  <c r="J32"/>
  <c r="H32"/>
  <c r="G32"/>
  <c r="I32" s="1"/>
  <c r="Z31"/>
  <c r="X31"/>
  <c r="Q31"/>
  <c r="L31"/>
  <c r="K31"/>
  <c r="J31"/>
  <c r="I31"/>
  <c r="P31" s="1"/>
  <c r="H31"/>
  <c r="G31"/>
  <c r="X30"/>
  <c r="V30"/>
  <c r="Q30"/>
  <c r="L30"/>
  <c r="K30"/>
  <c r="J30"/>
  <c r="Z30" s="1"/>
  <c r="H30"/>
  <c r="G30"/>
  <c r="I30" s="1"/>
  <c r="Z29"/>
  <c r="X29"/>
  <c r="Q29"/>
  <c r="L29"/>
  <c r="K29"/>
  <c r="J29"/>
  <c r="H29"/>
  <c r="G29"/>
  <c r="I29" s="1"/>
  <c r="Z28"/>
  <c r="X28"/>
  <c r="Q28"/>
  <c r="L28"/>
  <c r="K28"/>
  <c r="J28"/>
  <c r="I28"/>
  <c r="P28" s="1"/>
  <c r="H28"/>
  <c r="G28"/>
  <c r="X27"/>
  <c r="V27"/>
  <c r="Q27"/>
  <c r="L27"/>
  <c r="K27"/>
  <c r="J27"/>
  <c r="Z27" s="1"/>
  <c r="H27"/>
  <c r="G27"/>
  <c r="I27" s="1"/>
  <c r="X26"/>
  <c r="Q26"/>
  <c r="L26"/>
  <c r="K26"/>
  <c r="J26"/>
  <c r="Z26" s="1"/>
  <c r="I26"/>
  <c r="R26" s="1"/>
  <c r="H26"/>
  <c r="G26"/>
  <c r="Z25"/>
  <c r="X25"/>
  <c r="Q25"/>
  <c r="L25"/>
  <c r="K25"/>
  <c r="J25"/>
  <c r="H25"/>
  <c r="G25"/>
  <c r="I25" s="1"/>
  <c r="Z24"/>
  <c r="X24"/>
  <c r="Q24"/>
  <c r="L24"/>
  <c r="K24"/>
  <c r="J24"/>
  <c r="I24"/>
  <c r="T24" s="1"/>
  <c r="H24"/>
  <c r="G24"/>
  <c r="X23"/>
  <c r="Q23"/>
  <c r="L23"/>
  <c r="K23"/>
  <c r="J23"/>
  <c r="Z23" s="1"/>
  <c r="H23"/>
  <c r="G23"/>
  <c r="I23" s="1"/>
  <c r="Z22"/>
  <c r="X22"/>
  <c r="Q22"/>
  <c r="L22"/>
  <c r="K22"/>
  <c r="J22"/>
  <c r="H22"/>
  <c r="G22"/>
  <c r="I22" s="1"/>
  <c r="X21"/>
  <c r="Q21"/>
  <c r="L21"/>
  <c r="K21"/>
  <c r="J21"/>
  <c r="Z21" s="1"/>
  <c r="I21"/>
  <c r="R21" s="1"/>
  <c r="H21"/>
  <c r="G21"/>
  <c r="Z20"/>
  <c r="X20"/>
  <c r="U20"/>
  <c r="S20"/>
  <c r="Q20"/>
  <c r="M20"/>
  <c r="L20"/>
  <c r="K20"/>
  <c r="J20"/>
  <c r="H20"/>
  <c r="G20"/>
  <c r="I20" s="1"/>
  <c r="X19"/>
  <c r="U19"/>
  <c r="Q19"/>
  <c r="L19"/>
  <c r="K19"/>
  <c r="J19"/>
  <c r="Z19" s="1"/>
  <c r="I19"/>
  <c r="R19" s="1"/>
  <c r="H19"/>
  <c r="G19"/>
  <c r="Z18"/>
  <c r="X18"/>
  <c r="S18"/>
  <c r="Q18"/>
  <c r="L18"/>
  <c r="K18"/>
  <c r="J18"/>
  <c r="I18"/>
  <c r="P18" s="1"/>
  <c r="H18"/>
  <c r="G18"/>
  <c r="X17"/>
  <c r="Q17"/>
  <c r="L17"/>
  <c r="K17"/>
  <c r="J17"/>
  <c r="Z17" s="1"/>
  <c r="H17"/>
  <c r="G17"/>
  <c r="I17" s="1"/>
  <c r="Z16"/>
  <c r="X16"/>
  <c r="V16"/>
  <c r="U16"/>
  <c r="S16"/>
  <c r="Q16"/>
  <c r="L16"/>
  <c r="K16"/>
  <c r="J16"/>
  <c r="H16"/>
  <c r="G16"/>
  <c r="I16" s="1"/>
  <c r="Z15"/>
  <c r="X15"/>
  <c r="U15"/>
  <c r="S15"/>
  <c r="Q15"/>
  <c r="O15"/>
  <c r="L15"/>
  <c r="K15"/>
  <c r="J15"/>
  <c r="I15"/>
  <c r="T15" s="1"/>
  <c r="H15"/>
  <c r="G15"/>
  <c r="X14"/>
  <c r="S14"/>
  <c r="Q14"/>
  <c r="O14"/>
  <c r="M14"/>
  <c r="L14"/>
  <c r="K14"/>
  <c r="J14"/>
  <c r="Z14" s="1"/>
  <c r="I14"/>
  <c r="T14" s="1"/>
  <c r="H14"/>
  <c r="G14"/>
  <c r="X13"/>
  <c r="U13"/>
  <c r="Q13"/>
  <c r="M13"/>
  <c r="M38" s="1"/>
  <c r="L13"/>
  <c r="K13"/>
  <c r="J13"/>
  <c r="Z13" s="1"/>
  <c r="I13"/>
  <c r="T13" s="1"/>
  <c r="H13"/>
  <c r="G13"/>
  <c r="Z12"/>
  <c r="X12"/>
  <c r="U12"/>
  <c r="Q12"/>
  <c r="M12"/>
  <c r="L12"/>
  <c r="K12"/>
  <c r="J12"/>
  <c r="H12"/>
  <c r="G12"/>
  <c r="I12" s="1"/>
  <c r="Z11"/>
  <c r="X11"/>
  <c r="U11"/>
  <c r="U38" s="1"/>
  <c r="S11"/>
  <c r="S38" s="1"/>
  <c r="Q11"/>
  <c r="Q38" s="1"/>
  <c r="O11"/>
  <c r="O38" s="1"/>
  <c r="L11"/>
  <c r="K11"/>
  <c r="J11"/>
  <c r="I11"/>
  <c r="R11" s="1"/>
  <c r="H11"/>
  <c r="G11"/>
  <c r="X10"/>
  <c r="X38" s="1"/>
  <c r="U10"/>
  <c r="Q10"/>
  <c r="L10"/>
  <c r="L38" s="1"/>
  <c r="K10"/>
  <c r="K38" s="1"/>
  <c r="J10"/>
  <c r="Z10" s="1"/>
  <c r="Z38" s="1"/>
  <c r="I10"/>
  <c r="H10"/>
  <c r="H38" s="1"/>
  <c r="G10"/>
  <c r="G38" s="1"/>
  <c r="P36" l="1"/>
  <c r="Y36" s="1"/>
  <c r="R36"/>
  <c r="W36" s="1"/>
  <c r="P33"/>
  <c r="R33"/>
  <c r="N12"/>
  <c r="P12" s="1"/>
  <c r="Y12" s="1"/>
  <c r="R12"/>
  <c r="T12"/>
  <c r="R20"/>
  <c r="W20" s="1"/>
  <c r="P20"/>
  <c r="T20"/>
  <c r="P29"/>
  <c r="R29"/>
  <c r="W29" s="1"/>
  <c r="P30"/>
  <c r="Y30" s="1"/>
  <c r="R30"/>
  <c r="Y31"/>
  <c r="W33"/>
  <c r="W14"/>
  <c r="T17"/>
  <c r="R17"/>
  <c r="P17"/>
  <c r="P37"/>
  <c r="R37"/>
  <c r="P32"/>
  <c r="Y32" s="1"/>
  <c r="R32"/>
  <c r="W32" s="1"/>
  <c r="T16"/>
  <c r="P16"/>
  <c r="Y16" s="1"/>
  <c r="R16"/>
  <c r="W16" s="1"/>
  <c r="P22"/>
  <c r="R22"/>
  <c r="W22" s="1"/>
  <c r="T23"/>
  <c r="R23"/>
  <c r="W23" s="1"/>
  <c r="P23"/>
  <c r="R25"/>
  <c r="W25" s="1"/>
  <c r="P25"/>
  <c r="P27"/>
  <c r="T27"/>
  <c r="R27"/>
  <c r="W27" s="1"/>
  <c r="W12"/>
  <c r="W19"/>
  <c r="W30"/>
  <c r="W17"/>
  <c r="W34"/>
  <c r="W37"/>
  <c r="T10"/>
  <c r="N11"/>
  <c r="T18"/>
  <c r="P35"/>
  <c r="Y35" s="1"/>
  <c r="J38"/>
  <c r="R14"/>
  <c r="P19"/>
  <c r="P26"/>
  <c r="I38"/>
  <c r="P11"/>
  <c r="T11"/>
  <c r="W11" s="1"/>
  <c r="R13"/>
  <c r="W13" s="1"/>
  <c r="R18"/>
  <c r="W18" s="1"/>
  <c r="Y18" s="1"/>
  <c r="T19"/>
  <c r="T21"/>
  <c r="W21" s="1"/>
  <c r="R24"/>
  <c r="W24" s="1"/>
  <c r="T26"/>
  <c r="W26" s="1"/>
  <c r="R28"/>
  <c r="W28" s="1"/>
  <c r="Y28" s="1"/>
  <c r="R31"/>
  <c r="W31" s="1"/>
  <c r="N10"/>
  <c r="N38" s="1"/>
  <c r="P13"/>
  <c r="P24"/>
  <c r="R10"/>
  <c r="R15"/>
  <c r="W15" s="1"/>
  <c r="P21"/>
  <c r="P34"/>
  <c r="Y34" s="1"/>
  <c r="P14"/>
  <c r="P15"/>
  <c r="Y15" s="1"/>
  <c r="Y26" l="1"/>
  <c r="Y25"/>
  <c r="Y13"/>
  <c r="Y27"/>
  <c r="Y24"/>
  <c r="Y11"/>
  <c r="P10"/>
  <c r="Y23"/>
  <c r="Y22"/>
  <c r="Y17"/>
  <c r="Y33"/>
  <c r="Y21"/>
  <c r="T38"/>
  <c r="Y20"/>
  <c r="Y14"/>
  <c r="R38"/>
  <c r="Y19"/>
  <c r="W10"/>
  <c r="W38" s="1"/>
  <c r="Y37"/>
  <c r="Y29"/>
  <c r="P38" l="1"/>
  <c r="Y10"/>
  <c r="Y38" s="1"/>
  <c r="V38" i="23" l="1"/>
  <c r="F38"/>
  <c r="E38"/>
  <c r="D38"/>
  <c r="C38"/>
  <c r="Z37"/>
  <c r="X37"/>
  <c r="Q37"/>
  <c r="L37"/>
  <c r="K37"/>
  <c r="J37"/>
  <c r="H37"/>
  <c r="G37"/>
  <c r="I37" s="1"/>
  <c r="Z36"/>
  <c r="X36"/>
  <c r="Q36"/>
  <c r="L36"/>
  <c r="K36"/>
  <c r="J36"/>
  <c r="H36"/>
  <c r="G36"/>
  <c r="I36" s="1"/>
  <c r="Z35"/>
  <c r="X35"/>
  <c r="Q35"/>
  <c r="L35"/>
  <c r="K35"/>
  <c r="J35"/>
  <c r="I35"/>
  <c r="R35" s="1"/>
  <c r="W35" s="1"/>
  <c r="H35"/>
  <c r="G35"/>
  <c r="X34"/>
  <c r="Q34"/>
  <c r="L34"/>
  <c r="K34"/>
  <c r="J34"/>
  <c r="Z34" s="1"/>
  <c r="I34"/>
  <c r="R34" s="1"/>
  <c r="H34"/>
  <c r="G34"/>
  <c r="Z33"/>
  <c r="X33"/>
  <c r="Q33"/>
  <c r="L33"/>
  <c r="K33"/>
  <c r="J33"/>
  <c r="H33"/>
  <c r="G33"/>
  <c r="I33" s="1"/>
  <c r="Z32"/>
  <c r="X32"/>
  <c r="Q32"/>
  <c r="L32"/>
  <c r="K32"/>
  <c r="J32"/>
  <c r="H32"/>
  <c r="G32"/>
  <c r="I32" s="1"/>
  <c r="Z31"/>
  <c r="X31"/>
  <c r="Q31"/>
  <c r="L31"/>
  <c r="K31"/>
  <c r="J31"/>
  <c r="I31"/>
  <c r="P31" s="1"/>
  <c r="H31"/>
  <c r="G31"/>
  <c r="X30"/>
  <c r="Q30"/>
  <c r="L30"/>
  <c r="K30"/>
  <c r="J30"/>
  <c r="Z30" s="1"/>
  <c r="I30"/>
  <c r="R30" s="1"/>
  <c r="H30"/>
  <c r="G30"/>
  <c r="Z29"/>
  <c r="X29"/>
  <c r="Q29"/>
  <c r="L29"/>
  <c r="K29"/>
  <c r="J29"/>
  <c r="H29"/>
  <c r="G29"/>
  <c r="I29" s="1"/>
  <c r="Z28"/>
  <c r="X28"/>
  <c r="Q28"/>
  <c r="L28"/>
  <c r="K28"/>
  <c r="J28"/>
  <c r="H28"/>
  <c r="G28"/>
  <c r="I28" s="1"/>
  <c r="X27"/>
  <c r="V27"/>
  <c r="Q27"/>
  <c r="L27"/>
  <c r="K27"/>
  <c r="J27"/>
  <c r="Z27" s="1"/>
  <c r="I27"/>
  <c r="R27" s="1"/>
  <c r="H27"/>
  <c r="G27"/>
  <c r="Z26"/>
  <c r="X26"/>
  <c r="Q26"/>
  <c r="L26"/>
  <c r="K26"/>
  <c r="J26"/>
  <c r="H26"/>
  <c r="G26"/>
  <c r="I26" s="1"/>
  <c r="Z25"/>
  <c r="X25"/>
  <c r="Q25"/>
  <c r="L25"/>
  <c r="K25"/>
  <c r="J25"/>
  <c r="H25"/>
  <c r="G25"/>
  <c r="I25" s="1"/>
  <c r="Z24"/>
  <c r="X24"/>
  <c r="Q24"/>
  <c r="L24"/>
  <c r="K24"/>
  <c r="J24"/>
  <c r="I24"/>
  <c r="P24" s="1"/>
  <c r="H24"/>
  <c r="G24"/>
  <c r="X23"/>
  <c r="Q23"/>
  <c r="L23"/>
  <c r="K23"/>
  <c r="J23"/>
  <c r="Z23" s="1"/>
  <c r="H23"/>
  <c r="G23"/>
  <c r="I23" s="1"/>
  <c r="Z22"/>
  <c r="X22"/>
  <c r="Q22"/>
  <c r="L22"/>
  <c r="K22"/>
  <c r="J22"/>
  <c r="H22"/>
  <c r="G22"/>
  <c r="I22" s="1"/>
  <c r="X21"/>
  <c r="Q21"/>
  <c r="L21"/>
  <c r="K21"/>
  <c r="J21"/>
  <c r="Z21" s="1"/>
  <c r="I21"/>
  <c r="R21" s="1"/>
  <c r="H21"/>
  <c r="G21"/>
  <c r="Z20"/>
  <c r="X20"/>
  <c r="U20"/>
  <c r="S20"/>
  <c r="Q20"/>
  <c r="M20"/>
  <c r="L20"/>
  <c r="K20"/>
  <c r="J20"/>
  <c r="H20"/>
  <c r="G20"/>
  <c r="I20" s="1"/>
  <c r="X19"/>
  <c r="U19"/>
  <c r="Q19"/>
  <c r="L19"/>
  <c r="K19"/>
  <c r="J19"/>
  <c r="Z19" s="1"/>
  <c r="I19"/>
  <c r="R19" s="1"/>
  <c r="H19"/>
  <c r="G19"/>
  <c r="Z18"/>
  <c r="X18"/>
  <c r="S18"/>
  <c r="Q18"/>
  <c r="L18"/>
  <c r="K18"/>
  <c r="J18"/>
  <c r="I18"/>
  <c r="T18" s="1"/>
  <c r="H18"/>
  <c r="G18"/>
  <c r="X17"/>
  <c r="Q17"/>
  <c r="L17"/>
  <c r="K17"/>
  <c r="J17"/>
  <c r="Z17" s="1"/>
  <c r="H17"/>
  <c r="G17"/>
  <c r="I17" s="1"/>
  <c r="Z16"/>
  <c r="X16"/>
  <c r="V16"/>
  <c r="U16"/>
  <c r="S16"/>
  <c r="Q16"/>
  <c r="L16"/>
  <c r="K16"/>
  <c r="J16"/>
  <c r="H16"/>
  <c r="G16"/>
  <c r="I16" s="1"/>
  <c r="Z15"/>
  <c r="X15"/>
  <c r="U15"/>
  <c r="S15"/>
  <c r="Q15"/>
  <c r="O15"/>
  <c r="L15"/>
  <c r="K15"/>
  <c r="J15"/>
  <c r="I15"/>
  <c r="T15" s="1"/>
  <c r="H15"/>
  <c r="G15"/>
  <c r="X14"/>
  <c r="S14"/>
  <c r="Q14"/>
  <c r="O14"/>
  <c r="M14"/>
  <c r="L14"/>
  <c r="K14"/>
  <c r="J14"/>
  <c r="Z14" s="1"/>
  <c r="I14"/>
  <c r="T14" s="1"/>
  <c r="H14"/>
  <c r="G14"/>
  <c r="Z13"/>
  <c r="X13"/>
  <c r="U13"/>
  <c r="Q13"/>
  <c r="O13"/>
  <c r="M13"/>
  <c r="L13"/>
  <c r="K13"/>
  <c r="J13"/>
  <c r="H13"/>
  <c r="G13"/>
  <c r="I13" s="1"/>
  <c r="Z12"/>
  <c r="X12"/>
  <c r="U12"/>
  <c r="Q12"/>
  <c r="O12"/>
  <c r="M12"/>
  <c r="M38" s="1"/>
  <c r="L12"/>
  <c r="K12"/>
  <c r="J12"/>
  <c r="I12"/>
  <c r="R12" s="1"/>
  <c r="H12"/>
  <c r="G12"/>
  <c r="X11"/>
  <c r="U11"/>
  <c r="S11"/>
  <c r="S38" s="1"/>
  <c r="Q11"/>
  <c r="O11"/>
  <c r="O38" s="1"/>
  <c r="L11"/>
  <c r="K11"/>
  <c r="J11"/>
  <c r="Z11" s="1"/>
  <c r="H11"/>
  <c r="G11"/>
  <c r="I11" s="1"/>
  <c r="X10"/>
  <c r="X38" s="1"/>
  <c r="U10"/>
  <c r="U38" s="1"/>
  <c r="Q10"/>
  <c r="Q38" s="1"/>
  <c r="L10"/>
  <c r="L38" s="1"/>
  <c r="K10"/>
  <c r="K38" s="1"/>
  <c r="J10"/>
  <c r="Z10" s="1"/>
  <c r="Z38" s="1"/>
  <c r="H10"/>
  <c r="H38" s="1"/>
  <c r="G10"/>
  <c r="G38" s="1"/>
  <c r="P28" l="1"/>
  <c r="Y28" s="1"/>
  <c r="R28"/>
  <c r="W28" s="1"/>
  <c r="R29"/>
  <c r="P29"/>
  <c r="T17"/>
  <c r="P17"/>
  <c r="R17"/>
  <c r="P36"/>
  <c r="R36"/>
  <c r="W36" s="1"/>
  <c r="P37"/>
  <c r="Y37" s="1"/>
  <c r="R37"/>
  <c r="W19"/>
  <c r="W17"/>
  <c r="W30"/>
  <c r="Y31"/>
  <c r="W33"/>
  <c r="R13"/>
  <c r="W13" s="1"/>
  <c r="T13"/>
  <c r="P13"/>
  <c r="P32"/>
  <c r="Y32" s="1"/>
  <c r="R32"/>
  <c r="W32" s="1"/>
  <c r="P33"/>
  <c r="R33"/>
  <c r="R20"/>
  <c r="W20" s="1"/>
  <c r="T20"/>
  <c r="P20"/>
  <c r="R11"/>
  <c r="W11" s="1"/>
  <c r="N11"/>
  <c r="P11" s="1"/>
  <c r="Y11" s="1"/>
  <c r="T11"/>
  <c r="T16"/>
  <c r="P16"/>
  <c r="Y16" s="1"/>
  <c r="R16"/>
  <c r="W16" s="1"/>
  <c r="P22"/>
  <c r="R22"/>
  <c r="W22" s="1"/>
  <c r="T23"/>
  <c r="R23"/>
  <c r="W23" s="1"/>
  <c r="P23"/>
  <c r="P25"/>
  <c r="R25"/>
  <c r="W25" s="1"/>
  <c r="P26"/>
  <c r="Y26" s="1"/>
  <c r="R26"/>
  <c r="W27"/>
  <c r="W29"/>
  <c r="W14"/>
  <c r="W26"/>
  <c r="W18"/>
  <c r="W34"/>
  <c r="W37"/>
  <c r="P18"/>
  <c r="P35"/>
  <c r="Y35" s="1"/>
  <c r="J38"/>
  <c r="P12"/>
  <c r="P21"/>
  <c r="P27"/>
  <c r="Y27" s="1"/>
  <c r="P30"/>
  <c r="Y30" s="1"/>
  <c r="P34"/>
  <c r="I10"/>
  <c r="T12"/>
  <c r="W12" s="1"/>
  <c r="R18"/>
  <c r="T19"/>
  <c r="T21"/>
  <c r="W21" s="1"/>
  <c r="R24"/>
  <c r="W24" s="1"/>
  <c r="Y24" s="1"/>
  <c r="R31"/>
  <c r="W31" s="1"/>
  <c r="R14"/>
  <c r="R15"/>
  <c r="W15" s="1"/>
  <c r="P19"/>
  <c r="N12"/>
  <c r="P14"/>
  <c r="P15"/>
  <c r="Y21" l="1"/>
  <c r="Y19"/>
  <c r="Y23"/>
  <c r="Y22"/>
  <c r="Y20"/>
  <c r="Y33"/>
  <c r="R10"/>
  <c r="T10"/>
  <c r="T38" s="1"/>
  <c r="N10"/>
  <c r="N38" s="1"/>
  <c r="I38"/>
  <c r="P10"/>
  <c r="Y15"/>
  <c r="Y18"/>
  <c r="Y17"/>
  <c r="Y14"/>
  <c r="Y34"/>
  <c r="Y12"/>
  <c r="Y25"/>
  <c r="Y13"/>
  <c r="Y36"/>
  <c r="Y29"/>
  <c r="P38" l="1"/>
  <c r="R38"/>
  <c r="W10"/>
  <c r="W38" s="1"/>
  <c r="Y10" l="1"/>
  <c r="Y38" s="1"/>
  <c r="AA39" i="22" l="1"/>
  <c r="R39"/>
  <c r="Q39"/>
  <c r="O39"/>
  <c r="N39"/>
  <c r="K39"/>
  <c r="F39"/>
  <c r="E39"/>
  <c r="D39"/>
  <c r="C39"/>
  <c r="AE38"/>
  <c r="AC38"/>
  <c r="V38"/>
  <c r="M38"/>
  <c r="L38"/>
  <c r="J38"/>
  <c r="H38"/>
  <c r="G38"/>
  <c r="I38" s="1"/>
  <c r="AE37"/>
  <c r="AC37"/>
  <c r="V37"/>
  <c r="M37"/>
  <c r="L37"/>
  <c r="J37"/>
  <c r="I37"/>
  <c r="W37" s="1"/>
  <c r="AB37" s="1"/>
  <c r="H37"/>
  <c r="G37"/>
  <c r="AC36"/>
  <c r="V36"/>
  <c r="M36"/>
  <c r="L36"/>
  <c r="J36"/>
  <c r="AE36" s="1"/>
  <c r="I36"/>
  <c r="W36" s="1"/>
  <c r="H36"/>
  <c r="G36"/>
  <c r="AE35"/>
  <c r="AC35"/>
  <c r="V35"/>
  <c r="M35"/>
  <c r="L35"/>
  <c r="J35"/>
  <c r="H35"/>
  <c r="G35"/>
  <c r="I35" s="1"/>
  <c r="AE34"/>
  <c r="AC34"/>
  <c r="V34"/>
  <c r="M34"/>
  <c r="L34"/>
  <c r="J34"/>
  <c r="H34"/>
  <c r="G34"/>
  <c r="I34" s="1"/>
  <c r="AC33"/>
  <c r="V33"/>
  <c r="M33"/>
  <c r="L33"/>
  <c r="J33"/>
  <c r="AE33" s="1"/>
  <c r="I33"/>
  <c r="W33" s="1"/>
  <c r="AB33" s="1"/>
  <c r="H33"/>
  <c r="G33"/>
  <c r="AC32"/>
  <c r="V32"/>
  <c r="M32"/>
  <c r="L32"/>
  <c r="J32"/>
  <c r="AE32" s="1"/>
  <c r="I32"/>
  <c r="W32" s="1"/>
  <c r="H32"/>
  <c r="G32"/>
  <c r="AE31"/>
  <c r="AC31"/>
  <c r="V31"/>
  <c r="M31"/>
  <c r="L31"/>
  <c r="J31"/>
  <c r="H31"/>
  <c r="G31"/>
  <c r="I31" s="1"/>
  <c r="AE30"/>
  <c r="AC30"/>
  <c r="V30"/>
  <c r="M30"/>
  <c r="L30"/>
  <c r="J30"/>
  <c r="H30"/>
  <c r="G30"/>
  <c r="I30" s="1"/>
  <c r="AC29"/>
  <c r="V29"/>
  <c r="M29"/>
  <c r="L29"/>
  <c r="J29"/>
  <c r="AE29" s="1"/>
  <c r="I29"/>
  <c r="W29" s="1"/>
  <c r="AB29" s="1"/>
  <c r="H29"/>
  <c r="G29"/>
  <c r="AC28"/>
  <c r="V28"/>
  <c r="M28"/>
  <c r="L28"/>
  <c r="J28"/>
  <c r="AE28" s="1"/>
  <c r="I28"/>
  <c r="W28" s="1"/>
  <c r="H28"/>
  <c r="G28"/>
  <c r="AE27"/>
  <c r="AC27"/>
  <c r="V27"/>
  <c r="M27"/>
  <c r="L27"/>
  <c r="J27"/>
  <c r="H27"/>
  <c r="G27"/>
  <c r="I27" s="1"/>
  <c r="AE26"/>
  <c r="AC26"/>
  <c r="V26"/>
  <c r="M26"/>
  <c r="L26"/>
  <c r="J26"/>
  <c r="H26"/>
  <c r="G26"/>
  <c r="I26" s="1"/>
  <c r="AC25"/>
  <c r="V25"/>
  <c r="M25"/>
  <c r="L25"/>
  <c r="J25"/>
  <c r="AE25" s="1"/>
  <c r="I25"/>
  <c r="U25" s="1"/>
  <c r="H25"/>
  <c r="G25"/>
  <c r="AC24"/>
  <c r="V24"/>
  <c r="M24"/>
  <c r="L24"/>
  <c r="J24"/>
  <c r="AE24" s="1"/>
  <c r="H24"/>
  <c r="G24"/>
  <c r="I24" s="1"/>
  <c r="AE23"/>
  <c r="AC23"/>
  <c r="V23"/>
  <c r="M23"/>
  <c r="L23"/>
  <c r="J23"/>
  <c r="H23"/>
  <c r="G23"/>
  <c r="I23" s="1"/>
  <c r="AC22"/>
  <c r="V22"/>
  <c r="M22"/>
  <c r="L22"/>
  <c r="J22"/>
  <c r="AE22" s="1"/>
  <c r="I22"/>
  <c r="W22" s="1"/>
  <c r="H22"/>
  <c r="G22"/>
  <c r="AE21"/>
  <c r="AC21"/>
  <c r="Z21"/>
  <c r="X21"/>
  <c r="V21"/>
  <c r="P21"/>
  <c r="M21"/>
  <c r="L21"/>
  <c r="J21"/>
  <c r="H21"/>
  <c r="G21"/>
  <c r="I21" s="1"/>
  <c r="AC20"/>
  <c r="Z20"/>
  <c r="V20"/>
  <c r="M20"/>
  <c r="L20"/>
  <c r="J20"/>
  <c r="AE20" s="1"/>
  <c r="I20"/>
  <c r="W20" s="1"/>
  <c r="H20"/>
  <c r="G20"/>
  <c r="AE19"/>
  <c r="AC19"/>
  <c r="X19"/>
  <c r="V19"/>
  <c r="M19"/>
  <c r="L19"/>
  <c r="J19"/>
  <c r="I19"/>
  <c r="Y19" s="1"/>
  <c r="H19"/>
  <c r="G19"/>
  <c r="AC18"/>
  <c r="V18"/>
  <c r="M18"/>
  <c r="L18"/>
  <c r="J18"/>
  <c r="AE18" s="1"/>
  <c r="H18"/>
  <c r="G18"/>
  <c r="I18" s="1"/>
  <c r="AC17"/>
  <c r="Z17"/>
  <c r="X17"/>
  <c r="V17"/>
  <c r="M17"/>
  <c r="L17"/>
  <c r="J17"/>
  <c r="AE17" s="1"/>
  <c r="H17"/>
  <c r="G17"/>
  <c r="I17" s="1"/>
  <c r="AE16"/>
  <c r="AC16"/>
  <c r="Z16"/>
  <c r="X16"/>
  <c r="V16"/>
  <c r="T16"/>
  <c r="M16"/>
  <c r="L16"/>
  <c r="J16"/>
  <c r="H16"/>
  <c r="G16"/>
  <c r="I16" s="1"/>
  <c r="AC15"/>
  <c r="Z15"/>
  <c r="V15"/>
  <c r="T15"/>
  <c r="P15"/>
  <c r="M15"/>
  <c r="L15"/>
  <c r="J15"/>
  <c r="AE15" s="1"/>
  <c r="I15"/>
  <c r="Y15" s="1"/>
  <c r="H15"/>
  <c r="G15"/>
  <c r="AC14"/>
  <c r="X14"/>
  <c r="V14"/>
  <c r="T14"/>
  <c r="P14"/>
  <c r="M14"/>
  <c r="L14"/>
  <c r="J14"/>
  <c r="AE14" s="1"/>
  <c r="I14"/>
  <c r="Y14" s="1"/>
  <c r="H14"/>
  <c r="G14"/>
  <c r="AE13"/>
  <c r="AC13"/>
  <c r="Z13"/>
  <c r="V13"/>
  <c r="T13"/>
  <c r="P13"/>
  <c r="M13"/>
  <c r="L13"/>
  <c r="J13"/>
  <c r="H13"/>
  <c r="G13"/>
  <c r="I13" s="1"/>
  <c r="AE12"/>
  <c r="AC12"/>
  <c r="Z12"/>
  <c r="V12"/>
  <c r="T12"/>
  <c r="P12"/>
  <c r="P39" s="1"/>
  <c r="M12"/>
  <c r="L12"/>
  <c r="J12"/>
  <c r="I12"/>
  <c r="W12" s="1"/>
  <c r="H12"/>
  <c r="G12"/>
  <c r="AC11"/>
  <c r="Z11"/>
  <c r="X11"/>
  <c r="X39" s="1"/>
  <c r="V11"/>
  <c r="T11"/>
  <c r="T39" s="1"/>
  <c r="M11"/>
  <c r="L11"/>
  <c r="J11"/>
  <c r="AE11" s="1"/>
  <c r="H11"/>
  <c r="G11"/>
  <c r="I11" s="1"/>
  <c r="AC10"/>
  <c r="AC39" s="1"/>
  <c r="Z10"/>
  <c r="Z39" s="1"/>
  <c r="V10"/>
  <c r="V39" s="1"/>
  <c r="M10"/>
  <c r="M39" s="1"/>
  <c r="L10"/>
  <c r="L39" s="1"/>
  <c r="J10"/>
  <c r="J39" s="1"/>
  <c r="H10"/>
  <c r="H39" s="1"/>
  <c r="G10"/>
  <c r="I10" s="1"/>
  <c r="U23" l="1"/>
  <c r="AD23" s="1"/>
  <c r="W23"/>
  <c r="AB23" s="1"/>
  <c r="Y24"/>
  <c r="U24"/>
  <c r="W24"/>
  <c r="AB24" s="1"/>
  <c r="U38"/>
  <c r="AD38" s="1"/>
  <c r="W38"/>
  <c r="AB38" s="1"/>
  <c r="Y16"/>
  <c r="U16"/>
  <c r="AD16" s="1"/>
  <c r="W16"/>
  <c r="AB16" s="1"/>
  <c r="Y18"/>
  <c r="U18"/>
  <c r="W18"/>
  <c r="AB18" s="1"/>
  <c r="U26"/>
  <c r="AD26" s="1"/>
  <c r="W26"/>
  <c r="AB26" s="1"/>
  <c r="U27"/>
  <c r="W27"/>
  <c r="AB27" s="1"/>
  <c r="U30"/>
  <c r="AD30" s="1"/>
  <c r="W30"/>
  <c r="AB30" s="1"/>
  <c r="W31"/>
  <c r="U31"/>
  <c r="U34"/>
  <c r="AD34" s="1"/>
  <c r="W34"/>
  <c r="AB34" s="1"/>
  <c r="U35"/>
  <c r="W35"/>
  <c r="AB35" s="1"/>
  <c r="AB28"/>
  <c r="AB15"/>
  <c r="AB31"/>
  <c r="W21"/>
  <c r="AB21" s="1"/>
  <c r="U21"/>
  <c r="Y21"/>
  <c r="W10"/>
  <c r="I39"/>
  <c r="Y10"/>
  <c r="AB10" s="1"/>
  <c r="S10"/>
  <c r="S39" s="1"/>
  <c r="W11"/>
  <c r="AB11" s="1"/>
  <c r="S11"/>
  <c r="U11" s="1"/>
  <c r="AD11" s="1"/>
  <c r="Y11"/>
  <c r="Y13"/>
  <c r="W13"/>
  <c r="AB13" s="1"/>
  <c r="U13"/>
  <c r="Y17"/>
  <c r="U17"/>
  <c r="W17"/>
  <c r="AB17" s="1"/>
  <c r="AB32"/>
  <c r="AB36"/>
  <c r="AB22"/>
  <c r="W15"/>
  <c r="U29"/>
  <c r="AD29" s="1"/>
  <c r="U33"/>
  <c r="AD33" s="1"/>
  <c r="U37"/>
  <c r="AD37" s="1"/>
  <c r="G39"/>
  <c r="AE10"/>
  <c r="AE39" s="1"/>
  <c r="U12"/>
  <c r="W14"/>
  <c r="AB14" s="1"/>
  <c r="U20"/>
  <c r="U28"/>
  <c r="AD28" s="1"/>
  <c r="U32"/>
  <c r="AD32" s="1"/>
  <c r="Y12"/>
  <c r="AB12" s="1"/>
  <c r="U15"/>
  <c r="W19"/>
  <c r="AB19" s="1"/>
  <c r="Y20"/>
  <c r="AB20" s="1"/>
  <c r="Y22"/>
  <c r="W25"/>
  <c r="AB25" s="1"/>
  <c r="AD25" s="1"/>
  <c r="U19"/>
  <c r="U22"/>
  <c r="AD22" s="1"/>
  <c r="U36"/>
  <c r="S12"/>
  <c r="U14"/>
  <c r="AB39" l="1"/>
  <c r="AD12"/>
  <c r="AD21"/>
  <c r="AD36"/>
  <c r="AD15"/>
  <c r="AD20"/>
  <c r="U10"/>
  <c r="W39"/>
  <c r="Y39"/>
  <c r="AD31"/>
  <c r="AD13"/>
  <c r="AD14"/>
  <c r="AD19"/>
  <c r="AD17"/>
  <c r="AD35"/>
  <c r="AD27"/>
  <c r="AD18"/>
  <c r="AD24"/>
  <c r="U39" l="1"/>
  <c r="AD10"/>
  <c r="AD39" s="1"/>
  <c r="U39" i="21" l="1"/>
  <c r="F39"/>
  <c r="E39"/>
  <c r="D39"/>
  <c r="C39"/>
  <c r="W38"/>
  <c r="P38"/>
  <c r="K38"/>
  <c r="J38"/>
  <c r="Y38" s="1"/>
  <c r="H38"/>
  <c r="G38"/>
  <c r="I38" s="1"/>
  <c r="W37"/>
  <c r="P37"/>
  <c r="K37"/>
  <c r="J37"/>
  <c r="Y37" s="1"/>
  <c r="H37"/>
  <c r="G37"/>
  <c r="I37" s="1"/>
  <c r="W36"/>
  <c r="P36"/>
  <c r="K36"/>
  <c r="J36"/>
  <c r="Y36" s="1"/>
  <c r="H36"/>
  <c r="G36"/>
  <c r="I36" s="1"/>
  <c r="W35"/>
  <c r="P35"/>
  <c r="K35"/>
  <c r="J35"/>
  <c r="Y35" s="1"/>
  <c r="H35"/>
  <c r="G35"/>
  <c r="I35" s="1"/>
  <c r="Y34"/>
  <c r="W34"/>
  <c r="P34"/>
  <c r="N34"/>
  <c r="K34"/>
  <c r="J34"/>
  <c r="H34"/>
  <c r="G34"/>
  <c r="I34" s="1"/>
  <c r="W33"/>
  <c r="P33"/>
  <c r="K33"/>
  <c r="J33"/>
  <c r="Y33" s="1"/>
  <c r="H33"/>
  <c r="G33"/>
  <c r="I33" s="1"/>
  <c r="W32"/>
  <c r="P32"/>
  <c r="K32"/>
  <c r="J32"/>
  <c r="Y32" s="1"/>
  <c r="H32"/>
  <c r="G32"/>
  <c r="I32" s="1"/>
  <c r="W31"/>
  <c r="P31"/>
  <c r="K31"/>
  <c r="J31"/>
  <c r="Y31" s="1"/>
  <c r="H31"/>
  <c r="G31"/>
  <c r="I31" s="1"/>
  <c r="W30"/>
  <c r="P30"/>
  <c r="K30"/>
  <c r="J30"/>
  <c r="Y30" s="1"/>
  <c r="H30"/>
  <c r="G30"/>
  <c r="I30" s="1"/>
  <c r="W29"/>
  <c r="P29"/>
  <c r="K29"/>
  <c r="J29"/>
  <c r="Y29" s="1"/>
  <c r="H29"/>
  <c r="G29"/>
  <c r="I29" s="1"/>
  <c r="W28"/>
  <c r="P28"/>
  <c r="K28"/>
  <c r="J28"/>
  <c r="Y28" s="1"/>
  <c r="H28"/>
  <c r="G28"/>
  <c r="I28" s="1"/>
  <c r="W27"/>
  <c r="P27"/>
  <c r="K27"/>
  <c r="J27"/>
  <c r="Y27" s="1"/>
  <c r="H27"/>
  <c r="G27"/>
  <c r="I27" s="1"/>
  <c r="W26"/>
  <c r="P26"/>
  <c r="K26"/>
  <c r="J26"/>
  <c r="Y26" s="1"/>
  <c r="H26"/>
  <c r="G26"/>
  <c r="I26" s="1"/>
  <c r="W25"/>
  <c r="P25"/>
  <c r="K25"/>
  <c r="J25"/>
  <c r="Y25" s="1"/>
  <c r="H25"/>
  <c r="G25"/>
  <c r="I25" s="1"/>
  <c r="W24"/>
  <c r="P24"/>
  <c r="K24"/>
  <c r="J24"/>
  <c r="Y24" s="1"/>
  <c r="I24"/>
  <c r="Q24" s="1"/>
  <c r="H24"/>
  <c r="G24"/>
  <c r="W23"/>
  <c r="P23"/>
  <c r="V23" s="1"/>
  <c r="K23"/>
  <c r="J23"/>
  <c r="Y23" s="1"/>
  <c r="I23"/>
  <c r="Q23" s="1"/>
  <c r="H23"/>
  <c r="G23"/>
  <c r="W22"/>
  <c r="Q22"/>
  <c r="P22"/>
  <c r="V22" s="1"/>
  <c r="K22"/>
  <c r="J22"/>
  <c r="Y22" s="1"/>
  <c r="I22"/>
  <c r="S22" s="1"/>
  <c r="H22"/>
  <c r="G22"/>
  <c r="W21"/>
  <c r="T21"/>
  <c r="R21"/>
  <c r="P21"/>
  <c r="L21"/>
  <c r="K21"/>
  <c r="J21"/>
  <c r="Y21" s="1"/>
  <c r="I21"/>
  <c r="Q21" s="1"/>
  <c r="H21"/>
  <c r="G21"/>
  <c r="Y20"/>
  <c r="W20"/>
  <c r="T20"/>
  <c r="P20"/>
  <c r="K20"/>
  <c r="J20"/>
  <c r="H20"/>
  <c r="G20"/>
  <c r="I20" s="1"/>
  <c r="W19"/>
  <c r="R19"/>
  <c r="Q19"/>
  <c r="P19"/>
  <c r="K19"/>
  <c r="J19"/>
  <c r="Y19" s="1"/>
  <c r="I19"/>
  <c r="S19" s="1"/>
  <c r="H19"/>
  <c r="G19"/>
  <c r="Y18"/>
  <c r="W18"/>
  <c r="P18"/>
  <c r="K18"/>
  <c r="J18"/>
  <c r="H18"/>
  <c r="G18"/>
  <c r="I18" s="1"/>
  <c r="W17"/>
  <c r="T17"/>
  <c r="R17"/>
  <c r="Q17"/>
  <c r="P17"/>
  <c r="K17"/>
  <c r="J17"/>
  <c r="Y17" s="1"/>
  <c r="I17"/>
  <c r="S17" s="1"/>
  <c r="H17"/>
  <c r="G17"/>
  <c r="W16"/>
  <c r="T16"/>
  <c r="R16"/>
  <c r="P16"/>
  <c r="N16"/>
  <c r="K16"/>
  <c r="J16"/>
  <c r="Y16" s="1"/>
  <c r="I16"/>
  <c r="Q16" s="1"/>
  <c r="H16"/>
  <c r="G16"/>
  <c r="W15"/>
  <c r="T15"/>
  <c r="P15"/>
  <c r="N15"/>
  <c r="L15"/>
  <c r="K15"/>
  <c r="J15"/>
  <c r="Y15" s="1"/>
  <c r="I15"/>
  <c r="S15" s="1"/>
  <c r="H15"/>
  <c r="G15"/>
  <c r="W14"/>
  <c r="S14"/>
  <c r="R14"/>
  <c r="R39" s="1"/>
  <c r="P14"/>
  <c r="V14" s="1"/>
  <c r="N14"/>
  <c r="L14"/>
  <c r="K14"/>
  <c r="J14"/>
  <c r="Y14" s="1"/>
  <c r="I14"/>
  <c r="Q14" s="1"/>
  <c r="H14"/>
  <c r="G14"/>
  <c r="W13"/>
  <c r="T13"/>
  <c r="P13"/>
  <c r="N13"/>
  <c r="L13"/>
  <c r="K13"/>
  <c r="J13"/>
  <c r="Y13" s="1"/>
  <c r="I13"/>
  <c r="S13" s="1"/>
  <c r="H13"/>
  <c r="G13"/>
  <c r="Y12"/>
  <c r="W12"/>
  <c r="T12"/>
  <c r="P12"/>
  <c r="N12"/>
  <c r="N39" s="1"/>
  <c r="L12"/>
  <c r="L39" s="1"/>
  <c r="K12"/>
  <c r="J12"/>
  <c r="H12"/>
  <c r="G12"/>
  <c r="I12" s="1"/>
  <c r="Y11"/>
  <c r="W11"/>
  <c r="T11"/>
  <c r="R11"/>
  <c r="P11"/>
  <c r="N11"/>
  <c r="K11"/>
  <c r="J11"/>
  <c r="H11"/>
  <c r="G11"/>
  <c r="I11" s="1"/>
  <c r="W10"/>
  <c r="W39" s="1"/>
  <c r="T10"/>
  <c r="T39" s="1"/>
  <c r="P10"/>
  <c r="P39" s="1"/>
  <c r="K10"/>
  <c r="K39" s="1"/>
  <c r="J10"/>
  <c r="Y10" s="1"/>
  <c r="H10"/>
  <c r="H39" s="1"/>
  <c r="G10"/>
  <c r="G39" s="1"/>
  <c r="Q26" l="1"/>
  <c r="V26" s="1"/>
  <c r="O26"/>
  <c r="Q28"/>
  <c r="V28" s="1"/>
  <c r="O28"/>
  <c r="X28" s="1"/>
  <c r="Q30"/>
  <c r="V30" s="1"/>
  <c r="O30"/>
  <c r="Q32"/>
  <c r="V32" s="1"/>
  <c r="O32"/>
  <c r="X32" s="1"/>
  <c r="O34"/>
  <c r="X34" s="1"/>
  <c r="Q34"/>
  <c r="V34" s="1"/>
  <c r="O35"/>
  <c r="Q35"/>
  <c r="V35" s="1"/>
  <c r="O37"/>
  <c r="X37" s="1"/>
  <c r="Q37"/>
  <c r="V37" s="1"/>
  <c r="Q11"/>
  <c r="M11"/>
  <c r="S11"/>
  <c r="O11"/>
  <c r="O18"/>
  <c r="S18"/>
  <c r="Q18"/>
  <c r="V18" s="1"/>
  <c r="S20"/>
  <c r="V20" s="1"/>
  <c r="Q20"/>
  <c r="O20"/>
  <c r="O25"/>
  <c r="X25" s="1"/>
  <c r="Q25"/>
  <c r="V25" s="1"/>
  <c r="O27"/>
  <c r="Q27"/>
  <c r="V27" s="1"/>
  <c r="O29"/>
  <c r="X29" s="1"/>
  <c r="Q29"/>
  <c r="V29" s="1"/>
  <c r="O31"/>
  <c r="Q31"/>
  <c r="V31" s="1"/>
  <c r="Q33"/>
  <c r="V33" s="1"/>
  <c r="O33"/>
  <c r="O36"/>
  <c r="Q36"/>
  <c r="V36" s="1"/>
  <c r="O38"/>
  <c r="X38" s="1"/>
  <c r="Q38"/>
  <c r="V38" s="1"/>
  <c r="V24"/>
  <c r="V12"/>
  <c r="V15"/>
  <c r="Y39"/>
  <c r="V17"/>
  <c r="V19"/>
  <c r="Q12"/>
  <c r="M12"/>
  <c r="O12" s="1"/>
  <c r="X12" s="1"/>
  <c r="S12"/>
  <c r="O16"/>
  <c r="S21"/>
  <c r="V21" s="1"/>
  <c r="O23"/>
  <c r="X23" s="1"/>
  <c r="J39"/>
  <c r="I10"/>
  <c r="Q13"/>
  <c r="V13" s="1"/>
  <c r="Q15"/>
  <c r="O17"/>
  <c r="O19"/>
  <c r="X19" s="1"/>
  <c r="O22"/>
  <c r="X22" s="1"/>
  <c r="S24"/>
  <c r="O13"/>
  <c r="O14"/>
  <c r="X14" s="1"/>
  <c r="O15"/>
  <c r="X15" s="1"/>
  <c r="S16"/>
  <c r="V16" s="1"/>
  <c r="O21"/>
  <c r="O24"/>
  <c r="X24" s="1"/>
  <c r="S10" l="1"/>
  <c r="S39" s="1"/>
  <c r="M10"/>
  <c r="M39" s="1"/>
  <c r="Q10"/>
  <c r="I39"/>
  <c r="O10"/>
  <c r="X21"/>
  <c r="X33"/>
  <c r="X26"/>
  <c r="X36"/>
  <c r="X31"/>
  <c r="X27"/>
  <c r="X18"/>
  <c r="V11"/>
  <c r="X11" s="1"/>
  <c r="X35"/>
  <c r="X16"/>
  <c r="X30"/>
  <c r="X13"/>
  <c r="X17"/>
  <c r="X20"/>
  <c r="Q39" l="1"/>
  <c r="V10"/>
  <c r="V39" s="1"/>
  <c r="O39"/>
  <c r="X10" l="1"/>
  <c r="X39" s="1"/>
  <c r="U39" i="19" l="1"/>
  <c r="L39"/>
  <c r="F39"/>
  <c r="E39"/>
  <c r="D39"/>
  <c r="C39"/>
  <c r="W38"/>
  <c r="P38"/>
  <c r="K38"/>
  <c r="J38"/>
  <c r="Y38" s="1"/>
  <c r="H38"/>
  <c r="G38"/>
  <c r="I38" s="1"/>
  <c r="W37"/>
  <c r="P37"/>
  <c r="K37"/>
  <c r="J37"/>
  <c r="Y37" s="1"/>
  <c r="H37"/>
  <c r="G37"/>
  <c r="I37" s="1"/>
  <c r="W36"/>
  <c r="P36"/>
  <c r="K36"/>
  <c r="J36"/>
  <c r="Y36" s="1"/>
  <c r="H36"/>
  <c r="G36"/>
  <c r="I36" s="1"/>
  <c r="W35"/>
  <c r="P35"/>
  <c r="K35"/>
  <c r="J35"/>
  <c r="Y35" s="1"/>
  <c r="H35"/>
  <c r="G35"/>
  <c r="I35" s="1"/>
  <c r="W34"/>
  <c r="P34"/>
  <c r="K34"/>
  <c r="J34"/>
  <c r="Y34" s="1"/>
  <c r="H34"/>
  <c r="G34"/>
  <c r="I34" s="1"/>
  <c r="W33"/>
  <c r="P33"/>
  <c r="K33"/>
  <c r="J33"/>
  <c r="Y33" s="1"/>
  <c r="H33"/>
  <c r="G33"/>
  <c r="I33" s="1"/>
  <c r="W32"/>
  <c r="P32"/>
  <c r="K32"/>
  <c r="J32"/>
  <c r="Y32" s="1"/>
  <c r="H32"/>
  <c r="G32"/>
  <c r="I32" s="1"/>
  <c r="W31"/>
  <c r="P31"/>
  <c r="K31"/>
  <c r="J31"/>
  <c r="Y31" s="1"/>
  <c r="H31"/>
  <c r="G31"/>
  <c r="I31" s="1"/>
  <c r="W30"/>
  <c r="P30"/>
  <c r="K30"/>
  <c r="J30"/>
  <c r="Y30" s="1"/>
  <c r="H30"/>
  <c r="G30"/>
  <c r="I30" s="1"/>
  <c r="W29"/>
  <c r="P29"/>
  <c r="K29"/>
  <c r="J29"/>
  <c r="Y29" s="1"/>
  <c r="H29"/>
  <c r="G29"/>
  <c r="I29" s="1"/>
  <c r="W28"/>
  <c r="P28"/>
  <c r="K28"/>
  <c r="J28"/>
  <c r="Y28" s="1"/>
  <c r="H28"/>
  <c r="G28"/>
  <c r="I28" s="1"/>
  <c r="W27"/>
  <c r="P27"/>
  <c r="K27"/>
  <c r="J27"/>
  <c r="Y27" s="1"/>
  <c r="H27"/>
  <c r="G27"/>
  <c r="I27" s="1"/>
  <c r="W26"/>
  <c r="P26"/>
  <c r="K26"/>
  <c r="J26"/>
  <c r="Y26" s="1"/>
  <c r="H26"/>
  <c r="G26"/>
  <c r="I26" s="1"/>
  <c r="W25"/>
  <c r="P25"/>
  <c r="K25"/>
  <c r="J25"/>
  <c r="Y25" s="1"/>
  <c r="H25"/>
  <c r="G25"/>
  <c r="I25" s="1"/>
  <c r="W24"/>
  <c r="P24"/>
  <c r="K24"/>
  <c r="J24"/>
  <c r="Y24" s="1"/>
  <c r="I24"/>
  <c r="S24" s="1"/>
  <c r="H24"/>
  <c r="G24"/>
  <c r="W23"/>
  <c r="P23"/>
  <c r="K23"/>
  <c r="J23"/>
  <c r="Y23" s="1"/>
  <c r="I23"/>
  <c r="Q23" s="1"/>
  <c r="H23"/>
  <c r="G23"/>
  <c r="W22"/>
  <c r="Q22"/>
  <c r="P22"/>
  <c r="K22"/>
  <c r="J22"/>
  <c r="Y22" s="1"/>
  <c r="I22"/>
  <c r="O22" s="1"/>
  <c r="H22"/>
  <c r="G22"/>
  <c r="W21"/>
  <c r="T21"/>
  <c r="R21"/>
  <c r="P21"/>
  <c r="L21"/>
  <c r="K21"/>
  <c r="J21"/>
  <c r="Y21" s="1"/>
  <c r="I21"/>
  <c r="O21" s="1"/>
  <c r="H21"/>
  <c r="G21"/>
  <c r="Y20"/>
  <c r="W20"/>
  <c r="T20"/>
  <c r="P20"/>
  <c r="K20"/>
  <c r="J20"/>
  <c r="H20"/>
  <c r="G20"/>
  <c r="I20" s="1"/>
  <c r="W19"/>
  <c r="R19"/>
  <c r="Q19"/>
  <c r="P19"/>
  <c r="V19" s="1"/>
  <c r="K19"/>
  <c r="J19"/>
  <c r="Y19" s="1"/>
  <c r="I19"/>
  <c r="S19" s="1"/>
  <c r="H19"/>
  <c r="G19"/>
  <c r="Y18"/>
  <c r="W18"/>
  <c r="P18"/>
  <c r="K18"/>
  <c r="J18"/>
  <c r="H18"/>
  <c r="G18"/>
  <c r="I18" s="1"/>
  <c r="W17"/>
  <c r="T17"/>
  <c r="R17"/>
  <c r="Q17"/>
  <c r="P17"/>
  <c r="K17"/>
  <c r="J17"/>
  <c r="Y17" s="1"/>
  <c r="I17"/>
  <c r="S17" s="1"/>
  <c r="H17"/>
  <c r="G17"/>
  <c r="W16"/>
  <c r="T16"/>
  <c r="R16"/>
  <c r="P16"/>
  <c r="N16"/>
  <c r="K16"/>
  <c r="J16"/>
  <c r="Y16" s="1"/>
  <c r="I16"/>
  <c r="S16" s="1"/>
  <c r="H16"/>
  <c r="G16"/>
  <c r="W15"/>
  <c r="T15"/>
  <c r="P15"/>
  <c r="N15"/>
  <c r="L15"/>
  <c r="K15"/>
  <c r="J15"/>
  <c r="Y15" s="1"/>
  <c r="I15"/>
  <c r="Q15" s="1"/>
  <c r="H15"/>
  <c r="G15"/>
  <c r="W14"/>
  <c r="S14"/>
  <c r="R14"/>
  <c r="P14"/>
  <c r="V14" s="1"/>
  <c r="N14"/>
  <c r="L14"/>
  <c r="K14"/>
  <c r="J14"/>
  <c r="Y14" s="1"/>
  <c r="I14"/>
  <c r="Q14" s="1"/>
  <c r="H14"/>
  <c r="G14"/>
  <c r="W13"/>
  <c r="T13"/>
  <c r="P13"/>
  <c r="N13"/>
  <c r="L13"/>
  <c r="K13"/>
  <c r="J13"/>
  <c r="Y13" s="1"/>
  <c r="I13"/>
  <c r="Q13" s="1"/>
  <c r="H13"/>
  <c r="G13"/>
  <c r="Y12"/>
  <c r="W12"/>
  <c r="T12"/>
  <c r="T39" s="1"/>
  <c r="P12"/>
  <c r="N12"/>
  <c r="L12"/>
  <c r="K12"/>
  <c r="J12"/>
  <c r="H12"/>
  <c r="G12"/>
  <c r="I12" s="1"/>
  <c r="Y11"/>
  <c r="W11"/>
  <c r="T11"/>
  <c r="R11"/>
  <c r="R39" s="1"/>
  <c r="P11"/>
  <c r="N11"/>
  <c r="N39" s="1"/>
  <c r="K11"/>
  <c r="J11"/>
  <c r="H11"/>
  <c r="H39" s="1"/>
  <c r="G11"/>
  <c r="I11" s="1"/>
  <c r="W10"/>
  <c r="W39" s="1"/>
  <c r="T10"/>
  <c r="P10"/>
  <c r="K10"/>
  <c r="K39" s="1"/>
  <c r="J10"/>
  <c r="J39" s="1"/>
  <c r="H10"/>
  <c r="G10"/>
  <c r="I10" s="1"/>
  <c r="O18" l="1"/>
  <c r="Q18"/>
  <c r="V18" s="1"/>
  <c r="S18"/>
  <c r="Q20"/>
  <c r="S20"/>
  <c r="O20"/>
  <c r="X20" s="1"/>
  <c r="Q25"/>
  <c r="V25" s="1"/>
  <c r="O25"/>
  <c r="Q27"/>
  <c r="V27" s="1"/>
  <c r="O27"/>
  <c r="X27" s="1"/>
  <c r="Q29"/>
  <c r="V29" s="1"/>
  <c r="O29"/>
  <c r="Q31"/>
  <c r="V31" s="1"/>
  <c r="O31"/>
  <c r="X31" s="1"/>
  <c r="Q33"/>
  <c r="V33" s="1"/>
  <c r="O33"/>
  <c r="Q35"/>
  <c r="V35" s="1"/>
  <c r="O35"/>
  <c r="X35" s="1"/>
  <c r="Q37"/>
  <c r="V37" s="1"/>
  <c r="O37"/>
  <c r="Q12"/>
  <c r="M12"/>
  <c r="O12" s="1"/>
  <c r="X12" s="1"/>
  <c r="S12"/>
  <c r="Q10"/>
  <c r="V10" s="1"/>
  <c r="I39"/>
  <c r="S10"/>
  <c r="M10"/>
  <c r="Q26"/>
  <c r="V26" s="1"/>
  <c r="O26"/>
  <c r="Q28"/>
  <c r="V28" s="1"/>
  <c r="O28"/>
  <c r="Q30"/>
  <c r="V30" s="1"/>
  <c r="O30"/>
  <c r="Q32"/>
  <c r="V32" s="1"/>
  <c r="O32"/>
  <c r="Q34"/>
  <c r="V34" s="1"/>
  <c r="O34"/>
  <c r="Q36"/>
  <c r="V36" s="1"/>
  <c r="O36"/>
  <c r="S11"/>
  <c r="O11"/>
  <c r="Q11"/>
  <c r="M11"/>
  <c r="V17"/>
  <c r="V20"/>
  <c r="V23"/>
  <c r="V16"/>
  <c r="V24"/>
  <c r="V12"/>
  <c r="Q38"/>
  <c r="V38" s="1"/>
  <c r="O38"/>
  <c r="X38" s="1"/>
  <c r="O14"/>
  <c r="X14" s="1"/>
  <c r="P39"/>
  <c r="O16"/>
  <c r="X16" s="1"/>
  <c r="S21"/>
  <c r="O23"/>
  <c r="X23" s="1"/>
  <c r="O24"/>
  <c r="G39"/>
  <c r="Q16"/>
  <c r="Q21"/>
  <c r="V21" s="1"/>
  <c r="X21" s="1"/>
  <c r="S22"/>
  <c r="V22" s="1"/>
  <c r="X22" s="1"/>
  <c r="Q24"/>
  <c r="O13"/>
  <c r="O15"/>
  <c r="S13"/>
  <c r="V13" s="1"/>
  <c r="S15"/>
  <c r="V15" s="1"/>
  <c r="Y10"/>
  <c r="Y39" s="1"/>
  <c r="O17"/>
  <c r="X17" s="1"/>
  <c r="O19"/>
  <c r="X19" s="1"/>
  <c r="X15" l="1"/>
  <c r="X24"/>
  <c r="X34"/>
  <c r="X13"/>
  <c r="X36"/>
  <c r="X32"/>
  <c r="X28"/>
  <c r="M39"/>
  <c r="O10"/>
  <c r="X18"/>
  <c r="Q39"/>
  <c r="X11"/>
  <c r="X30"/>
  <c r="X26"/>
  <c r="V11"/>
  <c r="V39" s="1"/>
  <c r="S39"/>
  <c r="X37"/>
  <c r="X33"/>
  <c r="X29"/>
  <c r="X25"/>
  <c r="X10" l="1"/>
  <c r="X39" s="1"/>
  <c r="O39"/>
  <c r="P39" i="18" l="1"/>
  <c r="O39"/>
  <c r="G39"/>
  <c r="F39"/>
  <c r="E39"/>
  <c r="D39"/>
  <c r="AB38"/>
  <c r="Z38"/>
  <c r="S38"/>
  <c r="Q38"/>
  <c r="L38"/>
  <c r="K38"/>
  <c r="I38"/>
  <c r="H38"/>
  <c r="J38" s="1"/>
  <c r="Z37"/>
  <c r="S37"/>
  <c r="L37"/>
  <c r="K37"/>
  <c r="AB37" s="1"/>
  <c r="I37"/>
  <c r="H37"/>
  <c r="J37" s="1"/>
  <c r="Z36"/>
  <c r="S36"/>
  <c r="L36"/>
  <c r="K36"/>
  <c r="AB36" s="1"/>
  <c r="I36"/>
  <c r="H36"/>
  <c r="J36" s="1"/>
  <c r="AB35"/>
  <c r="Z35"/>
  <c r="S35"/>
  <c r="Q35"/>
  <c r="L35"/>
  <c r="K35"/>
  <c r="I35"/>
  <c r="H35"/>
  <c r="J35" s="1"/>
  <c r="Z34"/>
  <c r="S34"/>
  <c r="L34"/>
  <c r="K34"/>
  <c r="AB34" s="1"/>
  <c r="I34"/>
  <c r="H34"/>
  <c r="J34" s="1"/>
  <c r="Z33"/>
  <c r="X33"/>
  <c r="S33"/>
  <c r="L33"/>
  <c r="K33"/>
  <c r="AB33" s="1"/>
  <c r="J33"/>
  <c r="T33" s="1"/>
  <c r="I33"/>
  <c r="H33"/>
  <c r="Z32"/>
  <c r="S32"/>
  <c r="L32"/>
  <c r="K32"/>
  <c r="AB32" s="1"/>
  <c r="J32"/>
  <c r="T32" s="1"/>
  <c r="I32"/>
  <c r="H32"/>
  <c r="Z31"/>
  <c r="X31"/>
  <c r="T31"/>
  <c r="S31"/>
  <c r="L31"/>
  <c r="K31"/>
  <c r="AB31" s="1"/>
  <c r="J31"/>
  <c r="R31" s="1"/>
  <c r="I31"/>
  <c r="H31"/>
  <c r="AB30"/>
  <c r="Z30"/>
  <c r="X30"/>
  <c r="S30"/>
  <c r="L30"/>
  <c r="K30"/>
  <c r="I30"/>
  <c r="H30"/>
  <c r="J30" s="1"/>
  <c r="AB29"/>
  <c r="Z29"/>
  <c r="S29"/>
  <c r="Q29"/>
  <c r="L29"/>
  <c r="K29"/>
  <c r="I29"/>
  <c r="H29"/>
  <c r="J29" s="1"/>
  <c r="Z28"/>
  <c r="S28"/>
  <c r="L28"/>
  <c r="K28"/>
  <c r="AB28" s="1"/>
  <c r="I28"/>
  <c r="H28"/>
  <c r="J28" s="1"/>
  <c r="Z27"/>
  <c r="S27"/>
  <c r="Q27"/>
  <c r="L27"/>
  <c r="K27"/>
  <c r="AB27" s="1"/>
  <c r="J27"/>
  <c r="T27" s="1"/>
  <c r="I27"/>
  <c r="H27"/>
  <c r="Z26"/>
  <c r="S26"/>
  <c r="Y26" s="1"/>
  <c r="L26"/>
  <c r="K26"/>
  <c r="AB26" s="1"/>
  <c r="J26"/>
  <c r="T26" s="1"/>
  <c r="I26"/>
  <c r="H26"/>
  <c r="Z25"/>
  <c r="S25"/>
  <c r="Y25" s="1"/>
  <c r="L25"/>
  <c r="K25"/>
  <c r="AB25" s="1"/>
  <c r="J25"/>
  <c r="T25" s="1"/>
  <c r="I25"/>
  <c r="H25"/>
  <c r="Z24"/>
  <c r="T24"/>
  <c r="S24"/>
  <c r="Y24" s="1"/>
  <c r="L24"/>
  <c r="K24"/>
  <c r="AB24" s="1"/>
  <c r="J24"/>
  <c r="V24" s="1"/>
  <c r="I24"/>
  <c r="H24"/>
  <c r="Z23"/>
  <c r="T23"/>
  <c r="S23"/>
  <c r="Y23" s="1"/>
  <c r="L23"/>
  <c r="K23"/>
  <c r="K39" s="1"/>
  <c r="J23"/>
  <c r="R23" s="1"/>
  <c r="I23"/>
  <c r="H23"/>
  <c r="AB22"/>
  <c r="Z22"/>
  <c r="S22"/>
  <c r="L22"/>
  <c r="K22"/>
  <c r="I22"/>
  <c r="H22"/>
  <c r="J22" s="1"/>
  <c r="Z21"/>
  <c r="W21"/>
  <c r="U21"/>
  <c r="S21"/>
  <c r="M21"/>
  <c r="L21"/>
  <c r="K21"/>
  <c r="AB21" s="1"/>
  <c r="I21"/>
  <c r="H21"/>
  <c r="J21" s="1"/>
  <c r="AB20"/>
  <c r="Z20"/>
  <c r="W20"/>
  <c r="S20"/>
  <c r="L20"/>
  <c r="K20"/>
  <c r="J20"/>
  <c r="T20" s="1"/>
  <c r="I20"/>
  <c r="H20"/>
  <c r="AB19"/>
  <c r="Z19"/>
  <c r="U19"/>
  <c r="S19"/>
  <c r="Q19"/>
  <c r="L19"/>
  <c r="K19"/>
  <c r="I19"/>
  <c r="H19"/>
  <c r="J19" s="1"/>
  <c r="Z18"/>
  <c r="S18"/>
  <c r="L18"/>
  <c r="K18"/>
  <c r="AB18" s="1"/>
  <c r="J18"/>
  <c r="T18" s="1"/>
  <c r="I18"/>
  <c r="H18"/>
  <c r="AB17"/>
  <c r="Z17"/>
  <c r="W17"/>
  <c r="U17"/>
  <c r="S17"/>
  <c r="L17"/>
  <c r="K17"/>
  <c r="I17"/>
  <c r="H17"/>
  <c r="J17" s="1"/>
  <c r="Z16"/>
  <c r="W16"/>
  <c r="U16"/>
  <c r="S16"/>
  <c r="Q16"/>
  <c r="L16"/>
  <c r="K16"/>
  <c r="AB16" s="1"/>
  <c r="I16"/>
  <c r="H16"/>
  <c r="J16" s="1"/>
  <c r="Z15"/>
  <c r="W15"/>
  <c r="S15"/>
  <c r="Q15"/>
  <c r="M15"/>
  <c r="L15"/>
  <c r="K15"/>
  <c r="AB15" s="1"/>
  <c r="I15"/>
  <c r="H15"/>
  <c r="J15" s="1"/>
  <c r="Z14"/>
  <c r="U14"/>
  <c r="S14"/>
  <c r="Q14"/>
  <c r="M14"/>
  <c r="L14"/>
  <c r="K14"/>
  <c r="AB14" s="1"/>
  <c r="I14"/>
  <c r="H14"/>
  <c r="J14" s="1"/>
  <c r="Z13"/>
  <c r="W13"/>
  <c r="S13"/>
  <c r="Q13"/>
  <c r="M13"/>
  <c r="L13"/>
  <c r="K13"/>
  <c r="AB13" s="1"/>
  <c r="I13"/>
  <c r="H13"/>
  <c r="J13" s="1"/>
  <c r="Z12"/>
  <c r="W12"/>
  <c r="S12"/>
  <c r="Q12"/>
  <c r="M12"/>
  <c r="M39" s="1"/>
  <c r="L12"/>
  <c r="K12"/>
  <c r="AB12" s="1"/>
  <c r="I12"/>
  <c r="H12"/>
  <c r="J12" s="1"/>
  <c r="Z11"/>
  <c r="W11"/>
  <c r="U11"/>
  <c r="S11"/>
  <c r="Q11"/>
  <c r="L11"/>
  <c r="K11"/>
  <c r="AB11" s="1"/>
  <c r="J11"/>
  <c r="V11" s="1"/>
  <c r="I11"/>
  <c r="H11"/>
  <c r="Z10"/>
  <c r="W10"/>
  <c r="S10"/>
  <c r="Q10"/>
  <c r="L10"/>
  <c r="L39" s="1"/>
  <c r="K10"/>
  <c r="AB10" s="1"/>
  <c r="J10"/>
  <c r="I10"/>
  <c r="I39" s="1"/>
  <c r="H10"/>
  <c r="H39" s="1"/>
  <c r="Y33" l="1"/>
  <c r="W39"/>
  <c r="Y27"/>
  <c r="Z39"/>
  <c r="X39"/>
  <c r="Y31"/>
  <c r="AA31" s="1"/>
  <c r="S39"/>
  <c r="Q39"/>
  <c r="U39"/>
  <c r="U40" s="1"/>
  <c r="T21"/>
  <c r="Y21" s="1"/>
  <c r="V21"/>
  <c r="R21"/>
  <c r="T34"/>
  <c r="Y34" s="1"/>
  <c r="R34"/>
  <c r="R37"/>
  <c r="T37"/>
  <c r="Y37" s="1"/>
  <c r="T14"/>
  <c r="V14"/>
  <c r="Y14" s="1"/>
  <c r="R14"/>
  <c r="V13"/>
  <c r="R13"/>
  <c r="T13"/>
  <c r="Y13" s="1"/>
  <c r="V17"/>
  <c r="T17"/>
  <c r="R17"/>
  <c r="V19"/>
  <c r="Y19" s="1"/>
  <c r="R19"/>
  <c r="T19"/>
  <c r="R28"/>
  <c r="T28"/>
  <c r="Y28" s="1"/>
  <c r="R35"/>
  <c r="T35"/>
  <c r="Y35" s="1"/>
  <c r="R36"/>
  <c r="T36"/>
  <c r="Y36" s="1"/>
  <c r="T38"/>
  <c r="Y38" s="1"/>
  <c r="R38"/>
  <c r="Y30"/>
  <c r="Y17"/>
  <c r="Y32"/>
  <c r="V15"/>
  <c r="Y15" s="1"/>
  <c r="R15"/>
  <c r="T15"/>
  <c r="R29"/>
  <c r="T29"/>
  <c r="Y29" s="1"/>
  <c r="R30"/>
  <c r="T30"/>
  <c r="V12"/>
  <c r="R12"/>
  <c r="T12"/>
  <c r="V16"/>
  <c r="R16"/>
  <c r="T16"/>
  <c r="Y16" s="1"/>
  <c r="R22"/>
  <c r="V22"/>
  <c r="T22"/>
  <c r="Y22" s="1"/>
  <c r="Y12"/>
  <c r="AB39"/>
  <c r="R27"/>
  <c r="AA27" s="1"/>
  <c r="N10"/>
  <c r="N39" s="1"/>
  <c r="N11"/>
  <c r="R20"/>
  <c r="R26"/>
  <c r="AA26" s="1"/>
  <c r="R33"/>
  <c r="J39"/>
  <c r="V18"/>
  <c r="Y18" s="1"/>
  <c r="V20"/>
  <c r="Y20" s="1"/>
  <c r="R24"/>
  <c r="AA24" s="1"/>
  <c r="V10"/>
  <c r="AB23"/>
  <c r="AA23" s="1"/>
  <c r="T10"/>
  <c r="T39" s="1"/>
  <c r="T11"/>
  <c r="Y11" s="1"/>
  <c r="R18"/>
  <c r="R25"/>
  <c r="AA25" s="1"/>
  <c r="R32"/>
  <c r="AA32" s="1"/>
  <c r="R11"/>
  <c r="AA35" l="1"/>
  <c r="AA37"/>
  <c r="AA33"/>
  <c r="AA11"/>
  <c r="AA12"/>
  <c r="AA34"/>
  <c r="Y10"/>
  <c r="Y39" s="1"/>
  <c r="AA22"/>
  <c r="AA30"/>
  <c r="AA15"/>
  <c r="AA19"/>
  <c r="AA14"/>
  <c r="AA18"/>
  <c r="V39"/>
  <c r="AA38"/>
  <c r="AA21"/>
  <c r="AA20"/>
  <c r="AA16"/>
  <c r="AA29"/>
  <c r="R10"/>
  <c r="AA36"/>
  <c r="AA28"/>
  <c r="AA17"/>
  <c r="AA13"/>
  <c r="R39" l="1"/>
  <c r="AA10"/>
  <c r="AA39" s="1"/>
  <c r="U32" i="17" l="1"/>
  <c r="L32"/>
  <c r="F32"/>
  <c r="E32"/>
  <c r="D32"/>
  <c r="C32"/>
  <c r="W31"/>
  <c r="P31"/>
  <c r="K31"/>
  <c r="J31"/>
  <c r="Y31" s="1"/>
  <c r="I31"/>
  <c r="O31" s="1"/>
  <c r="H31"/>
  <c r="G31"/>
  <c r="W30"/>
  <c r="P30"/>
  <c r="K30"/>
  <c r="J30"/>
  <c r="Y30" s="1"/>
  <c r="I30"/>
  <c r="O30" s="1"/>
  <c r="H30"/>
  <c r="G30"/>
  <c r="W29"/>
  <c r="P29"/>
  <c r="V29" s="1"/>
  <c r="K29"/>
  <c r="J29"/>
  <c r="Y29" s="1"/>
  <c r="I29"/>
  <c r="Q29" s="1"/>
  <c r="H29"/>
  <c r="G29"/>
  <c r="W28"/>
  <c r="P28"/>
  <c r="K28"/>
  <c r="J28"/>
  <c r="Y28" s="1"/>
  <c r="I28"/>
  <c r="O28" s="1"/>
  <c r="H28"/>
  <c r="G28"/>
  <c r="W27"/>
  <c r="P27"/>
  <c r="K27"/>
  <c r="J27"/>
  <c r="Y27" s="1"/>
  <c r="I27"/>
  <c r="O27" s="1"/>
  <c r="H27"/>
  <c r="G27"/>
  <c r="W26"/>
  <c r="P26"/>
  <c r="K26"/>
  <c r="J26"/>
  <c r="Y26" s="1"/>
  <c r="I26"/>
  <c r="O26" s="1"/>
  <c r="H26"/>
  <c r="G26"/>
  <c r="W25"/>
  <c r="P25"/>
  <c r="K25"/>
  <c r="J25"/>
  <c r="Y25" s="1"/>
  <c r="I25"/>
  <c r="O25" s="1"/>
  <c r="H25"/>
  <c r="G25"/>
  <c r="W24"/>
  <c r="Q24"/>
  <c r="P24"/>
  <c r="K24"/>
  <c r="J24"/>
  <c r="Y24" s="1"/>
  <c r="I24"/>
  <c r="O24" s="1"/>
  <c r="H24"/>
  <c r="G24"/>
  <c r="W23"/>
  <c r="Q23"/>
  <c r="P23"/>
  <c r="V23" s="1"/>
  <c r="K23"/>
  <c r="J23"/>
  <c r="Y23" s="1"/>
  <c r="I23"/>
  <c r="O23" s="1"/>
  <c r="H23"/>
  <c r="G23"/>
  <c r="Y22"/>
  <c r="W22"/>
  <c r="P22"/>
  <c r="K22"/>
  <c r="J22"/>
  <c r="H22"/>
  <c r="G22"/>
  <c r="I22" s="1"/>
  <c r="W21"/>
  <c r="T21"/>
  <c r="R21"/>
  <c r="P21"/>
  <c r="L21"/>
  <c r="K21"/>
  <c r="J21"/>
  <c r="Y21" s="1"/>
  <c r="H21"/>
  <c r="G21"/>
  <c r="I21" s="1"/>
  <c r="Y20"/>
  <c r="W20"/>
  <c r="T20"/>
  <c r="P20"/>
  <c r="K20"/>
  <c r="J20"/>
  <c r="I20"/>
  <c r="S20" s="1"/>
  <c r="H20"/>
  <c r="G20"/>
  <c r="W19"/>
  <c r="R19"/>
  <c r="P19"/>
  <c r="K19"/>
  <c r="J19"/>
  <c r="Y19" s="1"/>
  <c r="H19"/>
  <c r="G19"/>
  <c r="I19" s="1"/>
  <c r="Y18"/>
  <c r="W18"/>
  <c r="P18"/>
  <c r="K18"/>
  <c r="J18"/>
  <c r="H18"/>
  <c r="G18"/>
  <c r="I18" s="1"/>
  <c r="W17"/>
  <c r="T17"/>
  <c r="R17"/>
  <c r="P17"/>
  <c r="K17"/>
  <c r="J17"/>
  <c r="Y17" s="1"/>
  <c r="H17"/>
  <c r="G17"/>
  <c r="I17" s="1"/>
  <c r="W16"/>
  <c r="T16"/>
  <c r="R16"/>
  <c r="P16"/>
  <c r="N16"/>
  <c r="K16"/>
  <c r="J16"/>
  <c r="Y16" s="1"/>
  <c r="H16"/>
  <c r="G16"/>
  <c r="I16" s="1"/>
  <c r="W15"/>
  <c r="T15"/>
  <c r="P15"/>
  <c r="N15"/>
  <c r="L15"/>
  <c r="K15"/>
  <c r="J15"/>
  <c r="Y15" s="1"/>
  <c r="H15"/>
  <c r="G15"/>
  <c r="I15" s="1"/>
  <c r="W14"/>
  <c r="R14"/>
  <c r="P14"/>
  <c r="N14"/>
  <c r="L14"/>
  <c r="K14"/>
  <c r="J14"/>
  <c r="Y14" s="1"/>
  <c r="H14"/>
  <c r="G14"/>
  <c r="I14" s="1"/>
  <c r="W13"/>
  <c r="T13"/>
  <c r="P13"/>
  <c r="N13"/>
  <c r="L13"/>
  <c r="K13"/>
  <c r="J13"/>
  <c r="Y13" s="1"/>
  <c r="H13"/>
  <c r="G13"/>
  <c r="I13" s="1"/>
  <c r="W12"/>
  <c r="T12"/>
  <c r="P12"/>
  <c r="N12"/>
  <c r="L12"/>
  <c r="K12"/>
  <c r="J12"/>
  <c r="Y12" s="1"/>
  <c r="H12"/>
  <c r="G12"/>
  <c r="I12" s="1"/>
  <c r="Y11"/>
  <c r="W11"/>
  <c r="T11"/>
  <c r="T32" s="1"/>
  <c r="R11"/>
  <c r="R32" s="1"/>
  <c r="R33" s="1"/>
  <c r="P11"/>
  <c r="N11"/>
  <c r="N32" s="1"/>
  <c r="K11"/>
  <c r="J11"/>
  <c r="H11"/>
  <c r="H32" s="1"/>
  <c r="G11"/>
  <c r="I11" s="1"/>
  <c r="W10"/>
  <c r="W32" s="1"/>
  <c r="T10"/>
  <c r="P10"/>
  <c r="P32" s="1"/>
  <c r="K10"/>
  <c r="K32" s="1"/>
  <c r="J10"/>
  <c r="Y10" s="1"/>
  <c r="Y32" s="1"/>
  <c r="H10"/>
  <c r="G10"/>
  <c r="G32" s="1"/>
  <c r="Q17" l="1"/>
  <c r="S17"/>
  <c r="O17"/>
  <c r="S12"/>
  <c r="O12"/>
  <c r="Q12"/>
  <c r="V12" s="1"/>
  <c r="S16"/>
  <c r="O16"/>
  <c r="Q16"/>
  <c r="S19"/>
  <c r="O19"/>
  <c r="Q19"/>
  <c r="V19" s="1"/>
  <c r="S15"/>
  <c r="Q15"/>
  <c r="V15" s="1"/>
  <c r="O15"/>
  <c r="S11"/>
  <c r="Q11"/>
  <c r="V11" s="1"/>
  <c r="M11"/>
  <c r="O11" s="1"/>
  <c r="X11" s="1"/>
  <c r="S14"/>
  <c r="Q14"/>
  <c r="O14"/>
  <c r="X14" s="1"/>
  <c r="V14"/>
  <c r="V20"/>
  <c r="X23"/>
  <c r="V28"/>
  <c r="S13"/>
  <c r="V13" s="1"/>
  <c r="Q13"/>
  <c r="O13"/>
  <c r="Q18"/>
  <c r="V18" s="1"/>
  <c r="S18"/>
  <c r="O18"/>
  <c r="O22"/>
  <c r="Q22"/>
  <c r="V22" s="1"/>
  <c r="S22"/>
  <c r="S21"/>
  <c r="O21"/>
  <c r="X21" s="1"/>
  <c r="Q21"/>
  <c r="V21" s="1"/>
  <c r="V27"/>
  <c r="X27" s="1"/>
  <c r="X28"/>
  <c r="O29"/>
  <c r="X29" s="1"/>
  <c r="Q20"/>
  <c r="S24"/>
  <c r="V24" s="1"/>
  <c r="X24" s="1"/>
  <c r="Q25"/>
  <c r="V25" s="1"/>
  <c r="X25" s="1"/>
  <c r="Q26"/>
  <c r="V26" s="1"/>
  <c r="X26" s="1"/>
  <c r="Q27"/>
  <c r="Q28"/>
  <c r="Q30"/>
  <c r="V30" s="1"/>
  <c r="X30" s="1"/>
  <c r="Q31"/>
  <c r="V31" s="1"/>
  <c r="X31" s="1"/>
  <c r="J32"/>
  <c r="O20"/>
  <c r="I10"/>
  <c r="Q10" l="1"/>
  <c r="S10"/>
  <c r="S32" s="1"/>
  <c r="M10"/>
  <c r="M32" s="1"/>
  <c r="I32"/>
  <c r="X22"/>
  <c r="X19"/>
  <c r="X17"/>
  <c r="X20"/>
  <c r="X18"/>
  <c r="V16"/>
  <c r="X16" s="1"/>
  <c r="X12"/>
  <c r="V17"/>
  <c r="X13"/>
  <c r="X15"/>
  <c r="Q32" l="1"/>
  <c r="V10"/>
  <c r="V32" s="1"/>
  <c r="O10"/>
  <c r="O32" l="1"/>
  <c r="X10"/>
  <c r="X32" s="1"/>
  <c r="F38" i="16" l="1"/>
  <c r="E38"/>
  <c r="D38"/>
  <c r="C38"/>
  <c r="W37"/>
  <c r="P37"/>
  <c r="K37"/>
  <c r="J37"/>
  <c r="Y37" s="1"/>
  <c r="H37"/>
  <c r="G37"/>
  <c r="I37" s="1"/>
  <c r="W36"/>
  <c r="P36"/>
  <c r="K36"/>
  <c r="J36"/>
  <c r="Y36" s="1"/>
  <c r="H36"/>
  <c r="G36"/>
  <c r="I36" s="1"/>
  <c r="W35"/>
  <c r="P35"/>
  <c r="K35"/>
  <c r="J35"/>
  <c r="Y35" s="1"/>
  <c r="H35"/>
  <c r="G35"/>
  <c r="I35" s="1"/>
  <c r="W34"/>
  <c r="P34"/>
  <c r="K34"/>
  <c r="J34"/>
  <c r="Y34" s="1"/>
  <c r="H34"/>
  <c r="G34"/>
  <c r="I34" s="1"/>
  <c r="W33"/>
  <c r="P33"/>
  <c r="K33"/>
  <c r="J33"/>
  <c r="Y33" s="1"/>
  <c r="H33"/>
  <c r="G33"/>
  <c r="I33" s="1"/>
  <c r="W32"/>
  <c r="P32"/>
  <c r="K32"/>
  <c r="J32"/>
  <c r="Y32" s="1"/>
  <c r="H32"/>
  <c r="G32"/>
  <c r="I32" s="1"/>
  <c r="W31"/>
  <c r="P31"/>
  <c r="K31"/>
  <c r="J31"/>
  <c r="Y31" s="1"/>
  <c r="H31"/>
  <c r="G31"/>
  <c r="I31" s="1"/>
  <c r="Y30"/>
  <c r="W30"/>
  <c r="U30"/>
  <c r="P30"/>
  <c r="K30"/>
  <c r="J30"/>
  <c r="H30"/>
  <c r="G30"/>
  <c r="I30" s="1"/>
  <c r="W29"/>
  <c r="P29"/>
  <c r="K29"/>
  <c r="J29"/>
  <c r="Y29" s="1"/>
  <c r="H29"/>
  <c r="G29"/>
  <c r="I29" s="1"/>
  <c r="W28"/>
  <c r="P28"/>
  <c r="K28"/>
  <c r="J28"/>
  <c r="Y28" s="1"/>
  <c r="H28"/>
  <c r="G28"/>
  <c r="I28" s="1"/>
  <c r="W27"/>
  <c r="P27"/>
  <c r="K27"/>
  <c r="J27"/>
  <c r="Y27" s="1"/>
  <c r="H27"/>
  <c r="G27"/>
  <c r="I27" s="1"/>
  <c r="W26"/>
  <c r="P26"/>
  <c r="K26"/>
  <c r="J26"/>
  <c r="Y26" s="1"/>
  <c r="H26"/>
  <c r="G26"/>
  <c r="I26" s="1"/>
  <c r="Y25"/>
  <c r="W25"/>
  <c r="P25"/>
  <c r="K25"/>
  <c r="J25"/>
  <c r="I25"/>
  <c r="Q25" s="1"/>
  <c r="H25"/>
  <c r="G25"/>
  <c r="W24"/>
  <c r="P24"/>
  <c r="K24"/>
  <c r="J24"/>
  <c r="Y24" s="1"/>
  <c r="I24"/>
  <c r="Q24" s="1"/>
  <c r="H24"/>
  <c r="G24"/>
  <c r="W23"/>
  <c r="Q23"/>
  <c r="P23"/>
  <c r="K23"/>
  <c r="J23"/>
  <c r="Y23" s="1"/>
  <c r="I23"/>
  <c r="S23" s="1"/>
  <c r="H23"/>
  <c r="G23"/>
  <c r="Y22"/>
  <c r="W22"/>
  <c r="U22"/>
  <c r="U38" s="1"/>
  <c r="T22"/>
  <c r="R22"/>
  <c r="P22"/>
  <c r="L22"/>
  <c r="K22"/>
  <c r="J22"/>
  <c r="H22"/>
  <c r="G22"/>
  <c r="I22" s="1"/>
  <c r="Y21"/>
  <c r="W21"/>
  <c r="T21"/>
  <c r="P21"/>
  <c r="K21"/>
  <c r="J21"/>
  <c r="I21"/>
  <c r="Q21" s="1"/>
  <c r="H21"/>
  <c r="G21"/>
  <c r="W20"/>
  <c r="R20"/>
  <c r="P20"/>
  <c r="K20"/>
  <c r="J20"/>
  <c r="Y20" s="1"/>
  <c r="H20"/>
  <c r="G20"/>
  <c r="I20" s="1"/>
  <c r="Y19"/>
  <c r="W19"/>
  <c r="P19"/>
  <c r="K19"/>
  <c r="J19"/>
  <c r="H19"/>
  <c r="G19"/>
  <c r="I19" s="1"/>
  <c r="W18"/>
  <c r="T18"/>
  <c r="R18"/>
  <c r="P18"/>
  <c r="K18"/>
  <c r="J18"/>
  <c r="Y18" s="1"/>
  <c r="H18"/>
  <c r="G18"/>
  <c r="I18" s="1"/>
  <c r="W17"/>
  <c r="T17"/>
  <c r="R17"/>
  <c r="P17"/>
  <c r="N17"/>
  <c r="K17"/>
  <c r="J17"/>
  <c r="Y17" s="1"/>
  <c r="H17"/>
  <c r="G17"/>
  <c r="I17" s="1"/>
  <c r="W16"/>
  <c r="T16"/>
  <c r="P16"/>
  <c r="N16"/>
  <c r="L16"/>
  <c r="K16"/>
  <c r="J16"/>
  <c r="Y16" s="1"/>
  <c r="H16"/>
  <c r="G16"/>
  <c r="I16" s="1"/>
  <c r="W15"/>
  <c r="R15"/>
  <c r="P15"/>
  <c r="N15"/>
  <c r="K15"/>
  <c r="K38" s="1"/>
  <c r="H15"/>
  <c r="G15"/>
  <c r="I15" s="1"/>
  <c r="C15"/>
  <c r="L15" s="1"/>
  <c r="W14"/>
  <c r="T14"/>
  <c r="P14"/>
  <c r="N14"/>
  <c r="L14"/>
  <c r="K14"/>
  <c r="J14"/>
  <c r="Y14" s="1"/>
  <c r="H14"/>
  <c r="G14"/>
  <c r="I14" s="1"/>
  <c r="W13"/>
  <c r="T13"/>
  <c r="P13"/>
  <c r="N13"/>
  <c r="L13"/>
  <c r="L38" s="1"/>
  <c r="K13"/>
  <c r="J13"/>
  <c r="Y13" s="1"/>
  <c r="H13"/>
  <c r="G13"/>
  <c r="I13" s="1"/>
  <c r="Y12"/>
  <c r="W12"/>
  <c r="T12"/>
  <c r="R12"/>
  <c r="R38" s="1"/>
  <c r="R39" s="1"/>
  <c r="P12"/>
  <c r="N12"/>
  <c r="N38" s="1"/>
  <c r="K12"/>
  <c r="J12"/>
  <c r="I12"/>
  <c r="S12" s="1"/>
  <c r="H12"/>
  <c r="G12"/>
  <c r="W11"/>
  <c r="T11"/>
  <c r="P11"/>
  <c r="K11"/>
  <c r="J11"/>
  <c r="Y11" s="1"/>
  <c r="H11"/>
  <c r="G11"/>
  <c r="I11" s="1"/>
  <c r="W10"/>
  <c r="W38" s="1"/>
  <c r="T10"/>
  <c r="T38" s="1"/>
  <c r="P10"/>
  <c r="P38" s="1"/>
  <c r="N10"/>
  <c r="K10"/>
  <c r="J10"/>
  <c r="Y10" s="1"/>
  <c r="H10"/>
  <c r="H38" s="1"/>
  <c r="G10"/>
  <c r="I10" s="1"/>
  <c r="F39" i="15"/>
  <c r="E39"/>
  <c r="D39"/>
  <c r="W38"/>
  <c r="P38"/>
  <c r="K38"/>
  <c r="J38"/>
  <c r="Y38" s="1"/>
  <c r="H38"/>
  <c r="I38" s="1"/>
  <c r="G38"/>
  <c r="W37"/>
  <c r="P37"/>
  <c r="K37"/>
  <c r="J37"/>
  <c r="Y37" s="1"/>
  <c r="H37"/>
  <c r="I37" s="1"/>
  <c r="G37"/>
  <c r="W36"/>
  <c r="P36"/>
  <c r="K36"/>
  <c r="J36"/>
  <c r="Y36" s="1"/>
  <c r="H36"/>
  <c r="I36" s="1"/>
  <c r="G36"/>
  <c r="W35"/>
  <c r="P35"/>
  <c r="K35"/>
  <c r="J35"/>
  <c r="Y35" s="1"/>
  <c r="H35"/>
  <c r="I35" s="1"/>
  <c r="G35"/>
  <c r="W34"/>
  <c r="P34"/>
  <c r="K34"/>
  <c r="J34"/>
  <c r="Y34" s="1"/>
  <c r="H34"/>
  <c r="I34" s="1"/>
  <c r="G34"/>
  <c r="W33"/>
  <c r="P33"/>
  <c r="K33"/>
  <c r="J33"/>
  <c r="Y33" s="1"/>
  <c r="H33"/>
  <c r="I33" s="1"/>
  <c r="G33"/>
  <c r="W32"/>
  <c r="P32"/>
  <c r="K32"/>
  <c r="J32"/>
  <c r="Y32" s="1"/>
  <c r="H32"/>
  <c r="I32" s="1"/>
  <c r="G32"/>
  <c r="Y31"/>
  <c r="W31"/>
  <c r="U31"/>
  <c r="P31"/>
  <c r="K31"/>
  <c r="J31"/>
  <c r="H31"/>
  <c r="G31"/>
  <c r="I31" s="1"/>
  <c r="W30"/>
  <c r="P30"/>
  <c r="K30"/>
  <c r="J30"/>
  <c r="Y30" s="1"/>
  <c r="H30"/>
  <c r="G30"/>
  <c r="I30" s="1"/>
  <c r="W29"/>
  <c r="P29"/>
  <c r="K29"/>
  <c r="J29"/>
  <c r="Y29" s="1"/>
  <c r="H29"/>
  <c r="G29"/>
  <c r="I29" s="1"/>
  <c r="W28"/>
  <c r="P28"/>
  <c r="K28"/>
  <c r="J28"/>
  <c r="Y28" s="1"/>
  <c r="H28"/>
  <c r="G28"/>
  <c r="I28" s="1"/>
  <c r="W27"/>
  <c r="P27"/>
  <c r="K27"/>
  <c r="J27"/>
  <c r="Y27" s="1"/>
  <c r="H27"/>
  <c r="G27"/>
  <c r="I27" s="1"/>
  <c r="W26"/>
  <c r="P26"/>
  <c r="K26"/>
  <c r="J26"/>
  <c r="Y26" s="1"/>
  <c r="H26"/>
  <c r="G26"/>
  <c r="I26" s="1"/>
  <c r="W25"/>
  <c r="P25"/>
  <c r="K25"/>
  <c r="J25"/>
  <c r="Y25" s="1"/>
  <c r="H25"/>
  <c r="G25"/>
  <c r="I25" s="1"/>
  <c r="Y24"/>
  <c r="W24"/>
  <c r="P24"/>
  <c r="K24"/>
  <c r="J24"/>
  <c r="I24"/>
  <c r="Q24" s="1"/>
  <c r="H24"/>
  <c r="G24"/>
  <c r="W23"/>
  <c r="U23"/>
  <c r="T23"/>
  <c r="R23"/>
  <c r="P23"/>
  <c r="L23"/>
  <c r="K23"/>
  <c r="J23"/>
  <c r="Y23" s="1"/>
  <c r="H23"/>
  <c r="I23" s="1"/>
  <c r="G23"/>
  <c r="Y22"/>
  <c r="W22"/>
  <c r="T22"/>
  <c r="P22"/>
  <c r="K22"/>
  <c r="J22"/>
  <c r="H22"/>
  <c r="G22"/>
  <c r="I22" s="1"/>
  <c r="W21"/>
  <c r="R21"/>
  <c r="P21"/>
  <c r="K21"/>
  <c r="J21"/>
  <c r="Y21" s="1"/>
  <c r="H21"/>
  <c r="I21" s="1"/>
  <c r="G21"/>
  <c r="Y20"/>
  <c r="W20"/>
  <c r="P20"/>
  <c r="K20"/>
  <c r="J20"/>
  <c r="H20"/>
  <c r="G20"/>
  <c r="I20" s="1"/>
  <c r="W19"/>
  <c r="T19"/>
  <c r="R19"/>
  <c r="P19"/>
  <c r="K19"/>
  <c r="J19"/>
  <c r="Y19" s="1"/>
  <c r="H19"/>
  <c r="I19" s="1"/>
  <c r="G19"/>
  <c r="W18"/>
  <c r="T18"/>
  <c r="R18"/>
  <c r="R39" s="1"/>
  <c r="R40" s="1"/>
  <c r="P18"/>
  <c r="N18"/>
  <c r="K18"/>
  <c r="J18"/>
  <c r="Y18" s="1"/>
  <c r="H18"/>
  <c r="I18" s="1"/>
  <c r="G18"/>
  <c r="W17"/>
  <c r="T17"/>
  <c r="P17"/>
  <c r="N17"/>
  <c r="L17"/>
  <c r="K17"/>
  <c r="J17"/>
  <c r="Y17" s="1"/>
  <c r="H17"/>
  <c r="I17" s="1"/>
  <c r="G17"/>
  <c r="W16"/>
  <c r="R16"/>
  <c r="P16"/>
  <c r="N16"/>
  <c r="H16"/>
  <c r="C16"/>
  <c r="C39" s="1"/>
  <c r="W15"/>
  <c r="T15"/>
  <c r="P15"/>
  <c r="N15"/>
  <c r="L15"/>
  <c r="K15"/>
  <c r="J15"/>
  <c r="Y15" s="1"/>
  <c r="H15"/>
  <c r="G15"/>
  <c r="I15" s="1"/>
  <c r="W14"/>
  <c r="T14"/>
  <c r="P14"/>
  <c r="N14"/>
  <c r="L14"/>
  <c r="K14"/>
  <c r="J14"/>
  <c r="Y14" s="1"/>
  <c r="H14"/>
  <c r="G14"/>
  <c r="I14" s="1"/>
  <c r="W13"/>
  <c r="T13"/>
  <c r="R13"/>
  <c r="P13"/>
  <c r="N13"/>
  <c r="K13"/>
  <c r="J13"/>
  <c r="Y13" s="1"/>
  <c r="H13"/>
  <c r="G13"/>
  <c r="I13" s="1"/>
  <c r="Y12"/>
  <c r="W12"/>
  <c r="T12"/>
  <c r="P12"/>
  <c r="K12"/>
  <c r="J12"/>
  <c r="H12"/>
  <c r="G12"/>
  <c r="I12" s="1"/>
  <c r="W11"/>
  <c r="W39" s="1"/>
  <c r="T11"/>
  <c r="T39" s="1"/>
  <c r="P11"/>
  <c r="P39" s="1"/>
  <c r="N11"/>
  <c r="N39" s="1"/>
  <c r="K11"/>
  <c r="J11"/>
  <c r="Y11" s="1"/>
  <c r="H11"/>
  <c r="G11"/>
  <c r="I11" s="1"/>
  <c r="Y10"/>
  <c r="U10"/>
  <c r="U39" s="1"/>
  <c r="P10"/>
  <c r="H10"/>
  <c r="H39" s="1"/>
  <c r="G10"/>
  <c r="S14" i="16" l="1"/>
  <c r="O14"/>
  <c r="Q14"/>
  <c r="V14" s="1"/>
  <c r="Q26"/>
  <c r="V26" s="1"/>
  <c r="O26"/>
  <c r="X26" s="1"/>
  <c r="Q28"/>
  <c r="V28" s="1"/>
  <c r="O28"/>
  <c r="Q30"/>
  <c r="V30" s="1"/>
  <c r="O30"/>
  <c r="X30" s="1"/>
  <c r="O31"/>
  <c r="X31" s="1"/>
  <c r="Q31"/>
  <c r="V31" s="1"/>
  <c r="O33"/>
  <c r="Q33"/>
  <c r="V33" s="1"/>
  <c r="O35"/>
  <c r="X35" s="1"/>
  <c r="Q35"/>
  <c r="V35" s="1"/>
  <c r="O37"/>
  <c r="Q37"/>
  <c r="V37" s="1"/>
  <c r="S13"/>
  <c r="V13" s="1"/>
  <c r="O13"/>
  <c r="Q13"/>
  <c r="S18"/>
  <c r="O18"/>
  <c r="Q18"/>
  <c r="Q19"/>
  <c r="S19"/>
  <c r="O19"/>
  <c r="Q15"/>
  <c r="S15"/>
  <c r="S17"/>
  <c r="O17"/>
  <c r="Q17"/>
  <c r="S20"/>
  <c r="V20" s="1"/>
  <c r="O20"/>
  <c r="Q20"/>
  <c r="S22"/>
  <c r="O22"/>
  <c r="Q22"/>
  <c r="V22" s="1"/>
  <c r="Q27"/>
  <c r="V27" s="1"/>
  <c r="O27"/>
  <c r="Q29"/>
  <c r="V29" s="1"/>
  <c r="O29"/>
  <c r="O32"/>
  <c r="X32" s="1"/>
  <c r="Q32"/>
  <c r="V32" s="1"/>
  <c r="O34"/>
  <c r="X34" s="1"/>
  <c r="Q34"/>
  <c r="V34" s="1"/>
  <c r="O36"/>
  <c r="X36" s="1"/>
  <c r="Q36"/>
  <c r="V36" s="1"/>
  <c r="S10"/>
  <c r="I38"/>
  <c r="Q10"/>
  <c r="M10"/>
  <c r="Q11"/>
  <c r="S11"/>
  <c r="M11"/>
  <c r="O11" s="1"/>
  <c r="X11" s="1"/>
  <c r="Q16"/>
  <c r="S16"/>
  <c r="O16"/>
  <c r="V16"/>
  <c r="V15"/>
  <c r="V23"/>
  <c r="V24"/>
  <c r="V11"/>
  <c r="G38"/>
  <c r="M12"/>
  <c r="O12" s="1"/>
  <c r="X12" s="1"/>
  <c r="Q12"/>
  <c r="V12" s="1"/>
  <c r="J15"/>
  <c r="O21"/>
  <c r="O24"/>
  <c r="O25"/>
  <c r="S21"/>
  <c r="V21" s="1"/>
  <c r="O23"/>
  <c r="X23" s="1"/>
  <c r="S25"/>
  <c r="V25" s="1"/>
  <c r="O27" i="15"/>
  <c r="X27" s="1"/>
  <c r="Q27"/>
  <c r="V27" s="1"/>
  <c r="O29"/>
  <c r="X29" s="1"/>
  <c r="Q29"/>
  <c r="V29" s="1"/>
  <c r="Q15"/>
  <c r="V15" s="1"/>
  <c r="S15"/>
  <c r="O15"/>
  <c r="Q17"/>
  <c r="O17"/>
  <c r="X17" s="1"/>
  <c r="S17"/>
  <c r="O33"/>
  <c r="Q33"/>
  <c r="O35"/>
  <c r="Q35"/>
  <c r="V35" s="1"/>
  <c r="O37"/>
  <c r="Q37"/>
  <c r="Q14"/>
  <c r="S14"/>
  <c r="O14"/>
  <c r="Q22"/>
  <c r="O22"/>
  <c r="S22"/>
  <c r="Q26"/>
  <c r="V26" s="1"/>
  <c r="S26"/>
  <c r="O26"/>
  <c r="X26" s="1"/>
  <c r="O28"/>
  <c r="X28" s="1"/>
  <c r="Q28"/>
  <c r="V28" s="1"/>
  <c r="O30"/>
  <c r="Q30"/>
  <c r="V30" s="1"/>
  <c r="Y39"/>
  <c r="V38"/>
  <c r="V22"/>
  <c r="V33"/>
  <c r="V37"/>
  <c r="Q18"/>
  <c r="V18" s="1"/>
  <c r="S18"/>
  <c r="O18"/>
  <c r="O20"/>
  <c r="S20"/>
  <c r="V20" s="1"/>
  <c r="Q20"/>
  <c r="S21"/>
  <c r="O21"/>
  <c r="Q21"/>
  <c r="V21" s="1"/>
  <c r="Q25"/>
  <c r="V25" s="1"/>
  <c r="O25"/>
  <c r="O31"/>
  <c r="Q31"/>
  <c r="V31" s="1"/>
  <c r="Q23"/>
  <c r="V23" s="1"/>
  <c r="S23"/>
  <c r="O23"/>
  <c r="Q11"/>
  <c r="V11" s="1"/>
  <c r="M11"/>
  <c r="M39" s="1"/>
  <c r="S11"/>
  <c r="S12"/>
  <c r="M12"/>
  <c r="O12" s="1"/>
  <c r="X12" s="1"/>
  <c r="Q12"/>
  <c r="S13"/>
  <c r="O13"/>
  <c r="Q13"/>
  <c r="M13"/>
  <c r="S19"/>
  <c r="O19"/>
  <c r="Q19"/>
  <c r="O32"/>
  <c r="Q32"/>
  <c r="V32" s="1"/>
  <c r="O34"/>
  <c r="Q34"/>
  <c r="V34" s="1"/>
  <c r="O36"/>
  <c r="Q36"/>
  <c r="V36" s="1"/>
  <c r="O38"/>
  <c r="Q38"/>
  <c r="V14"/>
  <c r="V17"/>
  <c r="V12"/>
  <c r="I10"/>
  <c r="O24"/>
  <c r="J16"/>
  <c r="Y16" s="1"/>
  <c r="L16"/>
  <c r="L39" s="1"/>
  <c r="S24"/>
  <c r="V24" s="1"/>
  <c r="G16"/>
  <c r="I16" s="1"/>
  <c r="K16"/>
  <c r="K39" s="1"/>
  <c r="J38" i="16" l="1"/>
  <c r="Y15"/>
  <c r="Y38" s="1"/>
  <c r="M38"/>
  <c r="S38"/>
  <c r="X22"/>
  <c r="O15"/>
  <c r="X15" s="1"/>
  <c r="X21"/>
  <c r="V10"/>
  <c r="X29"/>
  <c r="X20"/>
  <c r="X14"/>
  <c r="X24"/>
  <c r="O10"/>
  <c r="V18"/>
  <c r="X18" s="1"/>
  <c r="X13"/>
  <c r="X28"/>
  <c r="X25"/>
  <c r="X16"/>
  <c r="Q38"/>
  <c r="X27"/>
  <c r="V17"/>
  <c r="X17" s="1"/>
  <c r="V19"/>
  <c r="X19" s="1"/>
  <c r="X37"/>
  <c r="X33"/>
  <c r="Q10" i="15"/>
  <c r="O10"/>
  <c r="I39"/>
  <c r="S10"/>
  <c r="Q16"/>
  <c r="V16" s="1"/>
  <c r="S16"/>
  <c r="O16"/>
  <c r="X35"/>
  <c r="X24"/>
  <c r="X34"/>
  <c r="V19"/>
  <c r="V13"/>
  <c r="X13" s="1"/>
  <c r="X25"/>
  <c r="X18"/>
  <c r="X14"/>
  <c r="X37"/>
  <c r="X33"/>
  <c r="X15"/>
  <c r="X22"/>
  <c r="X38"/>
  <c r="X19"/>
  <c r="J39"/>
  <c r="G39"/>
  <c r="X36"/>
  <c r="X32"/>
  <c r="O11"/>
  <c r="X11" s="1"/>
  <c r="X23"/>
  <c r="X31"/>
  <c r="X21"/>
  <c r="X20"/>
  <c r="X30"/>
  <c r="X10" i="16" l="1"/>
  <c r="X38" s="1"/>
  <c r="O38"/>
  <c r="V38"/>
  <c r="Q39" i="15"/>
  <c r="V10"/>
  <c r="V39" s="1"/>
  <c r="O39"/>
  <c r="X16"/>
  <c r="S39"/>
  <c r="X10" l="1"/>
  <c r="X39" s="1"/>
  <c r="T39" i="14" l="1"/>
  <c r="F39"/>
  <c r="E39"/>
  <c r="D39"/>
  <c r="W38"/>
  <c r="P38"/>
  <c r="K38"/>
  <c r="J38"/>
  <c r="Y38" s="1"/>
  <c r="H38"/>
  <c r="G38"/>
  <c r="I38" s="1"/>
  <c r="W37"/>
  <c r="P37"/>
  <c r="K37"/>
  <c r="J37"/>
  <c r="Y37" s="1"/>
  <c r="H37"/>
  <c r="G37"/>
  <c r="I37" s="1"/>
  <c r="W36"/>
  <c r="P36"/>
  <c r="K36"/>
  <c r="J36"/>
  <c r="Y36" s="1"/>
  <c r="H36"/>
  <c r="G36"/>
  <c r="I36" s="1"/>
  <c r="W35"/>
  <c r="P35"/>
  <c r="K35"/>
  <c r="J35"/>
  <c r="Y35" s="1"/>
  <c r="H35"/>
  <c r="G35"/>
  <c r="I35" s="1"/>
  <c r="W34"/>
  <c r="P34"/>
  <c r="K34"/>
  <c r="J34"/>
  <c r="Y34" s="1"/>
  <c r="H34"/>
  <c r="G34"/>
  <c r="I34" s="1"/>
  <c r="W33"/>
  <c r="P33"/>
  <c r="K33"/>
  <c r="J33"/>
  <c r="Y33" s="1"/>
  <c r="H33"/>
  <c r="G33"/>
  <c r="I33" s="1"/>
  <c r="W32"/>
  <c r="P32"/>
  <c r="K32"/>
  <c r="J32"/>
  <c r="Y32" s="1"/>
  <c r="H32"/>
  <c r="G32"/>
  <c r="I32" s="1"/>
  <c r="W31"/>
  <c r="P31"/>
  <c r="K31"/>
  <c r="J31"/>
  <c r="Y31" s="1"/>
  <c r="H31"/>
  <c r="G31"/>
  <c r="I31" s="1"/>
  <c r="W30"/>
  <c r="P30"/>
  <c r="K30"/>
  <c r="J30"/>
  <c r="Y30" s="1"/>
  <c r="H30"/>
  <c r="G30"/>
  <c r="I30" s="1"/>
  <c r="W29"/>
  <c r="P29"/>
  <c r="K29"/>
  <c r="J29"/>
  <c r="Y29" s="1"/>
  <c r="H29"/>
  <c r="G29"/>
  <c r="I29" s="1"/>
  <c r="W28"/>
  <c r="P28"/>
  <c r="K28"/>
  <c r="J28"/>
  <c r="Y28" s="1"/>
  <c r="H28"/>
  <c r="G28"/>
  <c r="I28" s="1"/>
  <c r="W27"/>
  <c r="P27"/>
  <c r="K27"/>
  <c r="J27"/>
  <c r="Y27" s="1"/>
  <c r="H27"/>
  <c r="G27"/>
  <c r="I27" s="1"/>
  <c r="W26"/>
  <c r="P26"/>
  <c r="K26"/>
  <c r="J26"/>
  <c r="Y26" s="1"/>
  <c r="I26"/>
  <c r="Q26" s="1"/>
  <c r="H26"/>
  <c r="G26"/>
  <c r="W25"/>
  <c r="P25"/>
  <c r="V25" s="1"/>
  <c r="K25"/>
  <c r="J25"/>
  <c r="Y25" s="1"/>
  <c r="I25"/>
  <c r="Q25" s="1"/>
  <c r="H25"/>
  <c r="G25"/>
  <c r="W24"/>
  <c r="Q24"/>
  <c r="P24"/>
  <c r="V24" s="1"/>
  <c r="K24"/>
  <c r="J24"/>
  <c r="Y24" s="1"/>
  <c r="I24"/>
  <c r="S24" s="1"/>
  <c r="H24"/>
  <c r="G24"/>
  <c r="Y23"/>
  <c r="W23"/>
  <c r="U23"/>
  <c r="T23"/>
  <c r="R23"/>
  <c r="P23"/>
  <c r="L23"/>
  <c r="K23"/>
  <c r="J23"/>
  <c r="H23"/>
  <c r="G23"/>
  <c r="I23" s="1"/>
  <c r="Y22"/>
  <c r="W22"/>
  <c r="T22"/>
  <c r="P22"/>
  <c r="K22"/>
  <c r="J22"/>
  <c r="I22"/>
  <c r="Q22" s="1"/>
  <c r="H22"/>
  <c r="G22"/>
  <c r="W21"/>
  <c r="R21"/>
  <c r="P21"/>
  <c r="K21"/>
  <c r="J21"/>
  <c r="Y21" s="1"/>
  <c r="H21"/>
  <c r="G21"/>
  <c r="I21" s="1"/>
  <c r="Y20"/>
  <c r="W20"/>
  <c r="P20"/>
  <c r="K20"/>
  <c r="J20"/>
  <c r="H20"/>
  <c r="G20"/>
  <c r="I20" s="1"/>
  <c r="W19"/>
  <c r="T19"/>
  <c r="R19"/>
  <c r="P19"/>
  <c r="K19"/>
  <c r="J19"/>
  <c r="Y19" s="1"/>
  <c r="H19"/>
  <c r="G19"/>
  <c r="I19" s="1"/>
  <c r="W18"/>
  <c r="T18"/>
  <c r="R18"/>
  <c r="P18"/>
  <c r="N18"/>
  <c r="K18"/>
  <c r="J18"/>
  <c r="Y18" s="1"/>
  <c r="H18"/>
  <c r="G18"/>
  <c r="I18" s="1"/>
  <c r="W17"/>
  <c r="T17"/>
  <c r="P17"/>
  <c r="N17"/>
  <c r="L17"/>
  <c r="K17"/>
  <c r="J17"/>
  <c r="Y17" s="1"/>
  <c r="H17"/>
  <c r="G17"/>
  <c r="I17" s="1"/>
  <c r="W16"/>
  <c r="R16"/>
  <c r="P16"/>
  <c r="N16"/>
  <c r="K16"/>
  <c r="H16"/>
  <c r="G16"/>
  <c r="I16" s="1"/>
  <c r="C16"/>
  <c r="L16" s="1"/>
  <c r="W15"/>
  <c r="T15"/>
  <c r="P15"/>
  <c r="N15"/>
  <c r="L15"/>
  <c r="K15"/>
  <c r="J15"/>
  <c r="Y15" s="1"/>
  <c r="H15"/>
  <c r="G15"/>
  <c r="I15" s="1"/>
  <c r="W14"/>
  <c r="T14"/>
  <c r="P14"/>
  <c r="N14"/>
  <c r="L14"/>
  <c r="K14"/>
  <c r="J14"/>
  <c r="Y14" s="1"/>
  <c r="H14"/>
  <c r="G14"/>
  <c r="I14" s="1"/>
  <c r="W13"/>
  <c r="T13"/>
  <c r="R13"/>
  <c r="R39" s="1"/>
  <c r="R40" s="1"/>
  <c r="P13"/>
  <c r="N13"/>
  <c r="K13"/>
  <c r="J13"/>
  <c r="Y13" s="1"/>
  <c r="I13"/>
  <c r="S13" s="1"/>
  <c r="H13"/>
  <c r="G13"/>
  <c r="Y12"/>
  <c r="W12"/>
  <c r="T12"/>
  <c r="P12"/>
  <c r="K12"/>
  <c r="J12"/>
  <c r="H12"/>
  <c r="G12"/>
  <c r="I12" s="1"/>
  <c r="W11"/>
  <c r="W39" s="1"/>
  <c r="T11"/>
  <c r="P11"/>
  <c r="N11"/>
  <c r="N39" s="1"/>
  <c r="K11"/>
  <c r="K39" s="1"/>
  <c r="J11"/>
  <c r="H11"/>
  <c r="H39" s="1"/>
  <c r="G11"/>
  <c r="I11" s="1"/>
  <c r="Y10"/>
  <c r="U10"/>
  <c r="U39" s="1"/>
  <c r="P10"/>
  <c r="H10"/>
  <c r="G10"/>
  <c r="I10" s="1"/>
  <c r="Q16" l="1"/>
  <c r="V16" s="1"/>
  <c r="S16"/>
  <c r="S18"/>
  <c r="O18"/>
  <c r="X18" s="1"/>
  <c r="Q18"/>
  <c r="V18" s="1"/>
  <c r="S21"/>
  <c r="O21"/>
  <c r="Q21"/>
  <c r="Q17"/>
  <c r="O17"/>
  <c r="S17"/>
  <c r="Q28"/>
  <c r="V28" s="1"/>
  <c r="O28"/>
  <c r="Q30"/>
  <c r="V30" s="1"/>
  <c r="O30"/>
  <c r="X30" s="1"/>
  <c r="Q32"/>
  <c r="V32" s="1"/>
  <c r="O32"/>
  <c r="Q34"/>
  <c r="V34" s="1"/>
  <c r="O34"/>
  <c r="X34" s="1"/>
  <c r="Q36"/>
  <c r="V36" s="1"/>
  <c r="O36"/>
  <c r="O38"/>
  <c r="Q38"/>
  <c r="V38" s="1"/>
  <c r="I39"/>
  <c r="Q10"/>
  <c r="S10"/>
  <c r="O10"/>
  <c r="S15"/>
  <c r="V15" s="1"/>
  <c r="Q15"/>
  <c r="O15"/>
  <c r="V11"/>
  <c r="V26"/>
  <c r="S23"/>
  <c r="O23"/>
  <c r="Q23"/>
  <c r="S11"/>
  <c r="Q11"/>
  <c r="M11"/>
  <c r="M39" s="1"/>
  <c r="S12"/>
  <c r="Q12"/>
  <c r="V12" s="1"/>
  <c r="M12"/>
  <c r="O12" s="1"/>
  <c r="X12" s="1"/>
  <c r="S14"/>
  <c r="O14"/>
  <c r="Q14"/>
  <c r="V14" s="1"/>
  <c r="S19"/>
  <c r="O19"/>
  <c r="Q19"/>
  <c r="Q20"/>
  <c r="V20" s="1"/>
  <c r="S20"/>
  <c r="O20"/>
  <c r="O27"/>
  <c r="Q27"/>
  <c r="V27" s="1"/>
  <c r="O29"/>
  <c r="X29" s="1"/>
  <c r="Q29"/>
  <c r="V29" s="1"/>
  <c r="O31"/>
  <c r="Q31"/>
  <c r="V31" s="1"/>
  <c r="Q33"/>
  <c r="V33" s="1"/>
  <c r="O33"/>
  <c r="Q35"/>
  <c r="V35" s="1"/>
  <c r="O35"/>
  <c r="X35" s="1"/>
  <c r="O37"/>
  <c r="X37" s="1"/>
  <c r="Q37"/>
  <c r="V37" s="1"/>
  <c r="V21"/>
  <c r="L39"/>
  <c r="V17"/>
  <c r="V23"/>
  <c r="P39"/>
  <c r="Q13"/>
  <c r="V13" s="1"/>
  <c r="O22"/>
  <c r="O25"/>
  <c r="X25" s="1"/>
  <c r="C39"/>
  <c r="G39"/>
  <c r="Y11"/>
  <c r="Y39" s="1"/>
  <c r="S22"/>
  <c r="V22" s="1"/>
  <c r="O24"/>
  <c r="X24" s="1"/>
  <c r="S26"/>
  <c r="M13"/>
  <c r="O13" s="1"/>
  <c r="X13" s="1"/>
  <c r="J16"/>
  <c r="Y16" s="1"/>
  <c r="O26"/>
  <c r="X26" s="1"/>
  <c r="X23" l="1"/>
  <c r="J39"/>
  <c r="O11"/>
  <c r="X11" s="1"/>
  <c r="Q39"/>
  <c r="X36"/>
  <c r="X32"/>
  <c r="X28"/>
  <c r="X33"/>
  <c r="X20"/>
  <c r="X15"/>
  <c r="S39"/>
  <c r="X38"/>
  <c r="X17"/>
  <c r="O16"/>
  <c r="X16" s="1"/>
  <c r="X10"/>
  <c r="O39"/>
  <c r="X22"/>
  <c r="X31"/>
  <c r="X27"/>
  <c r="V19"/>
  <c r="X19" s="1"/>
  <c r="X14"/>
  <c r="V10"/>
  <c r="X21"/>
  <c r="V39" l="1"/>
  <c r="X39"/>
  <c r="T39" i="13" l="1"/>
  <c r="F39"/>
  <c r="E39"/>
  <c r="D39"/>
  <c r="W38"/>
  <c r="P38"/>
  <c r="K38"/>
  <c r="J38"/>
  <c r="Y38" s="1"/>
  <c r="H38"/>
  <c r="G38"/>
  <c r="I38" s="1"/>
  <c r="W37"/>
  <c r="P37"/>
  <c r="K37"/>
  <c r="J37"/>
  <c r="Y37" s="1"/>
  <c r="H37"/>
  <c r="G37"/>
  <c r="I37" s="1"/>
  <c r="W36"/>
  <c r="P36"/>
  <c r="K36"/>
  <c r="J36"/>
  <c r="Y36" s="1"/>
  <c r="H36"/>
  <c r="G36"/>
  <c r="I36" s="1"/>
  <c r="W35"/>
  <c r="P35"/>
  <c r="K35"/>
  <c r="J35"/>
  <c r="Y35" s="1"/>
  <c r="H35"/>
  <c r="G35"/>
  <c r="I35" s="1"/>
  <c r="W34"/>
  <c r="P34"/>
  <c r="K34"/>
  <c r="J34"/>
  <c r="Y34" s="1"/>
  <c r="H34"/>
  <c r="G34"/>
  <c r="I34" s="1"/>
  <c r="W33"/>
  <c r="P33"/>
  <c r="K33"/>
  <c r="J33"/>
  <c r="Y33" s="1"/>
  <c r="H33"/>
  <c r="G33"/>
  <c r="I33" s="1"/>
  <c r="W32"/>
  <c r="P32"/>
  <c r="K32"/>
  <c r="J32"/>
  <c r="Y32" s="1"/>
  <c r="H32"/>
  <c r="G32"/>
  <c r="I32" s="1"/>
  <c r="W31"/>
  <c r="P31"/>
  <c r="K31"/>
  <c r="J31"/>
  <c r="Y31" s="1"/>
  <c r="H31"/>
  <c r="G31"/>
  <c r="I31" s="1"/>
  <c r="W30"/>
  <c r="P30"/>
  <c r="K30"/>
  <c r="J30"/>
  <c r="Y30" s="1"/>
  <c r="H30"/>
  <c r="G30"/>
  <c r="I30" s="1"/>
  <c r="W29"/>
  <c r="P29"/>
  <c r="K29"/>
  <c r="J29"/>
  <c r="Y29" s="1"/>
  <c r="H29"/>
  <c r="G29"/>
  <c r="I29" s="1"/>
  <c r="W28"/>
  <c r="P28"/>
  <c r="K28"/>
  <c r="J28"/>
  <c r="Y28" s="1"/>
  <c r="H28"/>
  <c r="G28"/>
  <c r="I28" s="1"/>
  <c r="W27"/>
  <c r="P27"/>
  <c r="K27"/>
  <c r="J27"/>
  <c r="Y27" s="1"/>
  <c r="H27"/>
  <c r="G27"/>
  <c r="I27" s="1"/>
  <c r="W26"/>
  <c r="P26"/>
  <c r="K26"/>
  <c r="J26"/>
  <c r="Y26" s="1"/>
  <c r="I26"/>
  <c r="S26" s="1"/>
  <c r="H26"/>
  <c r="G26"/>
  <c r="W25"/>
  <c r="P25"/>
  <c r="K25"/>
  <c r="J25"/>
  <c r="Y25" s="1"/>
  <c r="I25"/>
  <c r="O25" s="1"/>
  <c r="H25"/>
  <c r="G25"/>
  <c r="W24"/>
  <c r="Q24"/>
  <c r="P24"/>
  <c r="K24"/>
  <c r="J24"/>
  <c r="Y24" s="1"/>
  <c r="I24"/>
  <c r="O24" s="1"/>
  <c r="H24"/>
  <c r="G24"/>
  <c r="Y23"/>
  <c r="W23"/>
  <c r="U23"/>
  <c r="T23"/>
  <c r="R23"/>
  <c r="P23"/>
  <c r="L23"/>
  <c r="K23"/>
  <c r="J23"/>
  <c r="H23"/>
  <c r="G23"/>
  <c r="I23" s="1"/>
  <c r="Y22"/>
  <c r="W22"/>
  <c r="T22"/>
  <c r="P22"/>
  <c r="K22"/>
  <c r="J22"/>
  <c r="I22"/>
  <c r="S22" s="1"/>
  <c r="H22"/>
  <c r="G22"/>
  <c r="W21"/>
  <c r="R21"/>
  <c r="P21"/>
  <c r="K21"/>
  <c r="J21"/>
  <c r="Y21" s="1"/>
  <c r="H21"/>
  <c r="G21"/>
  <c r="I21" s="1"/>
  <c r="Y20"/>
  <c r="W20"/>
  <c r="P20"/>
  <c r="K20"/>
  <c r="J20"/>
  <c r="H20"/>
  <c r="G20"/>
  <c r="I20" s="1"/>
  <c r="W19"/>
  <c r="T19"/>
  <c r="R19"/>
  <c r="P19"/>
  <c r="K19"/>
  <c r="J19"/>
  <c r="Y19" s="1"/>
  <c r="H19"/>
  <c r="G19"/>
  <c r="I19" s="1"/>
  <c r="W18"/>
  <c r="T18"/>
  <c r="R18"/>
  <c r="P18"/>
  <c r="N18"/>
  <c r="K18"/>
  <c r="J18"/>
  <c r="Y18" s="1"/>
  <c r="H18"/>
  <c r="G18"/>
  <c r="I18" s="1"/>
  <c r="W17"/>
  <c r="T17"/>
  <c r="P17"/>
  <c r="N17"/>
  <c r="L17"/>
  <c r="K17"/>
  <c r="J17"/>
  <c r="Y17" s="1"/>
  <c r="H17"/>
  <c r="G17"/>
  <c r="I17" s="1"/>
  <c r="W16"/>
  <c r="R16"/>
  <c r="P16"/>
  <c r="N16"/>
  <c r="K16"/>
  <c r="H16"/>
  <c r="G16"/>
  <c r="I16" s="1"/>
  <c r="C16"/>
  <c r="L16" s="1"/>
  <c r="W15"/>
  <c r="T15"/>
  <c r="P15"/>
  <c r="N15"/>
  <c r="L15"/>
  <c r="K15"/>
  <c r="J15"/>
  <c r="Y15" s="1"/>
  <c r="H15"/>
  <c r="G15"/>
  <c r="I15" s="1"/>
  <c r="W14"/>
  <c r="T14"/>
  <c r="P14"/>
  <c r="N14"/>
  <c r="L14"/>
  <c r="K14"/>
  <c r="J14"/>
  <c r="Y14" s="1"/>
  <c r="H14"/>
  <c r="G14"/>
  <c r="I14" s="1"/>
  <c r="W13"/>
  <c r="T13"/>
  <c r="R13"/>
  <c r="R39" s="1"/>
  <c r="P13"/>
  <c r="N13"/>
  <c r="K13"/>
  <c r="J13"/>
  <c r="Y13" s="1"/>
  <c r="I13"/>
  <c r="Q13" s="1"/>
  <c r="H13"/>
  <c r="G13"/>
  <c r="W12"/>
  <c r="T12"/>
  <c r="P12"/>
  <c r="K12"/>
  <c r="J12"/>
  <c r="Y12" s="1"/>
  <c r="H12"/>
  <c r="G12"/>
  <c r="I12" s="1"/>
  <c r="W11"/>
  <c r="T11"/>
  <c r="P11"/>
  <c r="N11"/>
  <c r="N39" s="1"/>
  <c r="K11"/>
  <c r="J11"/>
  <c r="Y11" s="1"/>
  <c r="H11"/>
  <c r="H39" s="1"/>
  <c r="G11"/>
  <c r="I11" s="1"/>
  <c r="W10"/>
  <c r="W39" s="1"/>
  <c r="U10"/>
  <c r="U39" s="1"/>
  <c r="P10"/>
  <c r="K10"/>
  <c r="K39" s="1"/>
  <c r="J10"/>
  <c r="H10"/>
  <c r="G10"/>
  <c r="I10" s="1"/>
  <c r="Q38" l="1"/>
  <c r="V38" s="1"/>
  <c r="O38"/>
  <c r="X38" s="1"/>
  <c r="I39"/>
  <c r="S10"/>
  <c r="M10"/>
  <c r="Q10"/>
  <c r="O14"/>
  <c r="Q14"/>
  <c r="S14"/>
  <c r="V14" s="1"/>
  <c r="Q19"/>
  <c r="V19" s="1"/>
  <c r="S19"/>
  <c r="O19"/>
  <c r="Q20"/>
  <c r="V20" s="1"/>
  <c r="S20"/>
  <c r="O20"/>
  <c r="M11"/>
  <c r="O11" s="1"/>
  <c r="X11" s="1"/>
  <c r="S11"/>
  <c r="Q11"/>
  <c r="Q12"/>
  <c r="S12"/>
  <c r="V12" s="1"/>
  <c r="O12"/>
  <c r="M12"/>
  <c r="Q16"/>
  <c r="S16"/>
  <c r="S18"/>
  <c r="O18"/>
  <c r="Q18"/>
  <c r="V18" s="1"/>
  <c r="Q21"/>
  <c r="S21"/>
  <c r="O21"/>
  <c r="S23"/>
  <c r="O23"/>
  <c r="Q23"/>
  <c r="V10"/>
  <c r="V11"/>
  <c r="V23"/>
  <c r="V16"/>
  <c r="V21"/>
  <c r="V25"/>
  <c r="S17"/>
  <c r="Q17"/>
  <c r="V17" s="1"/>
  <c r="O17"/>
  <c r="Q28"/>
  <c r="V28" s="1"/>
  <c r="O28"/>
  <c r="Q30"/>
  <c r="V30" s="1"/>
  <c r="O30"/>
  <c r="Q32"/>
  <c r="V32" s="1"/>
  <c r="O32"/>
  <c r="Q34"/>
  <c r="V34" s="1"/>
  <c r="O34"/>
  <c r="Q36"/>
  <c r="V36" s="1"/>
  <c r="O36"/>
  <c r="O15"/>
  <c r="S15"/>
  <c r="Q15"/>
  <c r="V15" s="1"/>
  <c r="Q27"/>
  <c r="V27" s="1"/>
  <c r="O27"/>
  <c r="Q29"/>
  <c r="V29" s="1"/>
  <c r="O29"/>
  <c r="X29" s="1"/>
  <c r="Q31"/>
  <c r="V31" s="1"/>
  <c r="O31"/>
  <c r="Q33"/>
  <c r="V33" s="1"/>
  <c r="O33"/>
  <c r="X33" s="1"/>
  <c r="Q35"/>
  <c r="V35" s="1"/>
  <c r="O35"/>
  <c r="Q37"/>
  <c r="V37" s="1"/>
  <c r="O37"/>
  <c r="X37" s="1"/>
  <c r="J39"/>
  <c r="L39"/>
  <c r="X25"/>
  <c r="P39"/>
  <c r="M13"/>
  <c r="O13" s="1"/>
  <c r="X13" s="1"/>
  <c r="J16"/>
  <c r="Y16" s="1"/>
  <c r="O26"/>
  <c r="C39"/>
  <c r="G39"/>
  <c r="S13"/>
  <c r="V13" s="1"/>
  <c r="Q22"/>
  <c r="V22" s="1"/>
  <c r="S24"/>
  <c r="V24" s="1"/>
  <c r="X24" s="1"/>
  <c r="Q25"/>
  <c r="Q26"/>
  <c r="V26" s="1"/>
  <c r="O22"/>
  <c r="Y10"/>
  <c r="Y39" s="1"/>
  <c r="X26" l="1"/>
  <c r="V39"/>
  <c r="M39"/>
  <c r="X36"/>
  <c r="X28"/>
  <c r="X23"/>
  <c r="X12"/>
  <c r="O10"/>
  <c r="X31"/>
  <c r="X27"/>
  <c r="X34"/>
  <c r="X30"/>
  <c r="X17"/>
  <c r="X21"/>
  <c r="X18"/>
  <c r="O16"/>
  <c r="X16" s="1"/>
  <c r="X19"/>
  <c r="S39"/>
  <c r="X22"/>
  <c r="X32"/>
  <c r="Q39"/>
  <c r="X35"/>
  <c r="X15"/>
  <c r="X20"/>
  <c r="X14"/>
  <c r="X10" l="1"/>
  <c r="X39" s="1"/>
  <c r="O39"/>
  <c r="F39" i="12" l="1"/>
  <c r="E39"/>
  <c r="D39"/>
  <c r="C39"/>
  <c r="Z38"/>
  <c r="X38"/>
  <c r="W38"/>
  <c r="K38"/>
  <c r="J38"/>
  <c r="I38"/>
  <c r="P38" s="1"/>
  <c r="Y38" s="1"/>
  <c r="H38"/>
  <c r="G38"/>
  <c r="X37"/>
  <c r="W37"/>
  <c r="K37"/>
  <c r="J37"/>
  <c r="Z37" s="1"/>
  <c r="H37"/>
  <c r="G37"/>
  <c r="I37" s="1"/>
  <c r="P37" s="1"/>
  <c r="Y37" s="1"/>
  <c r="Z36"/>
  <c r="X36"/>
  <c r="W36"/>
  <c r="K36"/>
  <c r="J36"/>
  <c r="I36"/>
  <c r="P36" s="1"/>
  <c r="Y36" s="1"/>
  <c r="H36"/>
  <c r="G36"/>
  <c r="Z35"/>
  <c r="X35"/>
  <c r="Q35"/>
  <c r="W35" s="1"/>
  <c r="K35"/>
  <c r="J35"/>
  <c r="H35"/>
  <c r="G35"/>
  <c r="I35" s="1"/>
  <c r="P35" s="1"/>
  <c r="Y35" s="1"/>
  <c r="X34"/>
  <c r="W34"/>
  <c r="Q34"/>
  <c r="K34"/>
  <c r="J34"/>
  <c r="Z34" s="1"/>
  <c r="H34"/>
  <c r="G34"/>
  <c r="I34" s="1"/>
  <c r="P34" s="1"/>
  <c r="X33"/>
  <c r="W33"/>
  <c r="Q33"/>
  <c r="K33"/>
  <c r="J33"/>
  <c r="Z33" s="1"/>
  <c r="I33"/>
  <c r="P33" s="1"/>
  <c r="Y33" s="1"/>
  <c r="H33"/>
  <c r="G33"/>
  <c r="Z32"/>
  <c r="X32"/>
  <c r="Q32"/>
  <c r="W32" s="1"/>
  <c r="K32"/>
  <c r="J32"/>
  <c r="I32"/>
  <c r="P32" s="1"/>
  <c r="Y32" s="1"/>
  <c r="H32"/>
  <c r="G32"/>
  <c r="X31"/>
  <c r="Q31"/>
  <c r="W31" s="1"/>
  <c r="K31"/>
  <c r="J31"/>
  <c r="Z31" s="1"/>
  <c r="I31"/>
  <c r="R31" s="1"/>
  <c r="H31"/>
  <c r="G31"/>
  <c r="X30"/>
  <c r="Q30"/>
  <c r="K30"/>
  <c r="J30"/>
  <c r="Z30" s="1"/>
  <c r="I30"/>
  <c r="R30" s="1"/>
  <c r="H30"/>
  <c r="G30"/>
  <c r="X29"/>
  <c r="Q29"/>
  <c r="K29"/>
  <c r="J29"/>
  <c r="Z29" s="1"/>
  <c r="I29"/>
  <c r="P29" s="1"/>
  <c r="H29"/>
  <c r="G29"/>
  <c r="X28"/>
  <c r="Q28"/>
  <c r="K28"/>
  <c r="J28"/>
  <c r="Z28" s="1"/>
  <c r="I28"/>
  <c r="P28" s="1"/>
  <c r="H28"/>
  <c r="G28"/>
  <c r="X27"/>
  <c r="Q27"/>
  <c r="W27" s="1"/>
  <c r="K27"/>
  <c r="J27"/>
  <c r="Z27" s="1"/>
  <c r="I27"/>
  <c r="R27" s="1"/>
  <c r="H27"/>
  <c r="G27"/>
  <c r="X26"/>
  <c r="Q26"/>
  <c r="M26"/>
  <c r="K26"/>
  <c r="J26"/>
  <c r="Z26" s="1"/>
  <c r="H26"/>
  <c r="G26"/>
  <c r="I26" s="1"/>
  <c r="Z25"/>
  <c r="X25"/>
  <c r="Q25"/>
  <c r="M25"/>
  <c r="K25"/>
  <c r="J25"/>
  <c r="H25"/>
  <c r="G25"/>
  <c r="I25" s="1"/>
  <c r="X24"/>
  <c r="Q24"/>
  <c r="K24"/>
  <c r="J24"/>
  <c r="Z24" s="1"/>
  <c r="I24"/>
  <c r="T24" s="1"/>
  <c r="H24"/>
  <c r="G24"/>
  <c r="Z23"/>
  <c r="X23"/>
  <c r="V23"/>
  <c r="V39" s="1"/>
  <c r="U23"/>
  <c r="S23"/>
  <c r="Q23"/>
  <c r="L23"/>
  <c r="K23"/>
  <c r="J23"/>
  <c r="H23"/>
  <c r="G23"/>
  <c r="I23" s="1"/>
  <c r="X22"/>
  <c r="U22"/>
  <c r="Q22"/>
  <c r="K22"/>
  <c r="K39" s="1"/>
  <c r="J22"/>
  <c r="Z22" s="1"/>
  <c r="H22"/>
  <c r="G22"/>
  <c r="I22" s="1"/>
  <c r="X21"/>
  <c r="S21"/>
  <c r="Q21"/>
  <c r="K21"/>
  <c r="J21"/>
  <c r="Z21" s="1"/>
  <c r="I21"/>
  <c r="M21" s="1"/>
  <c r="H21"/>
  <c r="G21"/>
  <c r="Z20"/>
  <c r="X20"/>
  <c r="Q20"/>
  <c r="K20"/>
  <c r="J20"/>
  <c r="H20"/>
  <c r="G20"/>
  <c r="I20" s="1"/>
  <c r="X19"/>
  <c r="U19"/>
  <c r="S19"/>
  <c r="Q19"/>
  <c r="K19"/>
  <c r="J19"/>
  <c r="Z19" s="1"/>
  <c r="H19"/>
  <c r="G19"/>
  <c r="I19" s="1"/>
  <c r="X18"/>
  <c r="U18"/>
  <c r="S18"/>
  <c r="S39" s="1"/>
  <c r="S40" s="1"/>
  <c r="Q18"/>
  <c r="O18"/>
  <c r="K18"/>
  <c r="J18"/>
  <c r="Z18" s="1"/>
  <c r="H18"/>
  <c r="G18"/>
  <c r="I18" s="1"/>
  <c r="X17"/>
  <c r="U17"/>
  <c r="Q17"/>
  <c r="O17"/>
  <c r="L17"/>
  <c r="K17"/>
  <c r="J17"/>
  <c r="Z17" s="1"/>
  <c r="H17"/>
  <c r="G17"/>
  <c r="I17" s="1"/>
  <c r="X16"/>
  <c r="S16"/>
  <c r="Q16"/>
  <c r="O16"/>
  <c r="L16"/>
  <c r="K16"/>
  <c r="H16"/>
  <c r="G16"/>
  <c r="I16" s="1"/>
  <c r="C16"/>
  <c r="J16" s="1"/>
  <c r="Z16" s="1"/>
  <c r="X15"/>
  <c r="U15"/>
  <c r="Q15"/>
  <c r="O15"/>
  <c r="L15"/>
  <c r="K15"/>
  <c r="J15"/>
  <c r="Z15" s="1"/>
  <c r="I15"/>
  <c r="R15" s="1"/>
  <c r="H15"/>
  <c r="G15"/>
  <c r="X14"/>
  <c r="U14"/>
  <c r="Q14"/>
  <c r="O14"/>
  <c r="L14"/>
  <c r="L39" s="1"/>
  <c r="K14"/>
  <c r="J14"/>
  <c r="Z14" s="1"/>
  <c r="I14"/>
  <c r="R14" s="1"/>
  <c r="H14"/>
  <c r="G14"/>
  <c r="X13"/>
  <c r="U13"/>
  <c r="T13"/>
  <c r="S13"/>
  <c r="Q13"/>
  <c r="O13"/>
  <c r="K13"/>
  <c r="J13"/>
  <c r="Z13" s="1"/>
  <c r="I13"/>
  <c r="R13" s="1"/>
  <c r="H13"/>
  <c r="G13"/>
  <c r="Z12"/>
  <c r="X12"/>
  <c r="U12"/>
  <c r="Q12"/>
  <c r="K12"/>
  <c r="J12"/>
  <c r="I12"/>
  <c r="R12" s="1"/>
  <c r="H12"/>
  <c r="G12"/>
  <c r="X11"/>
  <c r="U11"/>
  <c r="U39" s="1"/>
  <c r="Q11"/>
  <c r="O11"/>
  <c r="O39" s="1"/>
  <c r="K11"/>
  <c r="J11"/>
  <c r="Z11" s="1"/>
  <c r="I11"/>
  <c r="N11" s="1"/>
  <c r="H11"/>
  <c r="G11"/>
  <c r="X10"/>
  <c r="X39" s="1"/>
  <c r="V10"/>
  <c r="Q10"/>
  <c r="Q39" s="1"/>
  <c r="K10"/>
  <c r="J10"/>
  <c r="Z10" s="1"/>
  <c r="H10"/>
  <c r="H39" s="1"/>
  <c r="G10"/>
  <c r="I10" s="1"/>
  <c r="R20" l="1"/>
  <c r="T20"/>
  <c r="W20" s="1"/>
  <c r="P20"/>
  <c r="M20"/>
  <c r="P25"/>
  <c r="R25"/>
  <c r="W25" s="1"/>
  <c r="T16"/>
  <c r="P16"/>
  <c r="R16"/>
  <c r="P17"/>
  <c r="Y17" s="1"/>
  <c r="T17"/>
  <c r="R17"/>
  <c r="T23"/>
  <c r="P23"/>
  <c r="R23"/>
  <c r="W23" s="1"/>
  <c r="M23"/>
  <c r="I39"/>
  <c r="I40" s="1"/>
  <c r="T10"/>
  <c r="P10"/>
  <c r="R10"/>
  <c r="N10"/>
  <c r="W17"/>
  <c r="Z39"/>
  <c r="W16"/>
  <c r="W11"/>
  <c r="W30"/>
  <c r="R19"/>
  <c r="W19" s="1"/>
  <c r="M19"/>
  <c r="T19"/>
  <c r="P26"/>
  <c r="R26"/>
  <c r="W26" s="1"/>
  <c r="T26"/>
  <c r="R18"/>
  <c r="T18"/>
  <c r="P18"/>
  <c r="T22"/>
  <c r="M22"/>
  <c r="P22" s="1"/>
  <c r="R22"/>
  <c r="W22" s="1"/>
  <c r="W13"/>
  <c r="W29"/>
  <c r="Y29" s="1"/>
  <c r="Y34"/>
  <c r="T11"/>
  <c r="P13"/>
  <c r="Y13" s="1"/>
  <c r="G39"/>
  <c r="R11"/>
  <c r="N12"/>
  <c r="P12" s="1"/>
  <c r="Y12" s="1"/>
  <c r="T21"/>
  <c r="P27"/>
  <c r="Y27" s="1"/>
  <c r="P30"/>
  <c r="Y30" s="1"/>
  <c r="P31"/>
  <c r="Y31" s="1"/>
  <c r="J39"/>
  <c r="P11"/>
  <c r="P14"/>
  <c r="P15"/>
  <c r="R21"/>
  <c r="W21" s="1"/>
  <c r="R24"/>
  <c r="W24" s="1"/>
  <c r="R28"/>
  <c r="W28" s="1"/>
  <c r="Y28" s="1"/>
  <c r="R29"/>
  <c r="T14"/>
  <c r="W14" s="1"/>
  <c r="T15"/>
  <c r="W15" s="1"/>
  <c r="T12"/>
  <c r="W12" s="1"/>
  <c r="P21"/>
  <c r="P24"/>
  <c r="N13"/>
  <c r="M24"/>
  <c r="Y22" l="1"/>
  <c r="Y23"/>
  <c r="Y11"/>
  <c r="M39"/>
  <c r="Y20"/>
  <c r="Y21"/>
  <c r="Y15"/>
  <c r="W18"/>
  <c r="P19"/>
  <c r="Y19" s="1"/>
  <c r="N39"/>
  <c r="Y25"/>
  <c r="P39"/>
  <c r="Y24"/>
  <c r="Y26"/>
  <c r="T39"/>
  <c r="W10"/>
  <c r="Y18"/>
  <c r="Y14"/>
  <c r="R39"/>
  <c r="Y16"/>
  <c r="W39" l="1"/>
  <c r="Y10"/>
  <c r="Y39" s="1"/>
  <c r="F40" i="11" l="1"/>
  <c r="E40"/>
  <c r="D40"/>
  <c r="W39"/>
  <c r="V39"/>
  <c r="K39"/>
  <c r="J39"/>
  <c r="Y39" s="1"/>
  <c r="H39"/>
  <c r="G39"/>
  <c r="I39" s="1"/>
  <c r="O39" s="1"/>
  <c r="X39" s="1"/>
  <c r="Y38"/>
  <c r="W38"/>
  <c r="V38"/>
  <c r="K38"/>
  <c r="J38"/>
  <c r="I38"/>
  <c r="O38" s="1"/>
  <c r="X38" s="1"/>
  <c r="H38"/>
  <c r="G38"/>
  <c r="W37"/>
  <c r="V37"/>
  <c r="K37"/>
  <c r="J37"/>
  <c r="Y37" s="1"/>
  <c r="H37"/>
  <c r="G37"/>
  <c r="I37" s="1"/>
  <c r="O37" s="1"/>
  <c r="W36"/>
  <c r="V36"/>
  <c r="P36"/>
  <c r="K36"/>
  <c r="J36"/>
  <c r="Y36" s="1"/>
  <c r="I36"/>
  <c r="O36" s="1"/>
  <c r="X36" s="1"/>
  <c r="H36"/>
  <c r="G36"/>
  <c r="Y35"/>
  <c r="W35"/>
  <c r="P35"/>
  <c r="V35" s="1"/>
  <c r="K35"/>
  <c r="J35"/>
  <c r="I35"/>
  <c r="O35" s="1"/>
  <c r="X35" s="1"/>
  <c r="H35"/>
  <c r="G35"/>
  <c r="W34"/>
  <c r="V34"/>
  <c r="P34"/>
  <c r="K34"/>
  <c r="J34"/>
  <c r="Y34" s="1"/>
  <c r="H34"/>
  <c r="G34"/>
  <c r="I34" s="1"/>
  <c r="O34" s="1"/>
  <c r="X34" s="1"/>
  <c r="W33"/>
  <c r="V33"/>
  <c r="P33"/>
  <c r="K33"/>
  <c r="J33"/>
  <c r="Y33" s="1"/>
  <c r="H33"/>
  <c r="G33"/>
  <c r="I33" s="1"/>
  <c r="O33" s="1"/>
  <c r="X33" s="1"/>
  <c r="W32"/>
  <c r="P32"/>
  <c r="K32"/>
  <c r="J32"/>
  <c r="Y32" s="1"/>
  <c r="H32"/>
  <c r="G32"/>
  <c r="I32" s="1"/>
  <c r="W31"/>
  <c r="P31"/>
  <c r="K31"/>
  <c r="J31"/>
  <c r="Y31" s="1"/>
  <c r="H31"/>
  <c r="G31"/>
  <c r="I31" s="1"/>
  <c r="W30"/>
  <c r="P30"/>
  <c r="K30"/>
  <c r="J30"/>
  <c r="Y30" s="1"/>
  <c r="H30"/>
  <c r="G30"/>
  <c r="I30" s="1"/>
  <c r="W29"/>
  <c r="P29"/>
  <c r="K29"/>
  <c r="J29"/>
  <c r="Y29" s="1"/>
  <c r="H29"/>
  <c r="G29"/>
  <c r="I29" s="1"/>
  <c r="W28"/>
  <c r="P28"/>
  <c r="K28"/>
  <c r="J28"/>
  <c r="Y28" s="1"/>
  <c r="H28"/>
  <c r="G28"/>
  <c r="I28" s="1"/>
  <c r="Y27"/>
  <c r="W27"/>
  <c r="P27"/>
  <c r="K27"/>
  <c r="J27"/>
  <c r="H27"/>
  <c r="G27"/>
  <c r="I27" s="1"/>
  <c r="W26"/>
  <c r="P26"/>
  <c r="K26"/>
  <c r="J26"/>
  <c r="Y26" s="1"/>
  <c r="H26"/>
  <c r="G26"/>
  <c r="I26" s="1"/>
  <c r="Y25"/>
  <c r="W25"/>
  <c r="P25"/>
  <c r="K25"/>
  <c r="J25"/>
  <c r="I25"/>
  <c r="S25" s="1"/>
  <c r="H25"/>
  <c r="G25"/>
  <c r="W24"/>
  <c r="U24"/>
  <c r="T24"/>
  <c r="R24"/>
  <c r="P24"/>
  <c r="L24"/>
  <c r="K24"/>
  <c r="J24"/>
  <c r="Y24" s="1"/>
  <c r="I24"/>
  <c r="Q24" s="1"/>
  <c r="H24"/>
  <c r="G24"/>
  <c r="Y23"/>
  <c r="W23"/>
  <c r="T23"/>
  <c r="P23"/>
  <c r="K23"/>
  <c r="J23"/>
  <c r="H23"/>
  <c r="G23"/>
  <c r="I23" s="1"/>
  <c r="W22"/>
  <c r="R22"/>
  <c r="Q22"/>
  <c r="P22"/>
  <c r="K22"/>
  <c r="J22"/>
  <c r="Y22" s="1"/>
  <c r="I22"/>
  <c r="S22" s="1"/>
  <c r="H22"/>
  <c r="G22"/>
  <c r="Y21"/>
  <c r="W21"/>
  <c r="P21"/>
  <c r="K21"/>
  <c r="J21"/>
  <c r="H21"/>
  <c r="G21"/>
  <c r="I21" s="1"/>
  <c r="W20"/>
  <c r="T20"/>
  <c r="R20"/>
  <c r="Q20"/>
  <c r="P20"/>
  <c r="K20"/>
  <c r="J20"/>
  <c r="Y20" s="1"/>
  <c r="I20"/>
  <c r="S20" s="1"/>
  <c r="H20"/>
  <c r="G20"/>
  <c r="Y19"/>
  <c r="W19"/>
  <c r="U19"/>
  <c r="T19"/>
  <c r="P19"/>
  <c r="K19"/>
  <c r="J19"/>
  <c r="I19"/>
  <c r="S19" s="1"/>
  <c r="H19"/>
  <c r="G19"/>
  <c r="W18"/>
  <c r="T18"/>
  <c r="R18"/>
  <c r="P18"/>
  <c r="N18"/>
  <c r="K18"/>
  <c r="J18"/>
  <c r="Y18" s="1"/>
  <c r="I18"/>
  <c r="Q18" s="1"/>
  <c r="H18"/>
  <c r="G18"/>
  <c r="W17"/>
  <c r="T17"/>
  <c r="P17"/>
  <c r="N17"/>
  <c r="L17"/>
  <c r="K17"/>
  <c r="J17"/>
  <c r="Y17" s="1"/>
  <c r="I17"/>
  <c r="Q17" s="1"/>
  <c r="H17"/>
  <c r="G17"/>
  <c r="W16"/>
  <c r="R16"/>
  <c r="P16"/>
  <c r="N16"/>
  <c r="L16"/>
  <c r="L40" s="1"/>
  <c r="K16"/>
  <c r="I16"/>
  <c r="Q16" s="1"/>
  <c r="H16"/>
  <c r="G16"/>
  <c r="C16"/>
  <c r="C40" s="1"/>
  <c r="W15"/>
  <c r="T15"/>
  <c r="P15"/>
  <c r="N15"/>
  <c r="L15"/>
  <c r="K15"/>
  <c r="J15"/>
  <c r="Y15" s="1"/>
  <c r="I15"/>
  <c r="Q15" s="1"/>
  <c r="H15"/>
  <c r="G15"/>
  <c r="W14"/>
  <c r="T14"/>
  <c r="P14"/>
  <c r="N14"/>
  <c r="L14"/>
  <c r="K14"/>
  <c r="J14"/>
  <c r="Y14" s="1"/>
  <c r="I14"/>
  <c r="Q14" s="1"/>
  <c r="H14"/>
  <c r="G14"/>
  <c r="Y13"/>
  <c r="W13"/>
  <c r="T13"/>
  <c r="R13"/>
  <c r="R40" s="1"/>
  <c r="P13"/>
  <c r="N13"/>
  <c r="K13"/>
  <c r="J13"/>
  <c r="H13"/>
  <c r="G13"/>
  <c r="I13" s="1"/>
  <c r="W12"/>
  <c r="T12"/>
  <c r="P12"/>
  <c r="K12"/>
  <c r="J12"/>
  <c r="Y12" s="1"/>
  <c r="I12"/>
  <c r="S12" s="1"/>
  <c r="H12"/>
  <c r="G12"/>
  <c r="W11"/>
  <c r="T11"/>
  <c r="T40" s="1"/>
  <c r="P11"/>
  <c r="N11"/>
  <c r="N40" s="1"/>
  <c r="K11"/>
  <c r="J11"/>
  <c r="Y11" s="1"/>
  <c r="I11"/>
  <c r="Q11" s="1"/>
  <c r="H11"/>
  <c r="G11"/>
  <c r="Y10"/>
  <c r="W10"/>
  <c r="W40" s="1"/>
  <c r="U10"/>
  <c r="U40" s="1"/>
  <c r="P10"/>
  <c r="K10"/>
  <c r="K40" s="1"/>
  <c r="J10"/>
  <c r="I10"/>
  <c r="Q10" s="1"/>
  <c r="H10"/>
  <c r="H40" s="1"/>
  <c r="G10"/>
  <c r="G40" s="1"/>
  <c r="O29" l="1"/>
  <c r="X29" s="1"/>
  <c r="Q29"/>
  <c r="V29" s="1"/>
  <c r="O31"/>
  <c r="Q31"/>
  <c r="V31" s="1"/>
  <c r="Q27"/>
  <c r="V27" s="1"/>
  <c r="S27"/>
  <c r="O27"/>
  <c r="S13"/>
  <c r="Q13"/>
  <c r="M13"/>
  <c r="O13" s="1"/>
  <c r="X13" s="1"/>
  <c r="S21"/>
  <c r="O21"/>
  <c r="Q21"/>
  <c r="V21" s="1"/>
  <c r="Q23"/>
  <c r="S23"/>
  <c r="O23"/>
  <c r="X23" s="1"/>
  <c r="O28"/>
  <c r="X28" s="1"/>
  <c r="Q28"/>
  <c r="V28" s="1"/>
  <c r="O30"/>
  <c r="Q30"/>
  <c r="V30" s="1"/>
  <c r="O32"/>
  <c r="X32" s="1"/>
  <c r="Q32"/>
  <c r="V32" s="1"/>
  <c r="V13"/>
  <c r="V20"/>
  <c r="V22"/>
  <c r="V23"/>
  <c r="X37"/>
  <c r="Q26"/>
  <c r="V26" s="1"/>
  <c r="O26"/>
  <c r="O14"/>
  <c r="O15"/>
  <c r="O18"/>
  <c r="S18"/>
  <c r="V18" s="1"/>
  <c r="I40"/>
  <c r="I41" s="1"/>
  <c r="M10"/>
  <c r="S11"/>
  <c r="V11" s="1"/>
  <c r="S14"/>
  <c r="V14" s="1"/>
  <c r="S15"/>
  <c r="V15" s="1"/>
  <c r="O19"/>
  <c r="O24"/>
  <c r="S24"/>
  <c r="V24" s="1"/>
  <c r="O25"/>
  <c r="P40"/>
  <c r="Q12"/>
  <c r="V12" s="1"/>
  <c r="J16"/>
  <c r="Y16" s="1"/>
  <c r="Y40" s="1"/>
  <c r="S16"/>
  <c r="V16" s="1"/>
  <c r="O17"/>
  <c r="Q19"/>
  <c r="V19" s="1"/>
  <c r="Q25"/>
  <c r="V25" s="1"/>
  <c r="O10"/>
  <c r="S17"/>
  <c r="V17" s="1"/>
  <c r="S10"/>
  <c r="V10" s="1"/>
  <c r="M11"/>
  <c r="O11" s="1"/>
  <c r="X11" s="1"/>
  <c r="M12"/>
  <c r="O12" s="1"/>
  <c r="X12" s="1"/>
  <c r="O20"/>
  <c r="X20" s="1"/>
  <c r="O22"/>
  <c r="V40" l="1"/>
  <c r="X10"/>
  <c r="Q40"/>
  <c r="X26"/>
  <c r="X22"/>
  <c r="X19"/>
  <c r="M40"/>
  <c r="X15"/>
  <c r="X27"/>
  <c r="X31"/>
  <c r="X21"/>
  <c r="S40"/>
  <c r="O16"/>
  <c r="X16" s="1"/>
  <c r="X25"/>
  <c r="X14"/>
  <c r="J40"/>
  <c r="X17"/>
  <c r="X24"/>
  <c r="X18"/>
  <c r="X30"/>
  <c r="O40" l="1"/>
  <c r="X40"/>
  <c r="F40" i="10" l="1"/>
  <c r="E40"/>
  <c r="D40"/>
  <c r="W39"/>
  <c r="V39"/>
  <c r="K39"/>
  <c r="J39"/>
  <c r="Y39" s="1"/>
  <c r="H39"/>
  <c r="G39"/>
  <c r="I39" s="1"/>
  <c r="O39" s="1"/>
  <c r="X39" s="1"/>
  <c r="Y38"/>
  <c r="W38"/>
  <c r="V38"/>
  <c r="K38"/>
  <c r="J38"/>
  <c r="I38"/>
  <c r="O38" s="1"/>
  <c r="X38" s="1"/>
  <c r="H38"/>
  <c r="G38"/>
  <c r="W37"/>
  <c r="V37"/>
  <c r="K37"/>
  <c r="J37"/>
  <c r="Y37" s="1"/>
  <c r="H37"/>
  <c r="G37"/>
  <c r="I37" s="1"/>
  <c r="O37" s="1"/>
  <c r="W36"/>
  <c r="V36"/>
  <c r="P36"/>
  <c r="K36"/>
  <c r="J36"/>
  <c r="Y36" s="1"/>
  <c r="I36"/>
  <c r="O36" s="1"/>
  <c r="X36" s="1"/>
  <c r="H36"/>
  <c r="G36"/>
  <c r="Y35"/>
  <c r="W35"/>
  <c r="P35"/>
  <c r="V35" s="1"/>
  <c r="K35"/>
  <c r="J35"/>
  <c r="I35"/>
  <c r="O35" s="1"/>
  <c r="X35" s="1"/>
  <c r="H35"/>
  <c r="G35"/>
  <c r="Y34"/>
  <c r="W34"/>
  <c r="P34"/>
  <c r="V34" s="1"/>
  <c r="K34"/>
  <c r="J34"/>
  <c r="H34"/>
  <c r="G34"/>
  <c r="I34" s="1"/>
  <c r="O34" s="1"/>
  <c r="X34" s="1"/>
  <c r="W33"/>
  <c r="V33"/>
  <c r="P33"/>
  <c r="K33"/>
  <c r="J33"/>
  <c r="Y33" s="1"/>
  <c r="H33"/>
  <c r="G33"/>
  <c r="I33" s="1"/>
  <c r="O33" s="1"/>
  <c r="X33" s="1"/>
  <c r="W32"/>
  <c r="P32"/>
  <c r="K32"/>
  <c r="J32"/>
  <c r="Y32" s="1"/>
  <c r="H32"/>
  <c r="G32"/>
  <c r="I32" s="1"/>
  <c r="W31"/>
  <c r="P31"/>
  <c r="K31"/>
  <c r="J31"/>
  <c r="Y31" s="1"/>
  <c r="H31"/>
  <c r="G31"/>
  <c r="I31" s="1"/>
  <c r="W30"/>
  <c r="P30"/>
  <c r="K30"/>
  <c r="J30"/>
  <c r="Y30" s="1"/>
  <c r="H30"/>
  <c r="G30"/>
  <c r="I30" s="1"/>
  <c r="W29"/>
  <c r="P29"/>
  <c r="K29"/>
  <c r="J29"/>
  <c r="Y29" s="1"/>
  <c r="H29"/>
  <c r="G29"/>
  <c r="I29" s="1"/>
  <c r="W28"/>
  <c r="P28"/>
  <c r="K28"/>
  <c r="J28"/>
  <c r="Y28" s="1"/>
  <c r="H28"/>
  <c r="G28"/>
  <c r="I28" s="1"/>
  <c r="Y27"/>
  <c r="W27"/>
  <c r="P27"/>
  <c r="K27"/>
  <c r="J27"/>
  <c r="H27"/>
  <c r="G27"/>
  <c r="I27" s="1"/>
  <c r="W26"/>
  <c r="P26"/>
  <c r="K26"/>
  <c r="J26"/>
  <c r="Y26" s="1"/>
  <c r="H26"/>
  <c r="G26"/>
  <c r="I26" s="1"/>
  <c r="Y25"/>
  <c r="W25"/>
  <c r="P25"/>
  <c r="K25"/>
  <c r="J25"/>
  <c r="I25"/>
  <c r="S25" s="1"/>
  <c r="H25"/>
  <c r="G25"/>
  <c r="W24"/>
  <c r="U24"/>
  <c r="T24"/>
  <c r="R24"/>
  <c r="P24"/>
  <c r="L24"/>
  <c r="K24"/>
  <c r="J24"/>
  <c r="Y24" s="1"/>
  <c r="I24"/>
  <c r="Q24" s="1"/>
  <c r="H24"/>
  <c r="G24"/>
  <c r="Y23"/>
  <c r="W23"/>
  <c r="T23"/>
  <c r="P23"/>
  <c r="K23"/>
  <c r="J23"/>
  <c r="H23"/>
  <c r="G23"/>
  <c r="I23" s="1"/>
  <c r="W22"/>
  <c r="R22"/>
  <c r="Q22"/>
  <c r="P22"/>
  <c r="K22"/>
  <c r="J22"/>
  <c r="Y22" s="1"/>
  <c r="I22"/>
  <c r="S22" s="1"/>
  <c r="H22"/>
  <c r="G22"/>
  <c r="Y21"/>
  <c r="W21"/>
  <c r="P21"/>
  <c r="K21"/>
  <c r="J21"/>
  <c r="H21"/>
  <c r="G21"/>
  <c r="I21" s="1"/>
  <c r="W20"/>
  <c r="T20"/>
  <c r="R20"/>
  <c r="Q20"/>
  <c r="P20"/>
  <c r="K20"/>
  <c r="J20"/>
  <c r="Y20" s="1"/>
  <c r="I20"/>
  <c r="S20" s="1"/>
  <c r="H20"/>
  <c r="G20"/>
  <c r="Y19"/>
  <c r="W19"/>
  <c r="U19"/>
  <c r="T19"/>
  <c r="P19"/>
  <c r="K19"/>
  <c r="J19"/>
  <c r="I19"/>
  <c r="S19" s="1"/>
  <c r="H19"/>
  <c r="G19"/>
  <c r="W18"/>
  <c r="T18"/>
  <c r="R18"/>
  <c r="P18"/>
  <c r="N18"/>
  <c r="K18"/>
  <c r="J18"/>
  <c r="Y18" s="1"/>
  <c r="I18"/>
  <c r="Q18" s="1"/>
  <c r="H18"/>
  <c r="G18"/>
  <c r="W17"/>
  <c r="T17"/>
  <c r="P17"/>
  <c r="N17"/>
  <c r="L17"/>
  <c r="K17"/>
  <c r="J17"/>
  <c r="Y17" s="1"/>
  <c r="I17"/>
  <c r="Q17" s="1"/>
  <c r="H17"/>
  <c r="G17"/>
  <c r="W16"/>
  <c r="R16"/>
  <c r="P16"/>
  <c r="N16"/>
  <c r="L16"/>
  <c r="L40" s="1"/>
  <c r="K16"/>
  <c r="I16"/>
  <c r="S16" s="1"/>
  <c r="H16"/>
  <c r="G16"/>
  <c r="C16"/>
  <c r="C40" s="1"/>
  <c r="W15"/>
  <c r="T15"/>
  <c r="P15"/>
  <c r="N15"/>
  <c r="L15"/>
  <c r="K15"/>
  <c r="J15"/>
  <c r="Y15" s="1"/>
  <c r="I15"/>
  <c r="Q15" s="1"/>
  <c r="H15"/>
  <c r="G15"/>
  <c r="W14"/>
  <c r="T14"/>
  <c r="P14"/>
  <c r="N14"/>
  <c r="L14"/>
  <c r="K14"/>
  <c r="J14"/>
  <c r="Y14" s="1"/>
  <c r="I14"/>
  <c r="Q14" s="1"/>
  <c r="H14"/>
  <c r="G14"/>
  <c r="Y13"/>
  <c r="W13"/>
  <c r="T13"/>
  <c r="R13"/>
  <c r="R40" s="1"/>
  <c r="P13"/>
  <c r="N13"/>
  <c r="K13"/>
  <c r="J13"/>
  <c r="H13"/>
  <c r="G13"/>
  <c r="I13" s="1"/>
  <c r="W12"/>
  <c r="T12"/>
  <c r="P12"/>
  <c r="P40" s="1"/>
  <c r="K12"/>
  <c r="J12"/>
  <c r="Y12" s="1"/>
  <c r="I12"/>
  <c r="S12" s="1"/>
  <c r="H12"/>
  <c r="G12"/>
  <c r="W11"/>
  <c r="T11"/>
  <c r="T40" s="1"/>
  <c r="P11"/>
  <c r="N11"/>
  <c r="N40" s="1"/>
  <c r="K11"/>
  <c r="J11"/>
  <c r="Y11" s="1"/>
  <c r="I11"/>
  <c r="Q11" s="1"/>
  <c r="H11"/>
  <c r="G11"/>
  <c r="Y10"/>
  <c r="W10"/>
  <c r="W40" s="1"/>
  <c r="U10"/>
  <c r="U40" s="1"/>
  <c r="P10"/>
  <c r="K10"/>
  <c r="K40" s="1"/>
  <c r="J10"/>
  <c r="I10"/>
  <c r="Q10" s="1"/>
  <c r="H10"/>
  <c r="H40" s="1"/>
  <c r="G10"/>
  <c r="G40" s="1"/>
  <c r="O29" l="1"/>
  <c r="X29" s="1"/>
  <c r="Q29"/>
  <c r="V29" s="1"/>
  <c r="O31"/>
  <c r="Q31"/>
  <c r="V31" s="1"/>
  <c r="Q27"/>
  <c r="V27" s="1"/>
  <c r="O27"/>
  <c r="S27"/>
  <c r="Q13"/>
  <c r="M13"/>
  <c r="O13" s="1"/>
  <c r="X13" s="1"/>
  <c r="S13"/>
  <c r="V13" s="1"/>
  <c r="S21"/>
  <c r="O21"/>
  <c r="Q21"/>
  <c r="V21" s="1"/>
  <c r="Q23"/>
  <c r="O23"/>
  <c r="S23"/>
  <c r="V23" s="1"/>
  <c r="O28"/>
  <c r="X28" s="1"/>
  <c r="Q28"/>
  <c r="V28" s="1"/>
  <c r="O30"/>
  <c r="Q30"/>
  <c r="V30" s="1"/>
  <c r="O32"/>
  <c r="X32" s="1"/>
  <c r="Q32"/>
  <c r="V32" s="1"/>
  <c r="V24"/>
  <c r="V20"/>
  <c r="V22"/>
  <c r="X37"/>
  <c r="Q26"/>
  <c r="V26" s="1"/>
  <c r="O26"/>
  <c r="O11"/>
  <c r="O14"/>
  <c r="O15"/>
  <c r="S17"/>
  <c r="V17" s="1"/>
  <c r="S18"/>
  <c r="V18" s="1"/>
  <c r="I40"/>
  <c r="I41" s="1"/>
  <c r="M10"/>
  <c r="O10" s="1"/>
  <c r="S11"/>
  <c r="V11" s="1"/>
  <c r="S14"/>
  <c r="V14" s="1"/>
  <c r="S15"/>
  <c r="V15" s="1"/>
  <c r="Q16"/>
  <c r="V16" s="1"/>
  <c r="O19"/>
  <c r="O24"/>
  <c r="S24"/>
  <c r="O25"/>
  <c r="Q12"/>
  <c r="V12" s="1"/>
  <c r="J16"/>
  <c r="Y16" s="1"/>
  <c r="Y40" s="1"/>
  <c r="O17"/>
  <c r="Q19"/>
  <c r="V19" s="1"/>
  <c r="Q25"/>
  <c r="V25" s="1"/>
  <c r="O18"/>
  <c r="S10"/>
  <c r="S40" s="1"/>
  <c r="O12"/>
  <c r="M11"/>
  <c r="M12"/>
  <c r="O20"/>
  <c r="X20" s="1"/>
  <c r="O22"/>
  <c r="X19" l="1"/>
  <c r="Q40"/>
  <c r="X12"/>
  <c r="X26"/>
  <c r="J40"/>
  <c r="X27"/>
  <c r="O16"/>
  <c r="X16" s="1"/>
  <c r="X14"/>
  <c r="X31"/>
  <c r="X11"/>
  <c r="X21"/>
  <c r="X22"/>
  <c r="X24"/>
  <c r="V10"/>
  <c r="V40" s="1"/>
  <c r="X18"/>
  <c r="X17"/>
  <c r="X25"/>
  <c r="M40"/>
  <c r="X15"/>
  <c r="X30"/>
  <c r="X23"/>
  <c r="O40" l="1"/>
  <c r="X10"/>
  <c r="X40" s="1"/>
  <c r="N38" i="9" l="1"/>
  <c r="F38"/>
  <c r="E38"/>
  <c r="D38"/>
  <c r="C38"/>
  <c r="AA37"/>
  <c r="Y37"/>
  <c r="R37"/>
  <c r="L37"/>
  <c r="K37"/>
  <c r="J37"/>
  <c r="H37"/>
  <c r="G37"/>
  <c r="I37" s="1"/>
  <c r="AA36"/>
  <c r="Y36"/>
  <c r="R36"/>
  <c r="L36"/>
  <c r="K36"/>
  <c r="J36"/>
  <c r="H36"/>
  <c r="G36"/>
  <c r="I36" s="1"/>
  <c r="AA35"/>
  <c r="Y35"/>
  <c r="R35"/>
  <c r="L35"/>
  <c r="K35"/>
  <c r="J35"/>
  <c r="I35"/>
  <c r="S35" s="1"/>
  <c r="X35" s="1"/>
  <c r="H35"/>
  <c r="G35"/>
  <c r="Y34"/>
  <c r="W34"/>
  <c r="R34"/>
  <c r="L34"/>
  <c r="K34"/>
  <c r="J34"/>
  <c r="AA34" s="1"/>
  <c r="H34"/>
  <c r="G34"/>
  <c r="I34" s="1"/>
  <c r="AA33"/>
  <c r="Y33"/>
  <c r="R33"/>
  <c r="L33"/>
  <c r="K33"/>
  <c r="J33"/>
  <c r="H33"/>
  <c r="G33"/>
  <c r="I33" s="1"/>
  <c r="Y32"/>
  <c r="R32"/>
  <c r="L32"/>
  <c r="K32"/>
  <c r="J32"/>
  <c r="AA32" s="1"/>
  <c r="I32"/>
  <c r="S32" s="1"/>
  <c r="X32" s="1"/>
  <c r="H32"/>
  <c r="G32"/>
  <c r="Y31"/>
  <c r="R31"/>
  <c r="L31"/>
  <c r="K31"/>
  <c r="J31"/>
  <c r="AA31" s="1"/>
  <c r="I31"/>
  <c r="Q31" s="1"/>
  <c r="H31"/>
  <c r="G31"/>
  <c r="AA30"/>
  <c r="Y30"/>
  <c r="R30"/>
  <c r="L30"/>
  <c r="K30"/>
  <c r="J30"/>
  <c r="H30"/>
  <c r="G30"/>
  <c r="I30" s="1"/>
  <c r="AA29"/>
  <c r="Y29"/>
  <c r="R29"/>
  <c r="L29"/>
  <c r="K29"/>
  <c r="J29"/>
  <c r="H29"/>
  <c r="G29"/>
  <c r="I29" s="1"/>
  <c r="Y28"/>
  <c r="R28"/>
  <c r="L28"/>
  <c r="K28"/>
  <c r="J28"/>
  <c r="AA28" s="1"/>
  <c r="I28"/>
  <c r="S28" s="1"/>
  <c r="X28" s="1"/>
  <c r="H28"/>
  <c r="G28"/>
  <c r="Y27"/>
  <c r="W27"/>
  <c r="R27"/>
  <c r="L27"/>
  <c r="K27"/>
  <c r="J27"/>
  <c r="AA27" s="1"/>
  <c r="H27"/>
  <c r="G27"/>
  <c r="I27" s="1"/>
  <c r="Y26"/>
  <c r="R26"/>
  <c r="L26"/>
  <c r="K26"/>
  <c r="J26"/>
  <c r="AA26" s="1"/>
  <c r="I26"/>
  <c r="U26" s="1"/>
  <c r="H26"/>
  <c r="G26"/>
  <c r="AA25"/>
  <c r="Y25"/>
  <c r="R25"/>
  <c r="L25"/>
  <c r="K25"/>
  <c r="J25"/>
  <c r="H25"/>
  <c r="G25"/>
  <c r="I25" s="1"/>
  <c r="AA24"/>
  <c r="Y24"/>
  <c r="R24"/>
  <c r="L24"/>
  <c r="K24"/>
  <c r="J24"/>
  <c r="I24"/>
  <c r="S24" s="1"/>
  <c r="H24"/>
  <c r="G24"/>
  <c r="Y23"/>
  <c r="R23"/>
  <c r="L23"/>
  <c r="K23"/>
  <c r="J23"/>
  <c r="AA23" s="1"/>
  <c r="H23"/>
  <c r="G23"/>
  <c r="I23" s="1"/>
  <c r="AA22"/>
  <c r="Y22"/>
  <c r="R22"/>
  <c r="L22"/>
  <c r="K22"/>
  <c r="J22"/>
  <c r="H22"/>
  <c r="G22"/>
  <c r="I22" s="1"/>
  <c r="Y21"/>
  <c r="R21"/>
  <c r="L21"/>
  <c r="K21"/>
  <c r="J21"/>
  <c r="AA21" s="1"/>
  <c r="I21"/>
  <c r="U21" s="1"/>
  <c r="H21"/>
  <c r="G21"/>
  <c r="AA20"/>
  <c r="Y20"/>
  <c r="V20"/>
  <c r="T20"/>
  <c r="R20"/>
  <c r="M20"/>
  <c r="L20"/>
  <c r="K20"/>
  <c r="J20"/>
  <c r="H20"/>
  <c r="G20"/>
  <c r="I20" s="1"/>
  <c r="Y19"/>
  <c r="V19"/>
  <c r="R19"/>
  <c r="L19"/>
  <c r="K19"/>
  <c r="J19"/>
  <c r="AA19" s="1"/>
  <c r="I19"/>
  <c r="U19" s="1"/>
  <c r="H19"/>
  <c r="G19"/>
  <c r="Y18"/>
  <c r="U18"/>
  <c r="T18"/>
  <c r="R18"/>
  <c r="X18" s="1"/>
  <c r="P18"/>
  <c r="L18"/>
  <c r="K18"/>
  <c r="J18"/>
  <c r="AA18" s="1"/>
  <c r="I18"/>
  <c r="S18" s="1"/>
  <c r="H18"/>
  <c r="G18"/>
  <c r="AA17"/>
  <c r="Y17"/>
  <c r="R17"/>
  <c r="L17"/>
  <c r="K17"/>
  <c r="J17"/>
  <c r="H17"/>
  <c r="G17"/>
  <c r="I17" s="1"/>
  <c r="Y16"/>
  <c r="W16"/>
  <c r="W38" s="1"/>
  <c r="V16"/>
  <c r="T16"/>
  <c r="R16"/>
  <c r="L16"/>
  <c r="K16"/>
  <c r="J16"/>
  <c r="AA16" s="1"/>
  <c r="I16"/>
  <c r="S16" s="1"/>
  <c r="H16"/>
  <c r="G16"/>
  <c r="Y15"/>
  <c r="V15"/>
  <c r="U15"/>
  <c r="T15"/>
  <c r="R15"/>
  <c r="P15"/>
  <c r="L15"/>
  <c r="K15"/>
  <c r="J15"/>
  <c r="Q15" s="1"/>
  <c r="I15"/>
  <c r="S15" s="1"/>
  <c r="H15"/>
  <c r="G15"/>
  <c r="AA14"/>
  <c r="Y14"/>
  <c r="T14"/>
  <c r="R14"/>
  <c r="P14"/>
  <c r="M14"/>
  <c r="L14"/>
  <c r="K14"/>
  <c r="J14"/>
  <c r="H14"/>
  <c r="G14"/>
  <c r="I14" s="1"/>
  <c r="AA13"/>
  <c r="Y13"/>
  <c r="V13"/>
  <c r="R13"/>
  <c r="P13"/>
  <c r="M13"/>
  <c r="L13"/>
  <c r="K13"/>
  <c r="J13"/>
  <c r="H13"/>
  <c r="G13"/>
  <c r="I13" s="1"/>
  <c r="Y12"/>
  <c r="V12"/>
  <c r="S12"/>
  <c r="R12"/>
  <c r="P12"/>
  <c r="O12"/>
  <c r="M12"/>
  <c r="M38" s="1"/>
  <c r="L12"/>
  <c r="K12"/>
  <c r="J12"/>
  <c r="AA12" s="1"/>
  <c r="I12"/>
  <c r="Q12" s="1"/>
  <c r="H12"/>
  <c r="G12"/>
  <c r="AA11"/>
  <c r="Y11"/>
  <c r="V11"/>
  <c r="V38" s="1"/>
  <c r="T11"/>
  <c r="T38" s="1"/>
  <c r="R11"/>
  <c r="P11"/>
  <c r="P38" s="1"/>
  <c r="L11"/>
  <c r="K11"/>
  <c r="J11"/>
  <c r="H11"/>
  <c r="G11"/>
  <c r="I11" s="1"/>
  <c r="Y10"/>
  <c r="Y38" s="1"/>
  <c r="V10"/>
  <c r="R10"/>
  <c r="L10"/>
  <c r="L38" s="1"/>
  <c r="K10"/>
  <c r="K38" s="1"/>
  <c r="J10"/>
  <c r="AA10" s="1"/>
  <c r="H10"/>
  <c r="H38" s="1"/>
  <c r="G10"/>
  <c r="G38" s="1"/>
  <c r="U13" l="1"/>
  <c r="Q13"/>
  <c r="S13"/>
  <c r="X13" s="1"/>
  <c r="S22"/>
  <c r="X22" s="1"/>
  <c r="Q22"/>
  <c r="Q23"/>
  <c r="S23"/>
  <c r="X23" s="1"/>
  <c r="U23"/>
  <c r="Q25"/>
  <c r="S25"/>
  <c r="S27"/>
  <c r="U27"/>
  <c r="Q27"/>
  <c r="Q29"/>
  <c r="Z29" s="1"/>
  <c r="S29"/>
  <c r="X29" s="1"/>
  <c r="Q30"/>
  <c r="S30"/>
  <c r="Q33"/>
  <c r="Z33" s="1"/>
  <c r="S33"/>
  <c r="X33" s="1"/>
  <c r="Q34"/>
  <c r="Z34" s="1"/>
  <c r="S34"/>
  <c r="S14"/>
  <c r="X14" s="1"/>
  <c r="U14"/>
  <c r="Q14"/>
  <c r="U17"/>
  <c r="Q17"/>
  <c r="S17"/>
  <c r="X17" s="1"/>
  <c r="Q20"/>
  <c r="S20"/>
  <c r="U20"/>
  <c r="X20" s="1"/>
  <c r="Q36"/>
  <c r="Z36" s="1"/>
  <c r="S36"/>
  <c r="X36" s="1"/>
  <c r="Q37"/>
  <c r="S37"/>
  <c r="X19"/>
  <c r="X26"/>
  <c r="Z15"/>
  <c r="X15"/>
  <c r="X25"/>
  <c r="X27"/>
  <c r="X30"/>
  <c r="X34"/>
  <c r="U11"/>
  <c r="S11"/>
  <c r="X11" s="1"/>
  <c r="O11"/>
  <c r="Q11" s="1"/>
  <c r="X12"/>
  <c r="Z12" s="1"/>
  <c r="X21"/>
  <c r="X37"/>
  <c r="Q16"/>
  <c r="Q18"/>
  <c r="Z18" s="1"/>
  <c r="Q24"/>
  <c r="Q28"/>
  <c r="Z28" s="1"/>
  <c r="Q35"/>
  <c r="Z35" s="1"/>
  <c r="J38"/>
  <c r="R38"/>
  <c r="U24"/>
  <c r="X24" s="1"/>
  <c r="Q26"/>
  <c r="Z26" s="1"/>
  <c r="I10"/>
  <c r="U12"/>
  <c r="AA15"/>
  <c r="AA38" s="1"/>
  <c r="S19"/>
  <c r="S21"/>
  <c r="S26"/>
  <c r="S31"/>
  <c r="X31" s="1"/>
  <c r="Z31" s="1"/>
  <c r="U16"/>
  <c r="X16" s="1"/>
  <c r="Q32"/>
  <c r="Z32" s="1"/>
  <c r="Q19"/>
  <c r="Q21"/>
  <c r="Z21" s="1"/>
  <c r="Z11" l="1"/>
  <c r="I38"/>
  <c r="S10"/>
  <c r="U10"/>
  <c r="U38" s="1"/>
  <c r="O10"/>
  <c r="O38" s="1"/>
  <c r="Z13"/>
  <c r="Z19"/>
  <c r="Z24"/>
  <c r="Z37"/>
  <c r="Z27"/>
  <c r="Z25"/>
  <c r="Z22"/>
  <c r="Z17"/>
  <c r="Z23"/>
  <c r="Z16"/>
  <c r="Z20"/>
  <c r="Z14"/>
  <c r="Z30"/>
  <c r="S38" l="1"/>
  <c r="X10"/>
  <c r="X38" s="1"/>
  <c r="Q10"/>
  <c r="Z10" l="1"/>
  <c r="Z38" s="1"/>
  <c r="Q38"/>
  <c r="F38" i="8" l="1"/>
  <c r="E38"/>
  <c r="D38"/>
  <c r="C38"/>
  <c r="X37"/>
  <c r="Q37"/>
  <c r="L37"/>
  <c r="K37"/>
  <c r="J37"/>
  <c r="Z37" s="1"/>
  <c r="I37"/>
  <c r="R37" s="1"/>
  <c r="H37"/>
  <c r="G37"/>
  <c r="Z36"/>
  <c r="X36"/>
  <c r="Q36"/>
  <c r="L36"/>
  <c r="K36"/>
  <c r="J36"/>
  <c r="H36"/>
  <c r="G36"/>
  <c r="I36" s="1"/>
  <c r="Z35"/>
  <c r="X35"/>
  <c r="Q35"/>
  <c r="L35"/>
  <c r="K35"/>
  <c r="J35"/>
  <c r="H35"/>
  <c r="G35"/>
  <c r="I35" s="1"/>
  <c r="X34"/>
  <c r="V34"/>
  <c r="Q34"/>
  <c r="L34"/>
  <c r="K34"/>
  <c r="J34"/>
  <c r="Z34" s="1"/>
  <c r="I34"/>
  <c r="R34" s="1"/>
  <c r="H34"/>
  <c r="G34"/>
  <c r="Z33"/>
  <c r="X33"/>
  <c r="Q33"/>
  <c r="L33"/>
  <c r="K33"/>
  <c r="J33"/>
  <c r="H33"/>
  <c r="G33"/>
  <c r="I33" s="1"/>
  <c r="Z32"/>
  <c r="X32"/>
  <c r="Q32"/>
  <c r="L32"/>
  <c r="K32"/>
  <c r="J32"/>
  <c r="H32"/>
  <c r="G32"/>
  <c r="I32" s="1"/>
  <c r="Z31"/>
  <c r="X31"/>
  <c r="Q31"/>
  <c r="L31"/>
  <c r="K31"/>
  <c r="J31"/>
  <c r="I31"/>
  <c r="R31" s="1"/>
  <c r="W31" s="1"/>
  <c r="H31"/>
  <c r="G31"/>
  <c r="X30"/>
  <c r="Q30"/>
  <c r="L30"/>
  <c r="K30"/>
  <c r="J30"/>
  <c r="Z30" s="1"/>
  <c r="I30"/>
  <c r="R30" s="1"/>
  <c r="H30"/>
  <c r="G30"/>
  <c r="Z29"/>
  <c r="X29"/>
  <c r="Q29"/>
  <c r="L29"/>
  <c r="K29"/>
  <c r="J29"/>
  <c r="H29"/>
  <c r="G29"/>
  <c r="I29" s="1"/>
  <c r="Z28"/>
  <c r="X28"/>
  <c r="Q28"/>
  <c r="L28"/>
  <c r="K28"/>
  <c r="J28"/>
  <c r="H28"/>
  <c r="G28"/>
  <c r="I28" s="1"/>
  <c r="X27"/>
  <c r="V27"/>
  <c r="Q27"/>
  <c r="L27"/>
  <c r="K27"/>
  <c r="J27"/>
  <c r="Z27" s="1"/>
  <c r="H27"/>
  <c r="G27"/>
  <c r="I27" s="1"/>
  <c r="Z26"/>
  <c r="X26"/>
  <c r="Q26"/>
  <c r="L26"/>
  <c r="K26"/>
  <c r="J26"/>
  <c r="I26"/>
  <c r="R26" s="1"/>
  <c r="H26"/>
  <c r="G26"/>
  <c r="X25"/>
  <c r="Q25"/>
  <c r="L25"/>
  <c r="K25"/>
  <c r="J25"/>
  <c r="Z25" s="1"/>
  <c r="I25"/>
  <c r="P25" s="1"/>
  <c r="H25"/>
  <c r="G25"/>
  <c r="Z24"/>
  <c r="X24"/>
  <c r="Q24"/>
  <c r="L24"/>
  <c r="K24"/>
  <c r="J24"/>
  <c r="H24"/>
  <c r="G24"/>
  <c r="I24" s="1"/>
  <c r="X23"/>
  <c r="Q23"/>
  <c r="L23"/>
  <c r="K23"/>
  <c r="J23"/>
  <c r="Z23" s="1"/>
  <c r="I23"/>
  <c r="T23" s="1"/>
  <c r="H23"/>
  <c r="G23"/>
  <c r="Z22"/>
  <c r="X22"/>
  <c r="Q22"/>
  <c r="L22"/>
  <c r="K22"/>
  <c r="J22"/>
  <c r="H22"/>
  <c r="G22"/>
  <c r="I22" s="1"/>
  <c r="Z21"/>
  <c r="X21"/>
  <c r="Q21"/>
  <c r="L21"/>
  <c r="K21"/>
  <c r="J21"/>
  <c r="I21"/>
  <c r="R21" s="1"/>
  <c r="H21"/>
  <c r="G21"/>
  <c r="X20"/>
  <c r="U20"/>
  <c r="T20"/>
  <c r="S20"/>
  <c r="Q20"/>
  <c r="M20"/>
  <c r="L20"/>
  <c r="K20"/>
  <c r="J20"/>
  <c r="P20" s="1"/>
  <c r="I20"/>
  <c r="R20" s="1"/>
  <c r="H20"/>
  <c r="G20"/>
  <c r="Z19"/>
  <c r="X19"/>
  <c r="U19"/>
  <c r="Q19"/>
  <c r="L19"/>
  <c r="K19"/>
  <c r="J19"/>
  <c r="I19"/>
  <c r="R19" s="1"/>
  <c r="H19"/>
  <c r="G19"/>
  <c r="X18"/>
  <c r="S18"/>
  <c r="Q18"/>
  <c r="L18"/>
  <c r="K18"/>
  <c r="J18"/>
  <c r="Z18" s="1"/>
  <c r="H18"/>
  <c r="G18"/>
  <c r="I18" s="1"/>
  <c r="X17"/>
  <c r="Q17"/>
  <c r="L17"/>
  <c r="K17"/>
  <c r="J17"/>
  <c r="Z17" s="1"/>
  <c r="I17"/>
  <c r="T17" s="1"/>
  <c r="H17"/>
  <c r="G17"/>
  <c r="Z16"/>
  <c r="X16"/>
  <c r="V16"/>
  <c r="U16"/>
  <c r="S16"/>
  <c r="Q16"/>
  <c r="L16"/>
  <c r="K16"/>
  <c r="J16"/>
  <c r="H16"/>
  <c r="G16"/>
  <c r="I16" s="1"/>
  <c r="Z15"/>
  <c r="X15"/>
  <c r="U15"/>
  <c r="S15"/>
  <c r="Q15"/>
  <c r="O15"/>
  <c r="L15"/>
  <c r="K15"/>
  <c r="J15"/>
  <c r="H15"/>
  <c r="G15"/>
  <c r="I15" s="1"/>
  <c r="X14"/>
  <c r="S14"/>
  <c r="Q14"/>
  <c r="O14"/>
  <c r="M14"/>
  <c r="M38" s="1"/>
  <c r="L14"/>
  <c r="K14"/>
  <c r="J14"/>
  <c r="Z14" s="1"/>
  <c r="I14"/>
  <c r="T14" s="1"/>
  <c r="H14"/>
  <c r="G14"/>
  <c r="X13"/>
  <c r="U13"/>
  <c r="T13"/>
  <c r="Q13"/>
  <c r="O13"/>
  <c r="M13"/>
  <c r="L13"/>
  <c r="K13"/>
  <c r="J13"/>
  <c r="Z13" s="1"/>
  <c r="I13"/>
  <c r="R13" s="1"/>
  <c r="H13"/>
  <c r="G13"/>
  <c r="Z12"/>
  <c r="X12"/>
  <c r="U12"/>
  <c r="Q12"/>
  <c r="O12"/>
  <c r="M12"/>
  <c r="L12"/>
  <c r="L38" s="1"/>
  <c r="K12"/>
  <c r="J12"/>
  <c r="H12"/>
  <c r="H38" s="1"/>
  <c r="G12"/>
  <c r="I12" s="1"/>
  <c r="X11"/>
  <c r="U11"/>
  <c r="S11"/>
  <c r="Q11"/>
  <c r="O11"/>
  <c r="O38" s="1"/>
  <c r="L11"/>
  <c r="K11"/>
  <c r="J11"/>
  <c r="Z11" s="1"/>
  <c r="I11"/>
  <c r="R11" s="1"/>
  <c r="H11"/>
  <c r="G11"/>
  <c r="X10"/>
  <c r="U10"/>
  <c r="Q10"/>
  <c r="L10"/>
  <c r="K10"/>
  <c r="K38" s="1"/>
  <c r="J10"/>
  <c r="J38" s="1"/>
  <c r="I10"/>
  <c r="R10" s="1"/>
  <c r="H10"/>
  <c r="G10"/>
  <c r="G38" s="1"/>
  <c r="S38" l="1"/>
  <c r="V38"/>
  <c r="Y20"/>
  <c r="W20"/>
  <c r="U38"/>
  <c r="X38"/>
  <c r="Q38"/>
  <c r="P32"/>
  <c r="Y32" s="1"/>
  <c r="R32"/>
  <c r="W32" s="1"/>
  <c r="P33"/>
  <c r="R33"/>
  <c r="R12"/>
  <c r="R38" s="1"/>
  <c r="N12"/>
  <c r="T12"/>
  <c r="I38"/>
  <c r="P12"/>
  <c r="T18"/>
  <c r="P18"/>
  <c r="R18"/>
  <c r="P27"/>
  <c r="R27"/>
  <c r="W27" s="1"/>
  <c r="T27"/>
  <c r="P28"/>
  <c r="R28"/>
  <c r="W28" s="1"/>
  <c r="P29"/>
  <c r="R29"/>
  <c r="P22"/>
  <c r="R22"/>
  <c r="W22" s="1"/>
  <c r="R24"/>
  <c r="W24" s="1"/>
  <c r="T24"/>
  <c r="P24"/>
  <c r="W23"/>
  <c r="W29"/>
  <c r="W37"/>
  <c r="W11"/>
  <c r="W13"/>
  <c r="W14"/>
  <c r="W34"/>
  <c r="T16"/>
  <c r="P16"/>
  <c r="R16"/>
  <c r="T15"/>
  <c r="P15"/>
  <c r="R15"/>
  <c r="R35"/>
  <c r="W35" s="1"/>
  <c r="P35"/>
  <c r="P36"/>
  <c r="R36"/>
  <c r="W36" s="1"/>
  <c r="W18"/>
  <c r="W16"/>
  <c r="W30"/>
  <c r="W33"/>
  <c r="Z10"/>
  <c r="R14"/>
  <c r="P26"/>
  <c r="N10"/>
  <c r="N38" s="1"/>
  <c r="N11"/>
  <c r="T19"/>
  <c r="W19" s="1"/>
  <c r="T21"/>
  <c r="W21" s="1"/>
  <c r="P30"/>
  <c r="P34"/>
  <c r="P37"/>
  <c r="P11"/>
  <c r="T11"/>
  <c r="P13"/>
  <c r="Y13" s="1"/>
  <c r="R17"/>
  <c r="W17" s="1"/>
  <c r="Z20"/>
  <c r="R23"/>
  <c r="R25"/>
  <c r="W25" s="1"/>
  <c r="Y25" s="1"/>
  <c r="P19"/>
  <c r="P21"/>
  <c r="P31"/>
  <c r="Y31" s="1"/>
  <c r="T10"/>
  <c r="W10" s="1"/>
  <c r="P17"/>
  <c r="P23"/>
  <c r="T26"/>
  <c r="W26" s="1"/>
  <c r="P14"/>
  <c r="Y37" l="1"/>
  <c r="Y11"/>
  <c r="Y16"/>
  <c r="W15"/>
  <c r="Y15" s="1"/>
  <c r="Y17"/>
  <c r="Y26"/>
  <c r="Y27"/>
  <c r="Y23"/>
  <c r="P10"/>
  <c r="Y29"/>
  <c r="Y30"/>
  <c r="Z38"/>
  <c r="Y35"/>
  <c r="W12"/>
  <c r="Y12" s="1"/>
  <c r="Y18"/>
  <c r="Y33"/>
  <c r="Y19"/>
  <c r="W38"/>
  <c r="Y21"/>
  <c r="Y14"/>
  <c r="T38"/>
  <c r="Y34"/>
  <c r="Y36"/>
  <c r="Y24"/>
  <c r="Y22"/>
  <c r="Y28"/>
  <c r="P38" l="1"/>
  <c r="Y10"/>
  <c r="Y38" s="1"/>
  <c r="N40" i="7" l="1"/>
  <c r="F40"/>
  <c r="E40"/>
  <c r="D40"/>
  <c r="Y39"/>
  <c r="W39"/>
  <c r="V39"/>
  <c r="K39"/>
  <c r="J39"/>
  <c r="H39"/>
  <c r="G39"/>
  <c r="I39" s="1"/>
  <c r="O39" s="1"/>
  <c r="X39" s="1"/>
  <c r="W38"/>
  <c r="V38"/>
  <c r="K38"/>
  <c r="J38"/>
  <c r="Y38" s="1"/>
  <c r="I38"/>
  <c r="O38" s="1"/>
  <c r="X38" s="1"/>
  <c r="H38"/>
  <c r="G38"/>
  <c r="Y37"/>
  <c r="W37"/>
  <c r="V37"/>
  <c r="K37"/>
  <c r="J37"/>
  <c r="H37"/>
  <c r="G37"/>
  <c r="I37" s="1"/>
  <c r="O37" s="1"/>
  <c r="X37" s="1"/>
  <c r="W36"/>
  <c r="V36"/>
  <c r="P36"/>
  <c r="K36"/>
  <c r="J36"/>
  <c r="Y36" s="1"/>
  <c r="H36"/>
  <c r="G36"/>
  <c r="I36" s="1"/>
  <c r="O36" s="1"/>
  <c r="W35"/>
  <c r="V35"/>
  <c r="P35"/>
  <c r="K35"/>
  <c r="J35"/>
  <c r="Y35" s="1"/>
  <c r="I35"/>
  <c r="O35" s="1"/>
  <c r="H35"/>
  <c r="G35"/>
  <c r="Y34"/>
  <c r="W34"/>
  <c r="P34"/>
  <c r="V34" s="1"/>
  <c r="K34"/>
  <c r="J34"/>
  <c r="I34"/>
  <c r="O34" s="1"/>
  <c r="X34" s="1"/>
  <c r="H34"/>
  <c r="G34"/>
  <c r="W33"/>
  <c r="P33"/>
  <c r="V33" s="1"/>
  <c r="K33"/>
  <c r="J33"/>
  <c r="Y33" s="1"/>
  <c r="H33"/>
  <c r="G33"/>
  <c r="I33" s="1"/>
  <c r="O33" s="1"/>
  <c r="X33" s="1"/>
  <c r="W32"/>
  <c r="P32"/>
  <c r="K32"/>
  <c r="J32"/>
  <c r="Y32" s="1"/>
  <c r="H32"/>
  <c r="G32"/>
  <c r="I32" s="1"/>
  <c r="W31"/>
  <c r="P31"/>
  <c r="K31"/>
  <c r="J31"/>
  <c r="Y31" s="1"/>
  <c r="H31"/>
  <c r="G31"/>
  <c r="I31" s="1"/>
  <c r="W30"/>
  <c r="P30"/>
  <c r="K30"/>
  <c r="J30"/>
  <c r="Y30" s="1"/>
  <c r="H30"/>
  <c r="G30"/>
  <c r="I30" s="1"/>
  <c r="W29"/>
  <c r="P29"/>
  <c r="K29"/>
  <c r="J29"/>
  <c r="Y29" s="1"/>
  <c r="H29"/>
  <c r="G29"/>
  <c r="I29" s="1"/>
  <c r="W28"/>
  <c r="P28"/>
  <c r="K28"/>
  <c r="J28"/>
  <c r="Y28" s="1"/>
  <c r="H28"/>
  <c r="G28"/>
  <c r="I28" s="1"/>
  <c r="W27"/>
  <c r="P27"/>
  <c r="K27"/>
  <c r="J27"/>
  <c r="Y27" s="1"/>
  <c r="I27"/>
  <c r="Q27" s="1"/>
  <c r="H27"/>
  <c r="G27"/>
  <c r="W26"/>
  <c r="P26"/>
  <c r="V26" s="1"/>
  <c r="K26"/>
  <c r="J26"/>
  <c r="Y26" s="1"/>
  <c r="I26"/>
  <c r="Q26" s="1"/>
  <c r="H26"/>
  <c r="G26"/>
  <c r="W25"/>
  <c r="Q25"/>
  <c r="P25"/>
  <c r="V25" s="1"/>
  <c r="K25"/>
  <c r="J25"/>
  <c r="Y25" s="1"/>
  <c r="I25"/>
  <c r="S25" s="1"/>
  <c r="H25"/>
  <c r="G25"/>
  <c r="Y24"/>
  <c r="W24"/>
  <c r="U24"/>
  <c r="T24"/>
  <c r="R24"/>
  <c r="P24"/>
  <c r="L24"/>
  <c r="K24"/>
  <c r="J24"/>
  <c r="H24"/>
  <c r="G24"/>
  <c r="I24" s="1"/>
  <c r="Y23"/>
  <c r="W23"/>
  <c r="T23"/>
  <c r="P23"/>
  <c r="K23"/>
  <c r="J23"/>
  <c r="I23"/>
  <c r="Q23" s="1"/>
  <c r="H23"/>
  <c r="G23"/>
  <c r="W22"/>
  <c r="R22"/>
  <c r="P22"/>
  <c r="K22"/>
  <c r="J22"/>
  <c r="Y22" s="1"/>
  <c r="H22"/>
  <c r="G22"/>
  <c r="I22" s="1"/>
  <c r="Y21"/>
  <c r="W21"/>
  <c r="P21"/>
  <c r="K21"/>
  <c r="J21"/>
  <c r="H21"/>
  <c r="G21"/>
  <c r="I21" s="1"/>
  <c r="W20"/>
  <c r="T20"/>
  <c r="R20"/>
  <c r="R40" s="1"/>
  <c r="P20"/>
  <c r="K20"/>
  <c r="J20"/>
  <c r="Y20" s="1"/>
  <c r="H20"/>
  <c r="G20"/>
  <c r="I20" s="1"/>
  <c r="W19"/>
  <c r="U19"/>
  <c r="T19"/>
  <c r="Q19"/>
  <c r="P19"/>
  <c r="K19"/>
  <c r="J19"/>
  <c r="Y19" s="1"/>
  <c r="I19"/>
  <c r="S19" s="1"/>
  <c r="H19"/>
  <c r="G19"/>
  <c r="W18"/>
  <c r="T18"/>
  <c r="R18"/>
  <c r="P18"/>
  <c r="N18"/>
  <c r="K18"/>
  <c r="J18"/>
  <c r="Y18" s="1"/>
  <c r="I18"/>
  <c r="Q18" s="1"/>
  <c r="H18"/>
  <c r="G18"/>
  <c r="W17"/>
  <c r="T17"/>
  <c r="P17"/>
  <c r="N17"/>
  <c r="L17"/>
  <c r="K17"/>
  <c r="J17"/>
  <c r="Y17" s="1"/>
  <c r="I17"/>
  <c r="S17" s="1"/>
  <c r="H17"/>
  <c r="G17"/>
  <c r="W16"/>
  <c r="R16"/>
  <c r="P16"/>
  <c r="N16"/>
  <c r="H16"/>
  <c r="C16"/>
  <c r="C40" s="1"/>
  <c r="W15"/>
  <c r="T15"/>
  <c r="P15"/>
  <c r="N15"/>
  <c r="L15"/>
  <c r="K15"/>
  <c r="J15"/>
  <c r="Y15" s="1"/>
  <c r="H15"/>
  <c r="G15"/>
  <c r="I15" s="1"/>
  <c r="W14"/>
  <c r="T14"/>
  <c r="P14"/>
  <c r="N14"/>
  <c r="L14"/>
  <c r="K14"/>
  <c r="J14"/>
  <c r="Y14" s="1"/>
  <c r="H14"/>
  <c r="G14"/>
  <c r="I14" s="1"/>
  <c r="Y13"/>
  <c r="W13"/>
  <c r="T13"/>
  <c r="R13"/>
  <c r="P13"/>
  <c r="N13"/>
  <c r="K13"/>
  <c r="J13"/>
  <c r="H13"/>
  <c r="G13"/>
  <c r="I13" s="1"/>
  <c r="W12"/>
  <c r="T12"/>
  <c r="P12"/>
  <c r="K12"/>
  <c r="J12"/>
  <c r="Y12" s="1"/>
  <c r="H12"/>
  <c r="G12"/>
  <c r="I12" s="1"/>
  <c r="W11"/>
  <c r="T11"/>
  <c r="T40" s="1"/>
  <c r="P11"/>
  <c r="N11"/>
  <c r="K11"/>
  <c r="J11"/>
  <c r="Y11" s="1"/>
  <c r="H11"/>
  <c r="G11"/>
  <c r="I11" s="1"/>
  <c r="W10"/>
  <c r="W40" s="1"/>
  <c r="U10"/>
  <c r="U40" s="1"/>
  <c r="P10"/>
  <c r="K10"/>
  <c r="J10"/>
  <c r="Y10" s="1"/>
  <c r="I10"/>
  <c r="Q10" s="1"/>
  <c r="H10"/>
  <c r="H40" s="1"/>
  <c r="G10"/>
  <c r="S22" l="1"/>
  <c r="V22" s="1"/>
  <c r="O22"/>
  <c r="Q22"/>
  <c r="Q14"/>
  <c r="O14"/>
  <c r="S14"/>
  <c r="O29"/>
  <c r="Q29"/>
  <c r="V29" s="1"/>
  <c r="O31"/>
  <c r="X31" s="1"/>
  <c r="Q31"/>
  <c r="V31" s="1"/>
  <c r="Q11"/>
  <c r="M11"/>
  <c r="O11"/>
  <c r="S11"/>
  <c r="V11" s="1"/>
  <c r="S12"/>
  <c r="M12"/>
  <c r="O12"/>
  <c r="X12" s="1"/>
  <c r="Q12"/>
  <c r="V23"/>
  <c r="V10"/>
  <c r="X35"/>
  <c r="V12"/>
  <c r="Q15"/>
  <c r="V15" s="1"/>
  <c r="S15"/>
  <c r="O15"/>
  <c r="Q24"/>
  <c r="V24" s="1"/>
  <c r="S24"/>
  <c r="O24"/>
  <c r="M13"/>
  <c r="S13"/>
  <c r="O13"/>
  <c r="X13" s="1"/>
  <c r="Q13"/>
  <c r="V13" s="1"/>
  <c r="S20"/>
  <c r="O20"/>
  <c r="Q20"/>
  <c r="V20" s="1"/>
  <c r="Q21"/>
  <c r="V21" s="1"/>
  <c r="S21"/>
  <c r="O21"/>
  <c r="O28"/>
  <c r="X28" s="1"/>
  <c r="Q28"/>
  <c r="V28" s="1"/>
  <c r="Q30"/>
  <c r="V30" s="1"/>
  <c r="O30"/>
  <c r="X30" s="1"/>
  <c r="Q32"/>
  <c r="V32" s="1"/>
  <c r="O32"/>
  <c r="Y40"/>
  <c r="V14"/>
  <c r="V19"/>
  <c r="X36"/>
  <c r="O17"/>
  <c r="J40"/>
  <c r="O18"/>
  <c r="O26"/>
  <c r="X26" s="1"/>
  <c r="I40"/>
  <c r="I43" s="1"/>
  <c r="M10"/>
  <c r="M40" s="1"/>
  <c r="S10"/>
  <c r="L16"/>
  <c r="L40" s="1"/>
  <c r="Q17"/>
  <c r="V17" s="1"/>
  <c r="O19"/>
  <c r="X19" s="1"/>
  <c r="S23"/>
  <c r="O25"/>
  <c r="X25" s="1"/>
  <c r="S27"/>
  <c r="V27" s="1"/>
  <c r="P40"/>
  <c r="J16"/>
  <c r="Y16" s="1"/>
  <c r="S18"/>
  <c r="V18" s="1"/>
  <c r="O23"/>
  <c r="O27"/>
  <c r="G16"/>
  <c r="I16" s="1"/>
  <c r="K16"/>
  <c r="K40" s="1"/>
  <c r="X11" l="1"/>
  <c r="X14"/>
  <c r="X23"/>
  <c r="X32"/>
  <c r="X24"/>
  <c r="X22"/>
  <c r="X27"/>
  <c r="S40"/>
  <c r="X18"/>
  <c r="X15"/>
  <c r="X29"/>
  <c r="Q16"/>
  <c r="V16" s="1"/>
  <c r="V40" s="1"/>
  <c r="S16"/>
  <c r="O16"/>
  <c r="X17"/>
  <c r="O10"/>
  <c r="X21"/>
  <c r="X20"/>
  <c r="G40"/>
  <c r="O40" l="1"/>
  <c r="X10"/>
  <c r="X40" s="1"/>
  <c r="X16"/>
  <c r="Q40"/>
  <c r="F40" i="6" l="1"/>
  <c r="E40"/>
  <c r="D40"/>
  <c r="W39"/>
  <c r="V39"/>
  <c r="K39"/>
  <c r="J39"/>
  <c r="Y39" s="1"/>
  <c r="I39"/>
  <c r="O39" s="1"/>
  <c r="X39" s="1"/>
  <c r="H39"/>
  <c r="G39"/>
  <c r="Y38"/>
  <c r="W38"/>
  <c r="V38"/>
  <c r="K38"/>
  <c r="J38"/>
  <c r="H38"/>
  <c r="G38"/>
  <c r="I38" s="1"/>
  <c r="O38" s="1"/>
  <c r="X38" s="1"/>
  <c r="W37"/>
  <c r="V37"/>
  <c r="K37"/>
  <c r="J37"/>
  <c r="Y37" s="1"/>
  <c r="I37"/>
  <c r="O37" s="1"/>
  <c r="H37"/>
  <c r="G37"/>
  <c r="Y36"/>
  <c r="W36"/>
  <c r="P36"/>
  <c r="V36" s="1"/>
  <c r="K36"/>
  <c r="J36"/>
  <c r="I36"/>
  <c r="O36" s="1"/>
  <c r="X36" s="1"/>
  <c r="H36"/>
  <c r="G36"/>
  <c r="W35"/>
  <c r="V35"/>
  <c r="P35"/>
  <c r="K35"/>
  <c r="J35"/>
  <c r="Y35" s="1"/>
  <c r="H35"/>
  <c r="G35"/>
  <c r="I35" s="1"/>
  <c r="O35" s="1"/>
  <c r="W34"/>
  <c r="V34"/>
  <c r="P34"/>
  <c r="K34"/>
  <c r="J34"/>
  <c r="Y34" s="1"/>
  <c r="H34"/>
  <c r="G34"/>
  <c r="I34" s="1"/>
  <c r="O34" s="1"/>
  <c r="X34" s="1"/>
  <c r="W33"/>
  <c r="V33"/>
  <c r="P33"/>
  <c r="K33"/>
  <c r="J33"/>
  <c r="Y33" s="1"/>
  <c r="I33"/>
  <c r="O33" s="1"/>
  <c r="X33" s="1"/>
  <c r="H33"/>
  <c r="G33"/>
  <c r="W32"/>
  <c r="Q32"/>
  <c r="P32"/>
  <c r="V32" s="1"/>
  <c r="K32"/>
  <c r="J32"/>
  <c r="Y32" s="1"/>
  <c r="I32"/>
  <c r="O32" s="1"/>
  <c r="H32"/>
  <c r="G32"/>
  <c r="W31"/>
  <c r="Q31"/>
  <c r="P31"/>
  <c r="V31" s="1"/>
  <c r="K31"/>
  <c r="J31"/>
  <c r="Y31" s="1"/>
  <c r="I31"/>
  <c r="O31" s="1"/>
  <c r="H31"/>
  <c r="G31"/>
  <c r="W30"/>
  <c r="Q30"/>
  <c r="P30"/>
  <c r="V30" s="1"/>
  <c r="K30"/>
  <c r="J30"/>
  <c r="Y30" s="1"/>
  <c r="I30"/>
  <c r="O30" s="1"/>
  <c r="H30"/>
  <c r="G30"/>
  <c r="W29"/>
  <c r="Q29"/>
  <c r="P29"/>
  <c r="V29" s="1"/>
  <c r="K29"/>
  <c r="J29"/>
  <c r="Y29" s="1"/>
  <c r="I29"/>
  <c r="O29" s="1"/>
  <c r="H29"/>
  <c r="G29"/>
  <c r="W28"/>
  <c r="Q28"/>
  <c r="P28"/>
  <c r="V28" s="1"/>
  <c r="K28"/>
  <c r="J28"/>
  <c r="Y28" s="1"/>
  <c r="I28"/>
  <c r="O28" s="1"/>
  <c r="H28"/>
  <c r="G28"/>
  <c r="Y27"/>
  <c r="W27"/>
  <c r="P27"/>
  <c r="K27"/>
  <c r="J27"/>
  <c r="H27"/>
  <c r="G27"/>
  <c r="I27" s="1"/>
  <c r="W26"/>
  <c r="P26"/>
  <c r="K26"/>
  <c r="J26"/>
  <c r="Y26" s="1"/>
  <c r="H26"/>
  <c r="G26"/>
  <c r="I26" s="1"/>
  <c r="Y25"/>
  <c r="W25"/>
  <c r="P25"/>
  <c r="K25"/>
  <c r="J25"/>
  <c r="H25"/>
  <c r="G25"/>
  <c r="I25" s="1"/>
  <c r="W24"/>
  <c r="T24"/>
  <c r="R24"/>
  <c r="P24"/>
  <c r="L24"/>
  <c r="K24"/>
  <c r="J24"/>
  <c r="Y24" s="1"/>
  <c r="H24"/>
  <c r="G24"/>
  <c r="I24" s="1"/>
  <c r="W23"/>
  <c r="T23"/>
  <c r="Q23"/>
  <c r="P23"/>
  <c r="K23"/>
  <c r="J23"/>
  <c r="Y23" s="1"/>
  <c r="I23"/>
  <c r="S23" s="1"/>
  <c r="H23"/>
  <c r="G23"/>
  <c r="Y22"/>
  <c r="W22"/>
  <c r="R22"/>
  <c r="P22"/>
  <c r="K22"/>
  <c r="J22"/>
  <c r="H22"/>
  <c r="G22"/>
  <c r="I22" s="1"/>
  <c r="Y21"/>
  <c r="W21"/>
  <c r="P21"/>
  <c r="K21"/>
  <c r="J21"/>
  <c r="I21"/>
  <c r="Q21" s="1"/>
  <c r="H21"/>
  <c r="G21"/>
  <c r="W20"/>
  <c r="T20"/>
  <c r="R20"/>
  <c r="P20"/>
  <c r="K20"/>
  <c r="J20"/>
  <c r="Y20" s="1"/>
  <c r="H20"/>
  <c r="G20"/>
  <c r="I20" s="1"/>
  <c r="W19"/>
  <c r="T19"/>
  <c r="Q19"/>
  <c r="P19"/>
  <c r="V19" s="1"/>
  <c r="K19"/>
  <c r="J19"/>
  <c r="Y19" s="1"/>
  <c r="I19"/>
  <c r="S19" s="1"/>
  <c r="H19"/>
  <c r="G19"/>
  <c r="W18"/>
  <c r="T18"/>
  <c r="R18"/>
  <c r="P18"/>
  <c r="N18"/>
  <c r="K18"/>
  <c r="J18"/>
  <c r="Y18" s="1"/>
  <c r="I18"/>
  <c r="Q18" s="1"/>
  <c r="H18"/>
  <c r="G18"/>
  <c r="W17"/>
  <c r="T17"/>
  <c r="T40" s="1"/>
  <c r="P17"/>
  <c r="N17"/>
  <c r="L17"/>
  <c r="K17"/>
  <c r="J17"/>
  <c r="Y17" s="1"/>
  <c r="I17"/>
  <c r="S17" s="1"/>
  <c r="H17"/>
  <c r="G17"/>
  <c r="W16"/>
  <c r="R16"/>
  <c r="P16"/>
  <c r="N16"/>
  <c r="H16"/>
  <c r="C16"/>
  <c r="K16" s="1"/>
  <c r="W15"/>
  <c r="T15"/>
  <c r="P15"/>
  <c r="N15"/>
  <c r="L15"/>
  <c r="K15"/>
  <c r="J15"/>
  <c r="Y15" s="1"/>
  <c r="H15"/>
  <c r="G15"/>
  <c r="I15" s="1"/>
  <c r="W14"/>
  <c r="T14"/>
  <c r="P14"/>
  <c r="N14"/>
  <c r="L14"/>
  <c r="K14"/>
  <c r="J14"/>
  <c r="Y14" s="1"/>
  <c r="H14"/>
  <c r="G14"/>
  <c r="I14" s="1"/>
  <c r="Y13"/>
  <c r="W13"/>
  <c r="T13"/>
  <c r="R13"/>
  <c r="R40" s="1"/>
  <c r="P13"/>
  <c r="N13"/>
  <c r="K13"/>
  <c r="J13"/>
  <c r="H13"/>
  <c r="H40" s="1"/>
  <c r="G13"/>
  <c r="I13" s="1"/>
  <c r="W12"/>
  <c r="W40" s="1"/>
  <c r="T12"/>
  <c r="P12"/>
  <c r="K12"/>
  <c r="J12"/>
  <c r="Y12" s="1"/>
  <c r="H12"/>
  <c r="G12"/>
  <c r="I12" s="1"/>
  <c r="W11"/>
  <c r="T11"/>
  <c r="P11"/>
  <c r="N11"/>
  <c r="N40" s="1"/>
  <c r="K11"/>
  <c r="K40" s="1"/>
  <c r="J11"/>
  <c r="Y11" s="1"/>
  <c r="H11"/>
  <c r="G11"/>
  <c r="I11" s="1"/>
  <c r="W10"/>
  <c r="U10"/>
  <c r="U40" s="1"/>
  <c r="P10"/>
  <c r="P40" s="1"/>
  <c r="K10"/>
  <c r="J10"/>
  <c r="I10"/>
  <c r="H10"/>
  <c r="G10"/>
  <c r="Q14" l="1"/>
  <c r="V14" s="1"/>
  <c r="S14"/>
  <c r="O14"/>
  <c r="O27"/>
  <c r="Q27"/>
  <c r="S27"/>
  <c r="Q11"/>
  <c r="M11"/>
  <c r="O11"/>
  <c r="S11"/>
  <c r="V11" s="1"/>
  <c r="S12"/>
  <c r="M12"/>
  <c r="O12"/>
  <c r="X12" s="1"/>
  <c r="Q12"/>
  <c r="Q25"/>
  <c r="S25"/>
  <c r="O25"/>
  <c r="M13"/>
  <c r="O13" s="1"/>
  <c r="X13" s="1"/>
  <c r="S13"/>
  <c r="Q13"/>
  <c r="V13" s="1"/>
  <c r="S24"/>
  <c r="O24"/>
  <c r="Q24"/>
  <c r="O26"/>
  <c r="X26" s="1"/>
  <c r="Q26"/>
  <c r="V26" s="1"/>
  <c r="V27"/>
  <c r="V12"/>
  <c r="X37"/>
  <c r="V23"/>
  <c r="X35"/>
  <c r="Q15"/>
  <c r="V15" s="1"/>
  <c r="O15"/>
  <c r="S15"/>
  <c r="O20"/>
  <c r="Q20"/>
  <c r="S20"/>
  <c r="S22"/>
  <c r="V22" s="1"/>
  <c r="Q22"/>
  <c r="O22"/>
  <c r="X28"/>
  <c r="X29"/>
  <c r="X30"/>
  <c r="X31"/>
  <c r="X32"/>
  <c r="O10"/>
  <c r="Y10"/>
  <c r="O18"/>
  <c r="O21"/>
  <c r="C40"/>
  <c r="M10"/>
  <c r="S10"/>
  <c r="L16"/>
  <c r="L40" s="1"/>
  <c r="Q17"/>
  <c r="V17" s="1"/>
  <c r="O19"/>
  <c r="X19" s="1"/>
  <c r="S21"/>
  <c r="V21" s="1"/>
  <c r="O23"/>
  <c r="X23" s="1"/>
  <c r="J16"/>
  <c r="Y16" s="1"/>
  <c r="O17"/>
  <c r="S18"/>
  <c r="V18" s="1"/>
  <c r="Q10"/>
  <c r="G16"/>
  <c r="I16" s="1"/>
  <c r="X10" l="1"/>
  <c r="S16"/>
  <c r="Q16"/>
  <c r="V16" s="1"/>
  <c r="O16"/>
  <c r="X16" s="1"/>
  <c r="Q40"/>
  <c r="X11"/>
  <c r="Y40"/>
  <c r="J40"/>
  <c r="X17"/>
  <c r="M40"/>
  <c r="X18"/>
  <c r="X22"/>
  <c r="V20"/>
  <c r="V25"/>
  <c r="X25" s="1"/>
  <c r="X14"/>
  <c r="G40"/>
  <c r="X20"/>
  <c r="S40"/>
  <c r="X21"/>
  <c r="V10"/>
  <c r="I40"/>
  <c r="I43" s="1"/>
  <c r="X15"/>
  <c r="V24"/>
  <c r="X24" s="1"/>
  <c r="X27"/>
  <c r="X40" l="1"/>
  <c r="O40"/>
  <c r="V40"/>
  <c r="F37" i="5" l="1"/>
  <c r="E37"/>
  <c r="D37"/>
  <c r="Y36"/>
  <c r="W36"/>
  <c r="P36"/>
  <c r="V36" s="1"/>
  <c r="K36"/>
  <c r="J36"/>
  <c r="H36"/>
  <c r="G36"/>
  <c r="I36" s="1"/>
  <c r="O36" s="1"/>
  <c r="W35"/>
  <c r="V35"/>
  <c r="P35"/>
  <c r="K35"/>
  <c r="J35"/>
  <c r="Y35" s="1"/>
  <c r="H35"/>
  <c r="G35"/>
  <c r="I35" s="1"/>
  <c r="O35" s="1"/>
  <c r="W34"/>
  <c r="V34"/>
  <c r="P34"/>
  <c r="K34"/>
  <c r="J34"/>
  <c r="Y34" s="1"/>
  <c r="I34"/>
  <c r="O34" s="1"/>
  <c r="H34"/>
  <c r="G34"/>
  <c r="Y33"/>
  <c r="W33"/>
  <c r="P33"/>
  <c r="V33" s="1"/>
  <c r="K33"/>
  <c r="J33"/>
  <c r="I33"/>
  <c r="O33" s="1"/>
  <c r="X33" s="1"/>
  <c r="H33"/>
  <c r="G33"/>
  <c r="W32"/>
  <c r="P32"/>
  <c r="K32"/>
  <c r="J32"/>
  <c r="Y32" s="1"/>
  <c r="I32"/>
  <c r="Q32" s="1"/>
  <c r="H32"/>
  <c r="G32"/>
  <c r="W31"/>
  <c r="P31"/>
  <c r="V31" s="1"/>
  <c r="K31"/>
  <c r="J31"/>
  <c r="Y31" s="1"/>
  <c r="I31"/>
  <c r="Q31" s="1"/>
  <c r="H31"/>
  <c r="G31"/>
  <c r="W30"/>
  <c r="P30"/>
  <c r="K30"/>
  <c r="J30"/>
  <c r="Y30" s="1"/>
  <c r="I30"/>
  <c r="Q30" s="1"/>
  <c r="H30"/>
  <c r="G30"/>
  <c r="W29"/>
  <c r="P29"/>
  <c r="K29"/>
  <c r="J29"/>
  <c r="Y29" s="1"/>
  <c r="I29"/>
  <c r="O29" s="1"/>
  <c r="H29"/>
  <c r="G29"/>
  <c r="W28"/>
  <c r="P28"/>
  <c r="K28"/>
  <c r="J28"/>
  <c r="Y28" s="1"/>
  <c r="I28"/>
  <c r="O28" s="1"/>
  <c r="H28"/>
  <c r="G28"/>
  <c r="W27"/>
  <c r="Q27"/>
  <c r="P27"/>
  <c r="K27"/>
  <c r="J27"/>
  <c r="Y27" s="1"/>
  <c r="I27"/>
  <c r="O27" s="1"/>
  <c r="H27"/>
  <c r="G27"/>
  <c r="W26"/>
  <c r="Q26"/>
  <c r="P26"/>
  <c r="V26" s="1"/>
  <c r="K26"/>
  <c r="J26"/>
  <c r="Y26" s="1"/>
  <c r="I26"/>
  <c r="O26" s="1"/>
  <c r="X26" s="1"/>
  <c r="H26"/>
  <c r="G26"/>
  <c r="Y25"/>
  <c r="W25"/>
  <c r="P25"/>
  <c r="K25"/>
  <c r="J25"/>
  <c r="H25"/>
  <c r="G25"/>
  <c r="I25" s="1"/>
  <c r="W24"/>
  <c r="T24"/>
  <c r="R24"/>
  <c r="P24"/>
  <c r="L24"/>
  <c r="K24"/>
  <c r="J24"/>
  <c r="Y24" s="1"/>
  <c r="H24"/>
  <c r="G24"/>
  <c r="I24" s="1"/>
  <c r="Y23"/>
  <c r="W23"/>
  <c r="T23"/>
  <c r="P23"/>
  <c r="K23"/>
  <c r="J23"/>
  <c r="I23"/>
  <c r="S23" s="1"/>
  <c r="H23"/>
  <c r="G23"/>
  <c r="W22"/>
  <c r="R22"/>
  <c r="P22"/>
  <c r="K22"/>
  <c r="J22"/>
  <c r="Y22" s="1"/>
  <c r="H22"/>
  <c r="G22"/>
  <c r="I22" s="1"/>
  <c r="Y21"/>
  <c r="W21"/>
  <c r="P21"/>
  <c r="K21"/>
  <c r="J21"/>
  <c r="H21"/>
  <c r="G21"/>
  <c r="I21" s="1"/>
  <c r="W20"/>
  <c r="T20"/>
  <c r="R20"/>
  <c r="P20"/>
  <c r="K20"/>
  <c r="J20"/>
  <c r="Y20" s="1"/>
  <c r="H20"/>
  <c r="G20"/>
  <c r="I20" s="1"/>
  <c r="Y19"/>
  <c r="W19"/>
  <c r="T19"/>
  <c r="P19"/>
  <c r="K19"/>
  <c r="J19"/>
  <c r="I19"/>
  <c r="S19" s="1"/>
  <c r="H19"/>
  <c r="G19"/>
  <c r="W18"/>
  <c r="T18"/>
  <c r="R18"/>
  <c r="P18"/>
  <c r="N18"/>
  <c r="K18"/>
  <c r="J18"/>
  <c r="Y18" s="1"/>
  <c r="I18"/>
  <c r="Q18" s="1"/>
  <c r="H18"/>
  <c r="G18"/>
  <c r="W17"/>
  <c r="T17"/>
  <c r="P17"/>
  <c r="N17"/>
  <c r="L17"/>
  <c r="K17"/>
  <c r="J17"/>
  <c r="Y17" s="1"/>
  <c r="I17"/>
  <c r="Q17" s="1"/>
  <c r="H17"/>
  <c r="G17"/>
  <c r="W16"/>
  <c r="R16"/>
  <c r="P16"/>
  <c r="N16"/>
  <c r="L16"/>
  <c r="L37" s="1"/>
  <c r="H16"/>
  <c r="C16"/>
  <c r="C37" s="1"/>
  <c r="W15"/>
  <c r="T15"/>
  <c r="P15"/>
  <c r="N15"/>
  <c r="L15"/>
  <c r="K15"/>
  <c r="J15"/>
  <c r="Y15" s="1"/>
  <c r="I15"/>
  <c r="Q15" s="1"/>
  <c r="H15"/>
  <c r="G15"/>
  <c r="W14"/>
  <c r="T14"/>
  <c r="P14"/>
  <c r="N14"/>
  <c r="L14"/>
  <c r="K14"/>
  <c r="J14"/>
  <c r="Y14" s="1"/>
  <c r="I14"/>
  <c r="Q14" s="1"/>
  <c r="H14"/>
  <c r="G14"/>
  <c r="Y13"/>
  <c r="W13"/>
  <c r="T13"/>
  <c r="R13"/>
  <c r="R37" s="1"/>
  <c r="P13"/>
  <c r="N13"/>
  <c r="K13"/>
  <c r="J13"/>
  <c r="H13"/>
  <c r="G13"/>
  <c r="I13" s="1"/>
  <c r="W12"/>
  <c r="T12"/>
  <c r="P12"/>
  <c r="K12"/>
  <c r="J12"/>
  <c r="Y12" s="1"/>
  <c r="I12"/>
  <c r="S12" s="1"/>
  <c r="H12"/>
  <c r="G12"/>
  <c r="W11"/>
  <c r="T11"/>
  <c r="T37" s="1"/>
  <c r="P11"/>
  <c r="N11"/>
  <c r="N37" s="1"/>
  <c r="K11"/>
  <c r="J11"/>
  <c r="Y11" s="1"/>
  <c r="I11"/>
  <c r="Q11" s="1"/>
  <c r="H11"/>
  <c r="G11"/>
  <c r="Y10"/>
  <c r="W10"/>
  <c r="W37" s="1"/>
  <c r="U10"/>
  <c r="U37" s="1"/>
  <c r="P10"/>
  <c r="K10"/>
  <c r="J10"/>
  <c r="I10"/>
  <c r="Q10" s="1"/>
  <c r="H10"/>
  <c r="H37" s="1"/>
  <c r="G10"/>
  <c r="Q21" l="1"/>
  <c r="S21"/>
  <c r="O21"/>
  <c r="S25"/>
  <c r="O25"/>
  <c r="Q25"/>
  <c r="V25" s="1"/>
  <c r="Q22"/>
  <c r="V22" s="1"/>
  <c r="S22"/>
  <c r="O22"/>
  <c r="S24"/>
  <c r="O24"/>
  <c r="Q24"/>
  <c r="Q13"/>
  <c r="M13"/>
  <c r="O13" s="1"/>
  <c r="X13" s="1"/>
  <c r="S13"/>
  <c r="X28"/>
  <c r="X36"/>
  <c r="V19"/>
  <c r="V32"/>
  <c r="V13"/>
  <c r="V14"/>
  <c r="V18"/>
  <c r="V29"/>
  <c r="X29" s="1"/>
  <c r="V30"/>
  <c r="X35"/>
  <c r="Q20"/>
  <c r="V20" s="1"/>
  <c r="S20"/>
  <c r="O20"/>
  <c r="X20" s="1"/>
  <c r="Y37"/>
  <c r="V28"/>
  <c r="X34"/>
  <c r="O14"/>
  <c r="X14" s="1"/>
  <c r="O15"/>
  <c r="S17"/>
  <c r="V17" s="1"/>
  <c r="S18"/>
  <c r="I37"/>
  <c r="I40" s="1"/>
  <c r="M10"/>
  <c r="S11"/>
  <c r="V11" s="1"/>
  <c r="S14"/>
  <c r="O30"/>
  <c r="X30" s="1"/>
  <c r="O31"/>
  <c r="X31" s="1"/>
  <c r="O32"/>
  <c r="P37"/>
  <c r="Q12"/>
  <c r="V12" s="1"/>
  <c r="J16"/>
  <c r="Y16" s="1"/>
  <c r="O17"/>
  <c r="Q19"/>
  <c r="Q23"/>
  <c r="V23" s="1"/>
  <c r="S27"/>
  <c r="V27" s="1"/>
  <c r="X27" s="1"/>
  <c r="Q28"/>
  <c r="Q29"/>
  <c r="O10"/>
  <c r="O18"/>
  <c r="X18" s="1"/>
  <c r="S10"/>
  <c r="S15"/>
  <c r="V15" s="1"/>
  <c r="O19"/>
  <c r="O23"/>
  <c r="M11"/>
  <c r="O11" s="1"/>
  <c r="X11" s="1"/>
  <c r="M12"/>
  <c r="O12" s="1"/>
  <c r="G16"/>
  <c r="I16" s="1"/>
  <c r="K16"/>
  <c r="K37" s="1"/>
  <c r="X12" l="1"/>
  <c r="S16"/>
  <c r="O16"/>
  <c r="Q16"/>
  <c r="Q37" s="1"/>
  <c r="X15"/>
  <c r="J37"/>
  <c r="X23"/>
  <c r="S37"/>
  <c r="X32"/>
  <c r="V24"/>
  <c r="V10"/>
  <c r="X22"/>
  <c r="X25"/>
  <c r="V21"/>
  <c r="X21" s="1"/>
  <c r="O37"/>
  <c r="X19"/>
  <c r="M37"/>
  <c r="X24"/>
  <c r="X17"/>
  <c r="G37"/>
  <c r="V37" l="1"/>
  <c r="X10"/>
  <c r="V16"/>
  <c r="X16" s="1"/>
  <c r="X37" l="1"/>
  <c r="F35" i="4" l="1"/>
  <c r="E35"/>
  <c r="D35"/>
  <c r="W34"/>
  <c r="V34"/>
  <c r="P34"/>
  <c r="K34"/>
  <c r="J34"/>
  <c r="Y34" s="1"/>
  <c r="H34"/>
  <c r="G34"/>
  <c r="I34" s="1"/>
  <c r="O34" s="1"/>
  <c r="X34" s="1"/>
  <c r="W33"/>
  <c r="V33"/>
  <c r="P33"/>
  <c r="K33"/>
  <c r="J33"/>
  <c r="Y33" s="1"/>
  <c r="I33"/>
  <c r="O33" s="1"/>
  <c r="X33" s="1"/>
  <c r="H33"/>
  <c r="G33"/>
  <c r="W32"/>
  <c r="Q32"/>
  <c r="P32"/>
  <c r="V32" s="1"/>
  <c r="K32"/>
  <c r="J32"/>
  <c r="Y32" s="1"/>
  <c r="I32"/>
  <c r="O32" s="1"/>
  <c r="H32"/>
  <c r="G32"/>
  <c r="W31"/>
  <c r="Q31"/>
  <c r="P31"/>
  <c r="V31" s="1"/>
  <c r="K31"/>
  <c r="J31"/>
  <c r="Y31" s="1"/>
  <c r="I31"/>
  <c r="O31" s="1"/>
  <c r="H31"/>
  <c r="G31"/>
  <c r="W30"/>
  <c r="Q30"/>
  <c r="P30"/>
  <c r="V30" s="1"/>
  <c r="K30"/>
  <c r="J30"/>
  <c r="Y30" s="1"/>
  <c r="I30"/>
  <c r="O30" s="1"/>
  <c r="H30"/>
  <c r="G30"/>
  <c r="W29"/>
  <c r="Q29"/>
  <c r="P29"/>
  <c r="V29" s="1"/>
  <c r="K29"/>
  <c r="J29"/>
  <c r="Y29" s="1"/>
  <c r="I29"/>
  <c r="O29" s="1"/>
  <c r="H29"/>
  <c r="G29"/>
  <c r="W28"/>
  <c r="Q28"/>
  <c r="P28"/>
  <c r="V28" s="1"/>
  <c r="K28"/>
  <c r="J28"/>
  <c r="Y28" s="1"/>
  <c r="I28"/>
  <c r="O28" s="1"/>
  <c r="H28"/>
  <c r="G28"/>
  <c r="Y27"/>
  <c r="W27"/>
  <c r="P27"/>
  <c r="K27"/>
  <c r="J27"/>
  <c r="H27"/>
  <c r="G27"/>
  <c r="I27" s="1"/>
  <c r="W26"/>
  <c r="P26"/>
  <c r="K26"/>
  <c r="J26"/>
  <c r="Y26" s="1"/>
  <c r="H26"/>
  <c r="G26"/>
  <c r="I26" s="1"/>
  <c r="Y25"/>
  <c r="W25"/>
  <c r="P25"/>
  <c r="K25"/>
  <c r="J25"/>
  <c r="H25"/>
  <c r="G25"/>
  <c r="I25" s="1"/>
  <c r="W24"/>
  <c r="T24"/>
  <c r="R24"/>
  <c r="P24"/>
  <c r="L24"/>
  <c r="K24"/>
  <c r="J24"/>
  <c r="Y24" s="1"/>
  <c r="H24"/>
  <c r="G24"/>
  <c r="I24" s="1"/>
  <c r="W23"/>
  <c r="T23"/>
  <c r="Q23"/>
  <c r="P23"/>
  <c r="K23"/>
  <c r="J23"/>
  <c r="Y23" s="1"/>
  <c r="I23"/>
  <c r="S23" s="1"/>
  <c r="H23"/>
  <c r="G23"/>
  <c r="Y22"/>
  <c r="W22"/>
  <c r="R22"/>
  <c r="P22"/>
  <c r="K22"/>
  <c r="J22"/>
  <c r="H22"/>
  <c r="G22"/>
  <c r="I22" s="1"/>
  <c r="Y21"/>
  <c r="W21"/>
  <c r="P21"/>
  <c r="K21"/>
  <c r="J21"/>
  <c r="I21"/>
  <c r="Q21" s="1"/>
  <c r="H21"/>
  <c r="G21"/>
  <c r="W20"/>
  <c r="T20"/>
  <c r="R20"/>
  <c r="P20"/>
  <c r="K20"/>
  <c r="J20"/>
  <c r="Y20" s="1"/>
  <c r="H20"/>
  <c r="G20"/>
  <c r="I20" s="1"/>
  <c r="W19"/>
  <c r="T19"/>
  <c r="Q19"/>
  <c r="P19"/>
  <c r="V19" s="1"/>
  <c r="K19"/>
  <c r="J19"/>
  <c r="Y19" s="1"/>
  <c r="I19"/>
  <c r="S19" s="1"/>
  <c r="H19"/>
  <c r="G19"/>
  <c r="W18"/>
  <c r="T18"/>
  <c r="R18"/>
  <c r="P18"/>
  <c r="N18"/>
  <c r="K18"/>
  <c r="J18"/>
  <c r="Y18" s="1"/>
  <c r="I18"/>
  <c r="Q18" s="1"/>
  <c r="H18"/>
  <c r="G18"/>
  <c r="W17"/>
  <c r="T17"/>
  <c r="T35" s="1"/>
  <c r="P17"/>
  <c r="N17"/>
  <c r="L17"/>
  <c r="K17"/>
  <c r="J17"/>
  <c r="Y17" s="1"/>
  <c r="I17"/>
  <c r="Q17" s="1"/>
  <c r="H17"/>
  <c r="G17"/>
  <c r="W16"/>
  <c r="R16"/>
  <c r="P16"/>
  <c r="N16"/>
  <c r="H16"/>
  <c r="C16"/>
  <c r="K16" s="1"/>
  <c r="W15"/>
  <c r="T15"/>
  <c r="P15"/>
  <c r="N15"/>
  <c r="L15"/>
  <c r="K15"/>
  <c r="J15"/>
  <c r="Y15" s="1"/>
  <c r="H15"/>
  <c r="G15"/>
  <c r="I15" s="1"/>
  <c r="W14"/>
  <c r="T14"/>
  <c r="P14"/>
  <c r="N14"/>
  <c r="L14"/>
  <c r="K14"/>
  <c r="J14"/>
  <c r="Y14" s="1"/>
  <c r="H14"/>
  <c r="G14"/>
  <c r="I14" s="1"/>
  <c r="Y13"/>
  <c r="W13"/>
  <c r="T13"/>
  <c r="R13"/>
  <c r="R35" s="1"/>
  <c r="P13"/>
  <c r="N13"/>
  <c r="K13"/>
  <c r="J13"/>
  <c r="H13"/>
  <c r="H35" s="1"/>
  <c r="G13"/>
  <c r="I13" s="1"/>
  <c r="W12"/>
  <c r="W35" s="1"/>
  <c r="T12"/>
  <c r="P12"/>
  <c r="K12"/>
  <c r="J12"/>
  <c r="Y12" s="1"/>
  <c r="H12"/>
  <c r="G12"/>
  <c r="I12" s="1"/>
  <c r="W11"/>
  <c r="T11"/>
  <c r="P11"/>
  <c r="N11"/>
  <c r="N35" s="1"/>
  <c r="K11"/>
  <c r="K35" s="1"/>
  <c r="J11"/>
  <c r="Y11" s="1"/>
  <c r="H11"/>
  <c r="G11"/>
  <c r="I11" s="1"/>
  <c r="W10"/>
  <c r="U10"/>
  <c r="U35" s="1"/>
  <c r="P10"/>
  <c r="P35" s="1"/>
  <c r="K10"/>
  <c r="J10"/>
  <c r="I10"/>
  <c r="H10"/>
  <c r="G10"/>
  <c r="O27" l="1"/>
  <c r="Q27"/>
  <c r="S27"/>
  <c r="Q11"/>
  <c r="M11"/>
  <c r="O11" s="1"/>
  <c r="X11" s="1"/>
  <c r="S11"/>
  <c r="S12"/>
  <c r="M12"/>
  <c r="O12" s="1"/>
  <c r="X12" s="1"/>
  <c r="Q12"/>
  <c r="O25"/>
  <c r="Q25"/>
  <c r="V25" s="1"/>
  <c r="S25"/>
  <c r="Q13"/>
  <c r="S13"/>
  <c r="O13"/>
  <c r="M13"/>
  <c r="S24"/>
  <c r="O24"/>
  <c r="Q24"/>
  <c r="V24" s="1"/>
  <c r="O26"/>
  <c r="X26" s="1"/>
  <c r="Q26"/>
  <c r="V26" s="1"/>
  <c r="V27"/>
  <c r="V12"/>
  <c r="J35"/>
  <c r="V23"/>
  <c r="Q14"/>
  <c r="V14" s="1"/>
  <c r="O14"/>
  <c r="S14"/>
  <c r="Q15"/>
  <c r="V15" s="1"/>
  <c r="O15"/>
  <c r="S15"/>
  <c r="O20"/>
  <c r="Q20"/>
  <c r="S20"/>
  <c r="V20" s="1"/>
  <c r="S22"/>
  <c r="Q22"/>
  <c r="O22"/>
  <c r="V11"/>
  <c r="V22"/>
  <c r="X28"/>
  <c r="X29"/>
  <c r="X30"/>
  <c r="X31"/>
  <c r="X32"/>
  <c r="Y10"/>
  <c r="S17"/>
  <c r="V17" s="1"/>
  <c r="S18"/>
  <c r="V18" s="1"/>
  <c r="M10"/>
  <c r="S10"/>
  <c r="L16"/>
  <c r="L35" s="1"/>
  <c r="O19"/>
  <c r="X19" s="1"/>
  <c r="S21"/>
  <c r="V21" s="1"/>
  <c r="O23"/>
  <c r="X23" s="1"/>
  <c r="V10"/>
  <c r="J16"/>
  <c r="Y16" s="1"/>
  <c r="O17"/>
  <c r="O10"/>
  <c r="O18"/>
  <c r="O21"/>
  <c r="C35"/>
  <c r="Q10"/>
  <c r="G16"/>
  <c r="I16" s="1"/>
  <c r="I35" s="1"/>
  <c r="I37" s="1"/>
  <c r="X18" l="1"/>
  <c r="X21"/>
  <c r="G35"/>
  <c r="X14"/>
  <c r="X17"/>
  <c r="M35"/>
  <c r="Y35"/>
  <c r="X20"/>
  <c r="V13"/>
  <c r="S16"/>
  <c r="S35" s="1"/>
  <c r="Q16"/>
  <c r="O16"/>
  <c r="X10"/>
  <c r="O35"/>
  <c r="X15"/>
  <c r="X13"/>
  <c r="X27"/>
  <c r="Q35"/>
  <c r="X22"/>
  <c r="X24"/>
  <c r="X25"/>
  <c r="V16" l="1"/>
  <c r="X16" s="1"/>
  <c r="X35" s="1"/>
  <c r="V35" l="1"/>
  <c r="N33" i="3" l="1"/>
  <c r="F33"/>
  <c r="E33"/>
  <c r="D33"/>
  <c r="W32"/>
  <c r="Q32"/>
  <c r="P32"/>
  <c r="V32" s="1"/>
  <c r="K32"/>
  <c r="J32"/>
  <c r="Y32" s="1"/>
  <c r="I32"/>
  <c r="O32" s="1"/>
  <c r="H32"/>
  <c r="G32"/>
  <c r="W31"/>
  <c r="Q31"/>
  <c r="P31"/>
  <c r="V31" s="1"/>
  <c r="K31"/>
  <c r="J31"/>
  <c r="Y31" s="1"/>
  <c r="I31"/>
  <c r="O31" s="1"/>
  <c r="H31"/>
  <c r="G31"/>
  <c r="W30"/>
  <c r="Q30"/>
  <c r="P30"/>
  <c r="V30" s="1"/>
  <c r="K30"/>
  <c r="J30"/>
  <c r="Y30" s="1"/>
  <c r="I30"/>
  <c r="O30" s="1"/>
  <c r="H30"/>
  <c r="G30"/>
  <c r="W29"/>
  <c r="Q29"/>
  <c r="P29"/>
  <c r="V29" s="1"/>
  <c r="K29"/>
  <c r="J29"/>
  <c r="Y29" s="1"/>
  <c r="I29"/>
  <c r="O29" s="1"/>
  <c r="H29"/>
  <c r="G29"/>
  <c r="W28"/>
  <c r="Q28"/>
  <c r="P28"/>
  <c r="V28" s="1"/>
  <c r="K28"/>
  <c r="J28"/>
  <c r="Y28" s="1"/>
  <c r="I28"/>
  <c r="O28" s="1"/>
  <c r="H28"/>
  <c r="G28"/>
  <c r="Y27"/>
  <c r="W27"/>
  <c r="P27"/>
  <c r="K27"/>
  <c r="J27"/>
  <c r="H27"/>
  <c r="G27"/>
  <c r="I27" s="1"/>
  <c r="W26"/>
  <c r="P26"/>
  <c r="K26"/>
  <c r="J26"/>
  <c r="Y26" s="1"/>
  <c r="H26"/>
  <c r="G26"/>
  <c r="I26" s="1"/>
  <c r="Y25"/>
  <c r="W25"/>
  <c r="P25"/>
  <c r="K25"/>
  <c r="J25"/>
  <c r="H25"/>
  <c r="G25"/>
  <c r="I25" s="1"/>
  <c r="W24"/>
  <c r="T24"/>
  <c r="R24"/>
  <c r="R33" s="1"/>
  <c r="P24"/>
  <c r="L24"/>
  <c r="K24"/>
  <c r="J24"/>
  <c r="Y24" s="1"/>
  <c r="H24"/>
  <c r="G24"/>
  <c r="I24" s="1"/>
  <c r="W23"/>
  <c r="T23"/>
  <c r="Q23"/>
  <c r="P23"/>
  <c r="V23" s="1"/>
  <c r="K23"/>
  <c r="J23"/>
  <c r="Y23" s="1"/>
  <c r="I23"/>
  <c r="S23" s="1"/>
  <c r="H23"/>
  <c r="G23"/>
  <c r="Y22"/>
  <c r="W22"/>
  <c r="R22"/>
  <c r="P22"/>
  <c r="K22"/>
  <c r="J22"/>
  <c r="H22"/>
  <c r="G22"/>
  <c r="I22" s="1"/>
  <c r="Y21"/>
  <c r="W21"/>
  <c r="P21"/>
  <c r="K21"/>
  <c r="J21"/>
  <c r="I21"/>
  <c r="Q21" s="1"/>
  <c r="H21"/>
  <c r="G21"/>
  <c r="W20"/>
  <c r="T20"/>
  <c r="R20"/>
  <c r="P20"/>
  <c r="K20"/>
  <c r="J20"/>
  <c r="Y20" s="1"/>
  <c r="H20"/>
  <c r="G20"/>
  <c r="I20" s="1"/>
  <c r="W19"/>
  <c r="T19"/>
  <c r="Q19"/>
  <c r="P19"/>
  <c r="K19"/>
  <c r="J19"/>
  <c r="Y19" s="1"/>
  <c r="I19"/>
  <c r="S19" s="1"/>
  <c r="H19"/>
  <c r="G19"/>
  <c r="W18"/>
  <c r="T18"/>
  <c r="R18"/>
  <c r="P18"/>
  <c r="N18"/>
  <c r="K18"/>
  <c r="J18"/>
  <c r="Y18" s="1"/>
  <c r="I18"/>
  <c r="Q18" s="1"/>
  <c r="H18"/>
  <c r="G18"/>
  <c r="W17"/>
  <c r="T17"/>
  <c r="P17"/>
  <c r="N17"/>
  <c r="L17"/>
  <c r="K17"/>
  <c r="J17"/>
  <c r="Y17" s="1"/>
  <c r="I17"/>
  <c r="Q17" s="1"/>
  <c r="H17"/>
  <c r="G17"/>
  <c r="W16"/>
  <c r="R16"/>
  <c r="P16"/>
  <c r="N16"/>
  <c r="H16"/>
  <c r="C16"/>
  <c r="C33" s="1"/>
  <c r="W15"/>
  <c r="T15"/>
  <c r="P15"/>
  <c r="N15"/>
  <c r="L15"/>
  <c r="K15"/>
  <c r="J15"/>
  <c r="Y15" s="1"/>
  <c r="H15"/>
  <c r="G15"/>
  <c r="I15" s="1"/>
  <c r="W14"/>
  <c r="T14"/>
  <c r="P14"/>
  <c r="N14"/>
  <c r="L14"/>
  <c r="K14"/>
  <c r="J14"/>
  <c r="Y14" s="1"/>
  <c r="H14"/>
  <c r="G14"/>
  <c r="I14" s="1"/>
  <c r="Y13"/>
  <c r="W13"/>
  <c r="T13"/>
  <c r="R13"/>
  <c r="P13"/>
  <c r="N13"/>
  <c r="K13"/>
  <c r="J13"/>
  <c r="H13"/>
  <c r="G13"/>
  <c r="I13" s="1"/>
  <c r="W12"/>
  <c r="T12"/>
  <c r="P12"/>
  <c r="K12"/>
  <c r="J12"/>
  <c r="Y12" s="1"/>
  <c r="H12"/>
  <c r="G12"/>
  <c r="I12" s="1"/>
  <c r="W11"/>
  <c r="T11"/>
  <c r="T33" s="1"/>
  <c r="P11"/>
  <c r="N11"/>
  <c r="K11"/>
  <c r="J11"/>
  <c r="Y11" s="1"/>
  <c r="H11"/>
  <c r="G11"/>
  <c r="I11" s="1"/>
  <c r="W10"/>
  <c r="W33" s="1"/>
  <c r="U10"/>
  <c r="U33" s="1"/>
  <c r="P10"/>
  <c r="P33" s="1"/>
  <c r="K10"/>
  <c r="J10"/>
  <c r="Y10" s="1"/>
  <c r="I10"/>
  <c r="Q10" s="1"/>
  <c r="H10"/>
  <c r="H33" s="1"/>
  <c r="G10"/>
  <c r="S13" l="1"/>
  <c r="O13"/>
  <c r="Q13"/>
  <c r="M13"/>
  <c r="S24"/>
  <c r="O24"/>
  <c r="Q24"/>
  <c r="O26"/>
  <c r="Q26"/>
  <c r="V26" s="1"/>
  <c r="Q15"/>
  <c r="S15"/>
  <c r="O15"/>
  <c r="Q20"/>
  <c r="V20" s="1"/>
  <c r="S20"/>
  <c r="O20"/>
  <c r="Q22"/>
  <c r="S22"/>
  <c r="V22" s="1"/>
  <c r="O22"/>
  <c r="Q14"/>
  <c r="S14"/>
  <c r="O14"/>
  <c r="O27"/>
  <c r="Q27"/>
  <c r="S27"/>
  <c r="Q11"/>
  <c r="V11" s="1"/>
  <c r="M11"/>
  <c r="O11" s="1"/>
  <c r="S11"/>
  <c r="S12"/>
  <c r="M12"/>
  <c r="O12" s="1"/>
  <c r="X12" s="1"/>
  <c r="Q12"/>
  <c r="Q25"/>
  <c r="V25" s="1"/>
  <c r="S25"/>
  <c r="O25"/>
  <c r="V14"/>
  <c r="V19"/>
  <c r="X28"/>
  <c r="X29"/>
  <c r="X30"/>
  <c r="X31"/>
  <c r="X32"/>
  <c r="V18"/>
  <c r="V27"/>
  <c r="V12"/>
  <c r="V15"/>
  <c r="V10"/>
  <c r="J16"/>
  <c r="Y16" s="1"/>
  <c r="Y33" s="1"/>
  <c r="O17"/>
  <c r="S17"/>
  <c r="V17" s="1"/>
  <c r="O18"/>
  <c r="S18"/>
  <c r="O21"/>
  <c r="I33"/>
  <c r="I35" s="1"/>
  <c r="M10"/>
  <c r="M33" s="1"/>
  <c r="S10"/>
  <c r="L16"/>
  <c r="L33" s="1"/>
  <c r="O19"/>
  <c r="X19" s="1"/>
  <c r="S21"/>
  <c r="V21" s="1"/>
  <c r="O23"/>
  <c r="X23" s="1"/>
  <c r="G16"/>
  <c r="I16" s="1"/>
  <c r="K16"/>
  <c r="K33" s="1"/>
  <c r="X11" l="1"/>
  <c r="X14"/>
  <c r="X18"/>
  <c r="X27"/>
  <c r="X22"/>
  <c r="J33"/>
  <c r="G33"/>
  <c r="X25"/>
  <c r="X20"/>
  <c r="V24"/>
  <c r="X24" s="1"/>
  <c r="V13"/>
  <c r="X13" s="1"/>
  <c r="Q16"/>
  <c r="Q33" s="1"/>
  <c r="S16"/>
  <c r="S33" s="1"/>
  <c r="O16"/>
  <c r="X17"/>
  <c r="X21"/>
  <c r="O10"/>
  <c r="X15"/>
  <c r="X26"/>
  <c r="O33" l="1"/>
  <c r="X10"/>
  <c r="V16"/>
  <c r="V33" s="1"/>
  <c r="X33" l="1"/>
  <c r="X16"/>
  <c r="L10" i="2" l="1"/>
  <c r="L11"/>
  <c r="P11"/>
  <c r="L12"/>
  <c r="M12"/>
  <c r="P12"/>
  <c r="L13"/>
  <c r="N13"/>
  <c r="N33" s="1"/>
  <c r="P13"/>
  <c r="L14"/>
  <c r="P14"/>
  <c r="L15"/>
  <c r="P15"/>
  <c r="L16"/>
  <c r="N16"/>
  <c r="L17"/>
  <c r="P17"/>
  <c r="L18"/>
  <c r="N18"/>
  <c r="P18"/>
  <c r="L19"/>
  <c r="P19"/>
  <c r="L20"/>
  <c r="N20"/>
  <c r="O20"/>
  <c r="P20"/>
  <c r="L21"/>
  <c r="O21"/>
  <c r="L22"/>
  <c r="N22"/>
  <c r="O22"/>
  <c r="L23"/>
  <c r="O23"/>
  <c r="P23"/>
  <c r="L24"/>
  <c r="N24"/>
  <c r="O24"/>
  <c r="P24"/>
  <c r="L25"/>
  <c r="O25"/>
  <c r="L26"/>
  <c r="L27"/>
  <c r="L28"/>
  <c r="L29"/>
  <c r="R29" s="1"/>
  <c r="M29"/>
  <c r="L30"/>
  <c r="L31"/>
  <c r="L32"/>
  <c r="L33"/>
  <c r="P33"/>
  <c r="Q33"/>
  <c r="D33"/>
  <c r="S32"/>
  <c r="G32"/>
  <c r="F32"/>
  <c r="U32" s="1"/>
  <c r="E32"/>
  <c r="K32" s="1"/>
  <c r="S31"/>
  <c r="G31"/>
  <c r="F31"/>
  <c r="U31" s="1"/>
  <c r="E31"/>
  <c r="M31" s="1"/>
  <c r="S30"/>
  <c r="G30"/>
  <c r="F30"/>
  <c r="U30" s="1"/>
  <c r="E30"/>
  <c r="S29"/>
  <c r="G29"/>
  <c r="F29"/>
  <c r="U29" s="1"/>
  <c r="E29"/>
  <c r="S28"/>
  <c r="G28"/>
  <c r="F28"/>
  <c r="U28" s="1"/>
  <c r="E28"/>
  <c r="K28" s="1"/>
  <c r="S27"/>
  <c r="G27"/>
  <c r="F27"/>
  <c r="U27" s="1"/>
  <c r="E27"/>
  <c r="M27" s="1"/>
  <c r="S26"/>
  <c r="G26"/>
  <c r="F26"/>
  <c r="U26" s="1"/>
  <c r="E26"/>
  <c r="M26" s="1"/>
  <c r="S25"/>
  <c r="G25"/>
  <c r="F25"/>
  <c r="U25" s="1"/>
  <c r="E25"/>
  <c r="S24"/>
  <c r="H24"/>
  <c r="G24"/>
  <c r="F24"/>
  <c r="U24" s="1"/>
  <c r="E24"/>
  <c r="M24" s="1"/>
  <c r="S23"/>
  <c r="G23"/>
  <c r="F23"/>
  <c r="U23" s="1"/>
  <c r="E23"/>
  <c r="M23" s="1"/>
  <c r="S22"/>
  <c r="G22"/>
  <c r="F22"/>
  <c r="U22" s="1"/>
  <c r="E22"/>
  <c r="M22" s="1"/>
  <c r="U21"/>
  <c r="S21"/>
  <c r="G21"/>
  <c r="F21"/>
  <c r="E21"/>
  <c r="M21" s="1"/>
  <c r="S20"/>
  <c r="G20"/>
  <c r="F20"/>
  <c r="U20" s="1"/>
  <c r="E20"/>
  <c r="M20" s="1"/>
  <c r="S19"/>
  <c r="G19"/>
  <c r="F19"/>
  <c r="U19" s="1"/>
  <c r="E19"/>
  <c r="O19" s="1"/>
  <c r="S18"/>
  <c r="J18"/>
  <c r="G18"/>
  <c r="F18"/>
  <c r="U18" s="1"/>
  <c r="E18"/>
  <c r="O18" s="1"/>
  <c r="S17"/>
  <c r="J17"/>
  <c r="H17"/>
  <c r="G17"/>
  <c r="F17"/>
  <c r="U17" s="1"/>
  <c r="E17"/>
  <c r="O17" s="1"/>
  <c r="S16"/>
  <c r="J16"/>
  <c r="C16"/>
  <c r="F16" s="1"/>
  <c r="U16" s="1"/>
  <c r="S15"/>
  <c r="J15"/>
  <c r="C15"/>
  <c r="H15" s="1"/>
  <c r="S14"/>
  <c r="J14"/>
  <c r="H14"/>
  <c r="G14"/>
  <c r="F14"/>
  <c r="U14" s="1"/>
  <c r="E14"/>
  <c r="O14" s="1"/>
  <c r="S13"/>
  <c r="J13"/>
  <c r="C13"/>
  <c r="E13" s="1"/>
  <c r="S12"/>
  <c r="G12"/>
  <c r="F12"/>
  <c r="U12" s="1"/>
  <c r="E12"/>
  <c r="O12" s="1"/>
  <c r="S11"/>
  <c r="J11"/>
  <c r="G11"/>
  <c r="F11"/>
  <c r="U11" s="1"/>
  <c r="E11"/>
  <c r="I11" s="1"/>
  <c r="S10"/>
  <c r="G10"/>
  <c r="F10"/>
  <c r="U10" s="1"/>
  <c r="E10"/>
  <c r="O10" s="1"/>
  <c r="M13" l="1"/>
  <c r="R13" s="1"/>
  <c r="O13"/>
  <c r="R31"/>
  <c r="R27"/>
  <c r="M11"/>
  <c r="J33"/>
  <c r="K25"/>
  <c r="T25" s="1"/>
  <c r="K30"/>
  <c r="O27"/>
  <c r="M18"/>
  <c r="R18" s="1"/>
  <c r="M17"/>
  <c r="M14"/>
  <c r="O11"/>
  <c r="M10"/>
  <c r="M19"/>
  <c r="R19" s="1"/>
  <c r="M32"/>
  <c r="R32" s="1"/>
  <c r="T32" s="1"/>
  <c r="M30"/>
  <c r="R30" s="1"/>
  <c r="T30" s="1"/>
  <c r="M28"/>
  <c r="R28" s="1"/>
  <c r="T28" s="1"/>
  <c r="M25"/>
  <c r="R25" s="1"/>
  <c r="G15"/>
  <c r="C33"/>
  <c r="F15"/>
  <c r="U15" s="1"/>
  <c r="K23"/>
  <c r="K24"/>
  <c r="K26"/>
  <c r="K27"/>
  <c r="T27" s="1"/>
  <c r="K29"/>
  <c r="T29" s="1"/>
  <c r="S33"/>
  <c r="E15"/>
  <c r="K19"/>
  <c r="K31"/>
  <c r="R21"/>
  <c r="R22"/>
  <c r="R12"/>
  <c r="R20"/>
  <c r="T31"/>
  <c r="K14"/>
  <c r="K17"/>
  <c r="I10"/>
  <c r="K10" s="1"/>
  <c r="I13"/>
  <c r="R14"/>
  <c r="G16"/>
  <c r="R17"/>
  <c r="K21"/>
  <c r="G13"/>
  <c r="K11"/>
  <c r="I12"/>
  <c r="K12" s="1"/>
  <c r="T12" s="1"/>
  <c r="F13"/>
  <c r="U13" s="1"/>
  <c r="E16"/>
  <c r="K18"/>
  <c r="R23"/>
  <c r="T23" s="1"/>
  <c r="R24"/>
  <c r="R26"/>
  <c r="H16"/>
  <c r="H33" s="1"/>
  <c r="K20"/>
  <c r="T20" s="1"/>
  <c r="K22"/>
  <c r="O15" l="1"/>
  <c r="O33" s="1"/>
  <c r="M15"/>
  <c r="T18"/>
  <c r="G33"/>
  <c r="K15"/>
  <c r="E33"/>
  <c r="O16"/>
  <c r="M16"/>
  <c r="M33"/>
  <c r="T24"/>
  <c r="T26"/>
  <c r="T22"/>
  <c r="T19"/>
  <c r="U33"/>
  <c r="R10"/>
  <c r="T14"/>
  <c r="K13"/>
  <c r="T13" s="1"/>
  <c r="T21"/>
  <c r="T17"/>
  <c r="R11"/>
  <c r="T11" s="1"/>
  <c r="I33"/>
  <c r="T10"/>
  <c r="K16"/>
  <c r="R16"/>
  <c r="F33"/>
  <c r="T16" l="1"/>
  <c r="R15"/>
  <c r="T15" s="1"/>
  <c r="T33" s="1"/>
  <c r="K33"/>
  <c r="R33" l="1"/>
  <c r="D33" i="1" l="1"/>
  <c r="S32"/>
  <c r="L32"/>
  <c r="K32"/>
  <c r="G32"/>
  <c r="F32"/>
  <c r="U32" s="1"/>
  <c r="E32"/>
  <c r="M32" s="1"/>
  <c r="R32" s="1"/>
  <c r="S31"/>
  <c r="M31"/>
  <c r="L31"/>
  <c r="R31" s="1"/>
  <c r="G31"/>
  <c r="F31"/>
  <c r="U31" s="1"/>
  <c r="E31"/>
  <c r="K31" s="1"/>
  <c r="T31" s="1"/>
  <c r="S30"/>
  <c r="L30"/>
  <c r="K30"/>
  <c r="G30"/>
  <c r="F30"/>
  <c r="U30" s="1"/>
  <c r="E30"/>
  <c r="M30" s="1"/>
  <c r="R30" s="1"/>
  <c r="S29"/>
  <c r="M29"/>
  <c r="L29"/>
  <c r="R29" s="1"/>
  <c r="G29"/>
  <c r="F29"/>
  <c r="U29" s="1"/>
  <c r="E29"/>
  <c r="K29" s="1"/>
  <c r="T29" s="1"/>
  <c r="S28"/>
  <c r="L28"/>
  <c r="K28"/>
  <c r="G28"/>
  <c r="F28"/>
  <c r="U28" s="1"/>
  <c r="E28"/>
  <c r="M28" s="1"/>
  <c r="R28" s="1"/>
  <c r="U27"/>
  <c r="S27"/>
  <c r="O27"/>
  <c r="M27"/>
  <c r="R27" s="1"/>
  <c r="L27"/>
  <c r="G27"/>
  <c r="F27"/>
  <c r="K27" s="1"/>
  <c r="T27" s="1"/>
  <c r="E27"/>
  <c r="S26"/>
  <c r="L26"/>
  <c r="G26"/>
  <c r="F26"/>
  <c r="U26" s="1"/>
  <c r="E26"/>
  <c r="K26" s="1"/>
  <c r="U25"/>
  <c r="S25"/>
  <c r="O25"/>
  <c r="L25"/>
  <c r="K25"/>
  <c r="T25" s="1"/>
  <c r="G25"/>
  <c r="F25"/>
  <c r="E25"/>
  <c r="M25" s="1"/>
  <c r="R25" s="1"/>
  <c r="S24"/>
  <c r="P24"/>
  <c r="N24"/>
  <c r="L24"/>
  <c r="H24"/>
  <c r="G24"/>
  <c r="F24"/>
  <c r="U24" s="1"/>
  <c r="E24"/>
  <c r="K24" s="1"/>
  <c r="S23"/>
  <c r="P23"/>
  <c r="M23"/>
  <c r="L23"/>
  <c r="G23"/>
  <c r="F23"/>
  <c r="U23" s="1"/>
  <c r="E23"/>
  <c r="K23" s="1"/>
  <c r="S22"/>
  <c r="N22"/>
  <c r="M22"/>
  <c r="L22"/>
  <c r="G22"/>
  <c r="F22"/>
  <c r="U22" s="1"/>
  <c r="E22"/>
  <c r="O22" s="1"/>
  <c r="U21"/>
  <c r="S21"/>
  <c r="L21"/>
  <c r="G21"/>
  <c r="F21"/>
  <c r="E21"/>
  <c r="O21" s="1"/>
  <c r="S20"/>
  <c r="P20"/>
  <c r="N20"/>
  <c r="M20"/>
  <c r="L20"/>
  <c r="G20"/>
  <c r="F20"/>
  <c r="U20" s="1"/>
  <c r="E20"/>
  <c r="O20" s="1"/>
  <c r="S19"/>
  <c r="Q19"/>
  <c r="P19"/>
  <c r="O19"/>
  <c r="M19"/>
  <c r="R19" s="1"/>
  <c r="L19"/>
  <c r="G19"/>
  <c r="F19"/>
  <c r="U19" s="1"/>
  <c r="E19"/>
  <c r="K19" s="1"/>
  <c r="T19" s="1"/>
  <c r="S18"/>
  <c r="P18"/>
  <c r="N18"/>
  <c r="L18"/>
  <c r="J18"/>
  <c r="G18"/>
  <c r="F18"/>
  <c r="U18" s="1"/>
  <c r="E18"/>
  <c r="M18" s="1"/>
  <c r="S17"/>
  <c r="P17"/>
  <c r="L17"/>
  <c r="J17"/>
  <c r="H17"/>
  <c r="G17"/>
  <c r="F17"/>
  <c r="U17" s="1"/>
  <c r="E17"/>
  <c r="O17" s="1"/>
  <c r="S16"/>
  <c r="N16"/>
  <c r="L16"/>
  <c r="J16"/>
  <c r="E16"/>
  <c r="M16" s="1"/>
  <c r="C16"/>
  <c r="G16" s="1"/>
  <c r="S15"/>
  <c r="P15"/>
  <c r="L15"/>
  <c r="J15"/>
  <c r="C15"/>
  <c r="F15" s="1"/>
  <c r="U15" s="1"/>
  <c r="S14"/>
  <c r="P14"/>
  <c r="L14"/>
  <c r="L33" s="1"/>
  <c r="J14"/>
  <c r="H14"/>
  <c r="G14"/>
  <c r="K14" s="1"/>
  <c r="F14"/>
  <c r="U14" s="1"/>
  <c r="E14"/>
  <c r="O14" s="1"/>
  <c r="S13"/>
  <c r="P13"/>
  <c r="O13"/>
  <c r="N13"/>
  <c r="N33" s="1"/>
  <c r="L13"/>
  <c r="R13" s="1"/>
  <c r="J13"/>
  <c r="F13"/>
  <c r="U13" s="1"/>
  <c r="E13"/>
  <c r="M13" s="1"/>
  <c r="C13"/>
  <c r="G13" s="1"/>
  <c r="S12"/>
  <c r="P12"/>
  <c r="O12"/>
  <c r="M12"/>
  <c r="L12"/>
  <c r="R12" s="1"/>
  <c r="I12"/>
  <c r="G12"/>
  <c r="F12"/>
  <c r="U12" s="1"/>
  <c r="E12"/>
  <c r="K12" s="1"/>
  <c r="S11"/>
  <c r="P11"/>
  <c r="P33" s="1"/>
  <c r="L11"/>
  <c r="J11"/>
  <c r="J33" s="1"/>
  <c r="G11"/>
  <c r="F11"/>
  <c r="U11" s="1"/>
  <c r="E11"/>
  <c r="M11" s="1"/>
  <c r="S10"/>
  <c r="S33" s="1"/>
  <c r="Q10"/>
  <c r="Q33" s="1"/>
  <c r="M10"/>
  <c r="L10"/>
  <c r="I10"/>
  <c r="G10"/>
  <c r="F10"/>
  <c r="E10"/>
  <c r="K10" s="1"/>
  <c r="T10" l="1"/>
  <c r="T12"/>
  <c r="R22"/>
  <c r="T23"/>
  <c r="R10"/>
  <c r="R16"/>
  <c r="R20"/>
  <c r="R23"/>
  <c r="T28"/>
  <c r="T30"/>
  <c r="T32"/>
  <c r="R14"/>
  <c r="T14" s="1"/>
  <c r="H15"/>
  <c r="O18"/>
  <c r="R18" s="1"/>
  <c r="O11"/>
  <c r="R11" s="1"/>
  <c r="G15"/>
  <c r="G33" s="1"/>
  <c r="H16"/>
  <c r="K17"/>
  <c r="K21"/>
  <c r="O24"/>
  <c r="C33"/>
  <c r="O10"/>
  <c r="M14"/>
  <c r="E15"/>
  <c r="F16"/>
  <c r="U16" s="1"/>
  <c r="O16"/>
  <c r="M17"/>
  <c r="R17" s="1"/>
  <c r="M21"/>
  <c r="R21" s="1"/>
  <c r="O23"/>
  <c r="M24"/>
  <c r="R24" s="1"/>
  <c r="T24" s="1"/>
  <c r="M26"/>
  <c r="R26" s="1"/>
  <c r="T26" s="1"/>
  <c r="K18"/>
  <c r="U10"/>
  <c r="I11"/>
  <c r="K11" s="1"/>
  <c r="I13"/>
  <c r="K13" s="1"/>
  <c r="T13" s="1"/>
  <c r="K20"/>
  <c r="T20" s="1"/>
  <c r="K22"/>
  <c r="T22" s="1"/>
  <c r="T11" l="1"/>
  <c r="H33"/>
  <c r="I33"/>
  <c r="T18"/>
  <c r="K16"/>
  <c r="T16" s="1"/>
  <c r="T17"/>
  <c r="F33"/>
  <c r="K15"/>
  <c r="O15"/>
  <c r="O33" s="1"/>
  <c r="M15"/>
  <c r="E33"/>
  <c r="U33"/>
  <c r="T21"/>
  <c r="T33" l="1"/>
  <c r="T15"/>
  <c r="K33"/>
  <c r="R15"/>
  <c r="R33" s="1"/>
  <c r="M33"/>
</calcChain>
</file>

<file path=xl/sharedStrings.xml><?xml version="1.0" encoding="utf-8"?>
<sst xmlns="http://schemas.openxmlformats.org/spreadsheetml/2006/main" count="2367" uniqueCount="172">
  <si>
    <t>INSTITUTO TECNOLOGICO SUPERIOR DE MASCOTA</t>
  </si>
  <si>
    <t>NOMINA DOCENTES  01-15 DE ENERO 2015</t>
  </si>
  <si>
    <t>CODIGO INTERNO</t>
  </si>
  <si>
    <t>NOMBRE</t>
  </si>
  <si>
    <t>SALARIO</t>
  </si>
  <si>
    <t>PERCEPCIONES</t>
  </si>
  <si>
    <t>DEDUCCIONES</t>
  </si>
  <si>
    <t>RESUMEN DE PAGO</t>
  </si>
  <si>
    <t>HORAS TRABAJADAS</t>
  </si>
  <si>
    <t>X HORA</t>
  </si>
  <si>
    <t>SUELDO ACTUAL</t>
  </si>
  <si>
    <t>DESPENSA $19.28</t>
  </si>
  <si>
    <t xml:space="preserve">MATERIAL DIDACTICO $10.95 </t>
  </si>
  <si>
    <t>GUARDERIA</t>
  </si>
  <si>
    <t>PRIMA DE ANTIGÜEDAD (QUINQUENIO)</t>
  </si>
  <si>
    <t>SUELDOS COMPENSADOS</t>
  </si>
  <si>
    <t>TOTAL PERCEPCION</t>
  </si>
  <si>
    <t>ISPT</t>
  </si>
  <si>
    <t>Aportacion a Pensiones 10.5%</t>
  </si>
  <si>
    <t>Deduccion por prestamo pensiones</t>
  </si>
  <si>
    <t>Aportación Sindical 1%</t>
  </si>
  <si>
    <t>Deduccion por convenio</t>
  </si>
  <si>
    <t>OTRAS(inasistencias)</t>
  </si>
  <si>
    <t>TOTAL DEDUCCIÓN</t>
  </si>
  <si>
    <t>SUBSIDIO AL EMPLEO PAGAR</t>
  </si>
  <si>
    <t>TOTAL A PAGAR EFECTIVO</t>
  </si>
  <si>
    <t>TOTAL A PAGAR DESPENSA</t>
  </si>
  <si>
    <t>FIRMA DEL EMPLEADO</t>
  </si>
  <si>
    <t>ITSM-DO-008</t>
  </si>
  <si>
    <t>VELASCO FELICIANO</t>
  </si>
  <si>
    <t>ITSM-DO-001</t>
  </si>
  <si>
    <t>GONZALEZ RODRIGUEZ RIGOBERTO</t>
  </si>
  <si>
    <t>ITSM-DO-010</t>
  </si>
  <si>
    <t>JUAN DANIEL GUZMAN HERNANDEZ</t>
  </si>
  <si>
    <t>ITSM-DO-017</t>
  </si>
  <si>
    <t>SOSA BECERRA JOSE EMANUEL</t>
  </si>
  <si>
    <t>ITSM-DO-021</t>
  </si>
  <si>
    <t>CARDENAS MENDOZA ALTAGRACIA</t>
  </si>
  <si>
    <t>ITSM-DO-023</t>
  </si>
  <si>
    <t>SANTANA DE SANTIAGO MARIA DEL ROCIO</t>
  </si>
  <si>
    <t>ITSM-DO-024</t>
  </si>
  <si>
    <t>ORTEGA FLORES BRENDA YERANIA</t>
  </si>
  <si>
    <t>ITSM-DO-028</t>
  </si>
  <si>
    <t>VICENCIO VELASCO KIMBERLY</t>
  </si>
  <si>
    <t>ITSM-DO-029</t>
  </si>
  <si>
    <t>AMARAL ACOSTA ARACELI</t>
  </si>
  <si>
    <t>ITSM-DO-030</t>
  </si>
  <si>
    <t>CARDENAS MENDOZA FEDERICO EUGENIO</t>
  </si>
  <si>
    <t>ITSM-DO-032</t>
  </si>
  <si>
    <t xml:space="preserve">MORENO URIBE PEDRO OSWALDO DE JESUS </t>
  </si>
  <si>
    <t>ITSM-DO-033</t>
  </si>
  <si>
    <t>RANGEL GOMEZ JAIR DE JESUS</t>
  </si>
  <si>
    <t>ITSM-DO-036</t>
  </si>
  <si>
    <t>VILLALVAZO RIVERA JOSE BENJAMIN</t>
  </si>
  <si>
    <t>ITSM-DO-037</t>
  </si>
  <si>
    <t xml:space="preserve"> IBAÑEZ MARTINEZ ADRIANA</t>
  </si>
  <si>
    <t>ITSM-DO-038</t>
  </si>
  <si>
    <t>RODRIGUEZ LOPEZ ERIKA CITLALLI</t>
  </si>
  <si>
    <t>ITSM-DO-025</t>
  </si>
  <si>
    <t>FREGOSO GARCIA MARIA DE JESUS</t>
  </si>
  <si>
    <t>ITSM-DO-039</t>
  </si>
  <si>
    <t>SENEN GUZMAN DE SANTIAGO</t>
  </si>
  <si>
    <t>ITSM-DO-040</t>
  </si>
  <si>
    <t>RODRIGUEZ LOPEZ GERARDO</t>
  </si>
  <si>
    <t>ITSM-DO-041</t>
  </si>
  <si>
    <t>CEJA ANAYA JOSE LUIS</t>
  </si>
  <si>
    <t>ITSM-DO-042</t>
  </si>
  <si>
    <t>COLMENARES CONTRERAS VICTOR MANUEL</t>
  </si>
  <si>
    <t>ITSM-DO-043</t>
  </si>
  <si>
    <t>DOMINGUEZ MENDOZA PEDRO ALONSO</t>
  </si>
  <si>
    <t>ITSM-DO-044</t>
  </si>
  <si>
    <t>HERNANDEZ PEÑA MARIA AMELIA</t>
  </si>
  <si>
    <t>ITSM-DO-045</t>
  </si>
  <si>
    <t>RAMIREZ RAMIREZ FAUSTINO</t>
  </si>
  <si>
    <t>TOTAL</t>
  </si>
  <si>
    <t>ELABORO</t>
  </si>
  <si>
    <t>REVISO</t>
  </si>
  <si>
    <t xml:space="preserve">                        AUTORIZO</t>
  </si>
  <si>
    <t>LIC. FRANCISCO JAVIER MEDRANO GUZMÁN</t>
  </si>
  <si>
    <t>ING. LUIS ALBERTO GOMEZ CARDENAS</t>
  </si>
  <si>
    <t xml:space="preserve">M.V.Z. GILDARDO SANCHEZ GONZALEZ  </t>
  </si>
  <si>
    <t>JEFE DE DEPTO RECURSOS HUMANOS Y SERVICIOS GRALES</t>
  </si>
  <si>
    <t>SUBDIRECTOR ADMINISTRATIVO Y DE PLANEACION</t>
  </si>
  <si>
    <t>DIRECTOR GENERAL</t>
  </si>
  <si>
    <t xml:space="preserve">   AUTORIZO</t>
  </si>
  <si>
    <t>NOMINA DOCENTES  16-31 DE ENERO 2015</t>
  </si>
  <si>
    <t>NOMINA DOCENTES  01 - 15 DE FEBRERO 2015</t>
  </si>
  <si>
    <r>
      <t xml:space="preserve">HORAS TRABAJADAS </t>
    </r>
    <r>
      <rPr>
        <b/>
        <sz val="9"/>
        <color rgb="FFFF0000"/>
        <rFont val="Arial"/>
        <family val="2"/>
      </rPr>
      <t>A</t>
    </r>
  </si>
  <si>
    <r>
      <t xml:space="preserve">HORAS TRABAJADAS </t>
    </r>
    <r>
      <rPr>
        <b/>
        <sz val="9"/>
        <color rgb="FFFF0000"/>
        <rFont val="Arial"/>
        <family val="2"/>
      </rPr>
      <t>B</t>
    </r>
  </si>
  <si>
    <r>
      <t xml:space="preserve">X HORA </t>
    </r>
    <r>
      <rPr>
        <b/>
        <sz val="9"/>
        <color rgb="FFFF0000"/>
        <rFont val="Arial"/>
        <family val="2"/>
      </rPr>
      <t>A</t>
    </r>
  </si>
  <si>
    <r>
      <t xml:space="preserve">X HORA </t>
    </r>
    <r>
      <rPr>
        <b/>
        <sz val="9"/>
        <color rgb="FFFF0000"/>
        <rFont val="Arial"/>
        <family val="2"/>
      </rPr>
      <t>B</t>
    </r>
  </si>
  <si>
    <t>SUELDOS HORAS A</t>
  </si>
  <si>
    <t>SUELDOS HORAS B</t>
  </si>
  <si>
    <t>NOMINA DOCENTES  16-28 DE FEBRERO 2015</t>
  </si>
  <si>
    <t>ITSM-DO-046</t>
  </si>
  <si>
    <t>JOSE MANUEL FLORES CURIEL</t>
  </si>
  <si>
    <t>ITSM-DO-047</t>
  </si>
  <si>
    <t>SARAHI URZUA LOPEZ</t>
  </si>
  <si>
    <t>NOMINA DOCENTES  01-15 DE MARZO 2015</t>
  </si>
  <si>
    <t>GUZMAN HERNANDEZ JUAN DANIEL</t>
  </si>
  <si>
    <t xml:space="preserve">GUZMAN DE SANTIAGO SENEN </t>
  </si>
  <si>
    <t>FLORES CURIEL JOSE MANUEL</t>
  </si>
  <si>
    <t>URZUA LOPEZ SARAHI</t>
  </si>
  <si>
    <t>ITSM-DO-048</t>
  </si>
  <si>
    <t xml:space="preserve">GOMEZ SARMIENTA EDGAR ISISDRO </t>
  </si>
  <si>
    <t>ITSM-DO-049</t>
  </si>
  <si>
    <t xml:space="preserve">OSORIA CORTES MARIA VICTORIA </t>
  </si>
  <si>
    <t>NOMINA DOCENTES 16-31  DE MARZO 2015</t>
  </si>
  <si>
    <t>ITSM-DO-050</t>
  </si>
  <si>
    <t>BECERRA CARRANZA VERONICA DEL CARMEN</t>
  </si>
  <si>
    <t>ITSM-DO-051</t>
  </si>
  <si>
    <t xml:space="preserve">ALEJO CASTELLON MANUEL JESUS </t>
  </si>
  <si>
    <t>ITSM-DO-052</t>
  </si>
  <si>
    <t>PEÑA RODRIGUEZ JUAN MANUEL</t>
  </si>
  <si>
    <t>NOMINA DOCENTES 01-15 DE ABRIL DEL  2015</t>
  </si>
  <si>
    <t xml:space="preserve">TOTAL </t>
  </si>
  <si>
    <t>NOMINA DOCENTES 01-15 DE NOVIEMBRE 2015</t>
  </si>
  <si>
    <r>
      <t xml:space="preserve">HORAS TRABAJADAS </t>
    </r>
    <r>
      <rPr>
        <b/>
        <sz val="11"/>
        <color rgb="FFFF0000"/>
        <rFont val="Arial"/>
        <family val="2"/>
      </rPr>
      <t>A</t>
    </r>
  </si>
  <si>
    <r>
      <t xml:space="preserve">HORAS TRABAJADAS </t>
    </r>
    <r>
      <rPr>
        <b/>
        <sz val="11"/>
        <color rgb="FFFF0000"/>
        <rFont val="Arial"/>
        <family val="2"/>
      </rPr>
      <t>B</t>
    </r>
  </si>
  <si>
    <r>
      <t xml:space="preserve">X HORA </t>
    </r>
    <r>
      <rPr>
        <b/>
        <sz val="11"/>
        <color rgb="FFFF0000"/>
        <rFont val="Arial"/>
        <family val="2"/>
      </rPr>
      <t>A</t>
    </r>
  </si>
  <si>
    <r>
      <t xml:space="preserve">X HORA </t>
    </r>
    <r>
      <rPr>
        <b/>
        <sz val="11"/>
        <color rgb="FFFF0000"/>
        <rFont val="Arial"/>
        <family val="2"/>
      </rPr>
      <t>B</t>
    </r>
  </si>
  <si>
    <t>DESPENSA $23.28</t>
  </si>
  <si>
    <r>
      <t xml:space="preserve">MATERIAL DIDACTICO $12.05 </t>
    </r>
    <r>
      <rPr>
        <b/>
        <sz val="11"/>
        <color rgb="FFFF0000"/>
        <rFont val="Arial"/>
        <family val="2"/>
      </rPr>
      <t>A</t>
    </r>
  </si>
  <si>
    <r>
      <t xml:space="preserve">MATERIAL DIDACTICO $13.15 </t>
    </r>
    <r>
      <rPr>
        <b/>
        <sz val="11"/>
        <color rgb="FFFF0000"/>
        <rFont val="Arial"/>
        <family val="2"/>
      </rPr>
      <t>B</t>
    </r>
  </si>
  <si>
    <t>GOMEZ SARMIENTA EDGAR ISIDRO</t>
  </si>
  <si>
    <t>ITSM-DO-053</t>
  </si>
  <si>
    <t>ARREDONDO CORTEZ CARMEN MANUELA</t>
  </si>
  <si>
    <t>ITSM-DO-054</t>
  </si>
  <si>
    <t>AMBROSIO GONZALEZ AARON</t>
  </si>
  <si>
    <t>ITSM-DO-055</t>
  </si>
  <si>
    <t>GUZMAN VELASCO MARCELA DEL ROSARIO</t>
  </si>
  <si>
    <t>ITSM-DO-056</t>
  </si>
  <si>
    <t>PEÑA ARCE MARIA DE LA LUZ</t>
  </si>
  <si>
    <t xml:space="preserve">                                                                                                        LIC. FRANCISCO JAVIER MEDRANO GUZMÁN</t>
  </si>
  <si>
    <t xml:space="preserve">M.V Z . GILDARDO SANCHEZ GONZALEZ </t>
  </si>
  <si>
    <t xml:space="preserve">                                                                                                                                                   JEFE DE DEPTO RECURSOS HUMANOS Y SERVICIOS GRALES</t>
  </si>
  <si>
    <t>AUTORIZO</t>
  </si>
  <si>
    <t>NOMINA DOCENTES 16-30 DE NOVIEMBRE 2015</t>
  </si>
  <si>
    <t>AYUDA PARA LENTES</t>
  </si>
  <si>
    <t>ESTIMULO DOCENTE</t>
  </si>
  <si>
    <t>NOMINA DOCENTES 16-30 DE ABRIL DEL  2015</t>
  </si>
  <si>
    <t>TOTAL 30</t>
  </si>
  <si>
    <t>NOMINA DOCENTES 01-15 DE MAYO DEL 2015</t>
  </si>
  <si>
    <t>DR. HECTOR ERNESTO GUZMAN VELASCO</t>
  </si>
  <si>
    <t>ENCARGADO DEL DESPACHO DE LA DIRECCION GENERAL</t>
  </si>
  <si>
    <t>NOMINA DOCENTES 16-31 DE MAYO DEL 2015</t>
  </si>
  <si>
    <t>ESTIMULO AL SERIVDOR PUBLICO (2014)</t>
  </si>
  <si>
    <t>TOTAL 29</t>
  </si>
  <si>
    <t>NOMINA DOCENTES 01-15 JUNIO DEL 2015</t>
  </si>
  <si>
    <t>NOMINA DOCENTES 16-30 JUNIO DEL 2015</t>
  </si>
  <si>
    <t>NOMINA DOCENTES 01-15 DE JULIO DEL 2015</t>
  </si>
  <si>
    <t>NOMINA DOCENTES 16-31 DE JULIO DEL 2015</t>
  </si>
  <si>
    <t xml:space="preserve"> AUTORIZO</t>
  </si>
  <si>
    <t>NOMINA DOCENTES 01-15 DE AGOSTO DEL 2015</t>
  </si>
  <si>
    <t>M.V.Z. GILDARDO SANCHEZ GONZALEZ</t>
  </si>
  <si>
    <t>NOMINA DOCENTES 16-30 DE AGOSTO DEL 2015</t>
  </si>
  <si>
    <t>RETRO QUINQUENIO</t>
  </si>
  <si>
    <t>IMPACTO AL SALARIO</t>
  </si>
  <si>
    <t>APOYO PARA UTILES</t>
  </si>
  <si>
    <t>NOMINA DOCENTES 01-15 DE SEPTIEMBRE DEL 2015</t>
  </si>
  <si>
    <t>NOMINA DOCENTES 16-30  DE SEPTIEMBRE DEL 2015</t>
  </si>
  <si>
    <t>NOMINA DOCENTES 01-15 DE OCTUBRE DEL 2015</t>
  </si>
  <si>
    <t>RETROACTIVO DESPENSA</t>
  </si>
  <si>
    <t>MATERIAL DIDACTICO $12.05 A</t>
  </si>
  <si>
    <t>MATERIAL DIDACTICO $13.15 B</t>
  </si>
  <si>
    <t>RETRO. MATERIAL DIDACTICO $12.05 A</t>
  </si>
  <si>
    <t>RETRO. MATERIAL DIDACTICO $13.15 B</t>
  </si>
  <si>
    <t>RETROACTIVO DE GUARDERIA</t>
  </si>
  <si>
    <t>RETROACTIVO DE AYUDA PARA UTILES ESCOLARES</t>
  </si>
  <si>
    <t>NOMINA DOCENTES 16-31 DE OCTUBRE DEL 2015</t>
  </si>
  <si>
    <t>NOMINA DOCENTES 01-15 DE DICIEMBRE 2015</t>
  </si>
  <si>
    <t>NOMINA DOCENTES 16-31 DE DICIEMBRE 2015</t>
  </si>
</sst>
</file>

<file path=xl/styles.xml><?xml version="1.0" encoding="utf-8"?>
<styleSheet xmlns="http://schemas.openxmlformats.org/spreadsheetml/2006/main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8"/>
      <color theme="0"/>
      <name val="Arial"/>
      <family val="2"/>
    </font>
    <font>
      <sz val="10"/>
      <color theme="0" tint="-4.9989318521683403E-2"/>
      <name val="Arial"/>
      <family val="2"/>
    </font>
    <font>
      <sz val="8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0" fontId="2" fillId="0" borderId="0"/>
  </cellStyleXfs>
  <cellXfs count="239">
    <xf numFmtId="0" fontId="0" fillId="0" borderId="0" xfId="0"/>
    <xf numFmtId="0" fontId="2" fillId="0" borderId="0" xfId="1"/>
    <xf numFmtId="0" fontId="2" fillId="0" borderId="0" xfId="1" applyFont="1"/>
    <xf numFmtId="43" fontId="2" fillId="0" borderId="0" xfId="1" applyNumberFormat="1"/>
    <xf numFmtId="0" fontId="3" fillId="0" borderId="0" xfId="1" applyFont="1" applyFill="1"/>
    <xf numFmtId="9" fontId="3" fillId="0" borderId="0" xfId="1" applyNumberFormat="1" applyFont="1" applyFill="1"/>
    <xf numFmtId="0" fontId="4" fillId="0" borderId="0" xfId="1" applyFont="1"/>
    <xf numFmtId="9" fontId="5" fillId="0" borderId="0" xfId="1" applyNumberFormat="1" applyFont="1" applyFill="1" applyAlignment="1">
      <alignment horizontal="center"/>
    </xf>
    <xf numFmtId="9" fontId="5" fillId="0" borderId="0" xfId="1" applyNumberFormat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center" vertical="center" wrapText="1"/>
    </xf>
    <xf numFmtId="0" fontId="6" fillId="5" borderId="13" xfId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8" fillId="0" borderId="7" xfId="1" applyFont="1" applyFill="1" applyBorder="1" applyAlignment="1">
      <alignment horizontal="left" vertical="center" wrapText="1"/>
    </xf>
    <xf numFmtId="0" fontId="2" fillId="0" borderId="7" xfId="1" applyFill="1" applyBorder="1"/>
    <xf numFmtId="2" fontId="9" fillId="0" borderId="7" xfId="1" applyNumberFormat="1" applyFont="1" applyFill="1" applyBorder="1" applyAlignment="1">
      <alignment horizontal="right" vertical="center" wrapText="1"/>
    </xf>
    <xf numFmtId="0" fontId="9" fillId="0" borderId="7" xfId="1" applyFont="1" applyFill="1" applyBorder="1" applyAlignment="1">
      <alignment horizontal="right" vertical="center" wrapText="1"/>
    </xf>
    <xf numFmtId="43" fontId="2" fillId="0" borderId="7" xfId="2" applyFill="1" applyBorder="1"/>
    <xf numFmtId="43" fontId="2" fillId="0" borderId="7" xfId="2" applyFont="1" applyFill="1" applyBorder="1"/>
    <xf numFmtId="43" fontId="2" fillId="0" borderId="7" xfId="1" applyNumberFormat="1" applyFill="1" applyBorder="1"/>
    <xf numFmtId="43" fontId="9" fillId="0" borderId="7" xfId="1" applyNumberFormat="1" applyFont="1" applyFill="1" applyBorder="1" applyAlignment="1">
      <alignment horizontal="center" vertical="center" wrapText="1"/>
    </xf>
    <xf numFmtId="0" fontId="9" fillId="0" borderId="7" xfId="1" applyNumberFormat="1" applyFont="1" applyFill="1" applyBorder="1" applyAlignment="1">
      <alignment horizontal="center" vertical="center" wrapText="1"/>
    </xf>
    <xf numFmtId="8" fontId="9" fillId="0" borderId="7" xfId="1" applyNumberFormat="1" applyFont="1" applyFill="1" applyBorder="1" applyAlignment="1">
      <alignment horizontal="center" vertical="center" wrapText="1"/>
    </xf>
    <xf numFmtId="0" fontId="2" fillId="0" borderId="7" xfId="1" applyFont="1" applyFill="1" applyBorder="1"/>
    <xf numFmtId="165" fontId="9" fillId="0" borderId="7" xfId="1" applyNumberFormat="1" applyFont="1" applyFill="1" applyBorder="1" applyAlignment="1">
      <alignment horizontal="right" vertical="center" wrapText="1"/>
    </xf>
    <xf numFmtId="0" fontId="2" fillId="0" borderId="7" xfId="1" applyFont="1" applyFill="1" applyBorder="1" applyAlignment="1">
      <alignment wrapText="1"/>
    </xf>
    <xf numFmtId="0" fontId="2" fillId="0" borderId="7" xfId="1" applyFill="1" applyBorder="1" applyAlignment="1">
      <alignment horizontal="right"/>
    </xf>
    <xf numFmtId="0" fontId="2" fillId="0" borderId="0" xfId="1" applyFont="1" applyFill="1"/>
    <xf numFmtId="0" fontId="9" fillId="0" borderId="7" xfId="1" applyFont="1" applyFill="1" applyBorder="1" applyAlignment="1">
      <alignment wrapText="1"/>
    </xf>
    <xf numFmtId="0" fontId="4" fillId="0" borderId="18" xfId="1" applyFont="1" applyBorder="1" applyAlignment="1">
      <alignment horizontal="right"/>
    </xf>
    <xf numFmtId="0" fontId="4" fillId="0" borderId="19" xfId="1" applyFont="1" applyFill="1" applyBorder="1" applyAlignment="1">
      <alignment horizontal="left"/>
    </xf>
    <xf numFmtId="2" fontId="4" fillId="0" borderId="20" xfId="2" applyNumberFormat="1" applyFont="1" applyBorder="1" applyAlignment="1"/>
    <xf numFmtId="43" fontId="4" fillId="0" borderId="20" xfId="2" applyFont="1" applyBorder="1" applyAlignment="1">
      <alignment horizontal="right"/>
    </xf>
    <xf numFmtId="43" fontId="4" fillId="0" borderId="0" xfId="1" applyNumberFormat="1" applyFont="1" applyBorder="1" applyAlignment="1">
      <alignment horizontal="right"/>
    </xf>
    <xf numFmtId="43" fontId="2" fillId="0" borderId="0" xfId="1" applyNumberFormat="1" applyFont="1"/>
    <xf numFmtId="0" fontId="4" fillId="0" borderId="0" xfId="1" applyFont="1" applyBorder="1" applyAlignment="1">
      <alignment horizontal="right"/>
    </xf>
    <xf numFmtId="0" fontId="4" fillId="0" borderId="0" xfId="1" applyFont="1" applyFill="1" applyBorder="1" applyAlignment="1">
      <alignment horizontal="left"/>
    </xf>
    <xf numFmtId="165" fontId="4" fillId="0" borderId="0" xfId="2" applyNumberFormat="1" applyFont="1" applyBorder="1" applyAlignment="1"/>
    <xf numFmtId="43" fontId="4" fillId="0" borderId="0" xfId="2" applyFont="1" applyBorder="1" applyAlignment="1">
      <alignment horizontal="right"/>
    </xf>
    <xf numFmtId="0" fontId="2" fillId="0" borderId="0" xfId="1" applyAlignment="1">
      <alignment horizontal="center"/>
    </xf>
    <xf numFmtId="0" fontId="2" fillId="0" borderId="0" xfId="1" applyAlignment="1">
      <alignment horizontal="center"/>
    </xf>
    <xf numFmtId="43" fontId="10" fillId="0" borderId="0" xfId="1" applyNumberFormat="1" applyFont="1" applyAlignment="1">
      <alignment wrapText="1"/>
    </xf>
    <xf numFmtId="43" fontId="10" fillId="0" borderId="0" xfId="1" applyNumberFormat="1" applyFont="1" applyBorder="1" applyAlignment="1">
      <alignment wrapText="1"/>
    </xf>
    <xf numFmtId="0" fontId="10" fillId="0" borderId="0" xfId="1" applyFont="1" applyBorder="1" applyAlignment="1">
      <alignment wrapText="1"/>
    </xf>
    <xf numFmtId="0" fontId="10" fillId="0" borderId="0" xfId="1" applyFont="1" applyAlignment="1">
      <alignment wrapText="1"/>
    </xf>
    <xf numFmtId="0" fontId="2" fillId="0" borderId="0" xfId="1" applyFont="1" applyAlignment="1"/>
    <xf numFmtId="0" fontId="9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10" fillId="0" borderId="0" xfId="1" applyFont="1"/>
    <xf numFmtId="164" fontId="3" fillId="0" borderId="0" xfId="1" applyNumberFormat="1" applyFont="1"/>
    <xf numFmtId="0" fontId="5" fillId="0" borderId="0" xfId="1" applyFont="1" applyBorder="1" applyAlignment="1">
      <alignment horizontal="right"/>
    </xf>
    <xf numFmtId="0" fontId="5" fillId="0" borderId="0" xfId="1" applyFont="1" applyFill="1" applyBorder="1" applyAlignment="1">
      <alignment horizontal="left"/>
    </xf>
    <xf numFmtId="165" fontId="5" fillId="0" borderId="0" xfId="2" applyNumberFormat="1" applyFont="1" applyBorder="1" applyAlignment="1"/>
    <xf numFmtId="43" fontId="5" fillId="0" borderId="0" xfId="2" applyFont="1" applyBorder="1" applyAlignment="1">
      <alignment horizontal="right"/>
    </xf>
    <xf numFmtId="43" fontId="5" fillId="0" borderId="0" xfId="1" applyNumberFormat="1" applyFont="1" applyBorder="1" applyAlignment="1">
      <alignment horizontal="right"/>
    </xf>
    <xf numFmtId="43" fontId="3" fillId="0" borderId="0" xfId="1" applyNumberFormat="1" applyFont="1"/>
    <xf numFmtId="0" fontId="3" fillId="0" borderId="0" xfId="1" applyFont="1"/>
    <xf numFmtId="0" fontId="2" fillId="0" borderId="0" xfId="1" applyAlignment="1"/>
    <xf numFmtId="0" fontId="13" fillId="2" borderId="1" xfId="1" applyFont="1" applyFill="1" applyBorder="1" applyAlignment="1">
      <alignment horizontal="center" vertical="center" wrapText="1"/>
    </xf>
    <xf numFmtId="0" fontId="2" fillId="0" borderId="7" xfId="1" applyFill="1" applyBorder="1" applyAlignment="1">
      <alignment wrapText="1"/>
    </xf>
    <xf numFmtId="0" fontId="2" fillId="0" borderId="0" xfId="1" applyFill="1"/>
    <xf numFmtId="0" fontId="2" fillId="0" borderId="0" xfId="1" applyFont="1" applyFill="1" applyBorder="1"/>
    <xf numFmtId="43" fontId="2" fillId="0" borderId="16" xfId="2" applyFill="1" applyBorder="1"/>
    <xf numFmtId="43" fontId="2" fillId="0" borderId="16" xfId="1" applyNumberFormat="1" applyFill="1" applyBorder="1" applyAlignment="1">
      <alignment horizontal="center"/>
    </xf>
    <xf numFmtId="43" fontId="2" fillId="0" borderId="0" xfId="1" applyNumberFormat="1" applyFill="1" applyBorder="1" applyAlignment="1">
      <alignment horizontal="center"/>
    </xf>
    <xf numFmtId="8" fontId="4" fillId="0" borderId="20" xfId="2" applyNumberFormat="1" applyFont="1" applyBorder="1" applyAlignment="1">
      <alignment horizontal="right"/>
    </xf>
    <xf numFmtId="0" fontId="2" fillId="0" borderId="0" xfId="1" applyFont="1" applyBorder="1"/>
    <xf numFmtId="0" fontId="5" fillId="0" borderId="0" xfId="1" applyFont="1" applyFill="1" applyBorder="1" applyAlignment="1">
      <alignment horizontal="right"/>
    </xf>
    <xf numFmtId="165" fontId="5" fillId="0" borderId="0" xfId="2" applyNumberFormat="1" applyFont="1" applyFill="1" applyBorder="1" applyAlignment="1"/>
    <xf numFmtId="43" fontId="5" fillId="0" borderId="0" xfId="2" applyFont="1" applyFill="1" applyBorder="1" applyAlignment="1">
      <alignment horizontal="right"/>
    </xf>
    <xf numFmtId="43" fontId="5" fillId="0" borderId="0" xfId="1" applyNumberFormat="1" applyFont="1" applyFill="1" applyBorder="1" applyAlignment="1">
      <alignment horizontal="right"/>
    </xf>
    <xf numFmtId="43" fontId="3" fillId="0" borderId="0" xfId="1" applyNumberFormat="1" applyFont="1" applyFill="1"/>
    <xf numFmtId="43" fontId="3" fillId="0" borderId="0" xfId="1" applyNumberFormat="1" applyFont="1" applyFill="1" applyBorder="1"/>
    <xf numFmtId="0" fontId="2" fillId="0" borderId="0" xfId="1" applyAlignment="1">
      <alignment horizontal="center"/>
    </xf>
    <xf numFmtId="43" fontId="2" fillId="0" borderId="16" xfId="1" applyNumberForma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Fill="1"/>
    <xf numFmtId="0" fontId="4" fillId="0" borderId="18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43" fontId="2" fillId="0" borderId="0" xfId="1" applyNumberFormat="1" applyFont="1" applyBorder="1"/>
    <xf numFmtId="43" fontId="14" fillId="0" borderId="0" xfId="2" applyFont="1" applyBorder="1" applyAlignment="1">
      <alignment horizontal="right"/>
    </xf>
    <xf numFmtId="43" fontId="15" fillId="0" borderId="0" xfId="1" applyNumberFormat="1" applyFont="1"/>
    <xf numFmtId="0" fontId="15" fillId="0" borderId="0" xfId="1" applyFont="1"/>
    <xf numFmtId="0" fontId="15" fillId="0" borderId="0" xfId="1" applyFont="1" applyFill="1"/>
    <xf numFmtId="43" fontId="2" fillId="0" borderId="7" xfId="1" applyNumberFormat="1" applyFill="1" applyBorder="1" applyAlignment="1">
      <alignment horizontal="center"/>
    </xf>
    <xf numFmtId="43" fontId="3" fillId="0" borderId="0" xfId="1" applyNumberFormat="1" applyFont="1" applyBorder="1"/>
    <xf numFmtId="0" fontId="17" fillId="0" borderId="0" xfId="1" applyFont="1"/>
    <xf numFmtId="0" fontId="16" fillId="2" borderId="1" xfId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6" fillId="3" borderId="10" xfId="1" applyFont="1" applyFill="1" applyBorder="1" applyAlignment="1">
      <alignment horizontal="center" vertical="center" wrapText="1"/>
    </xf>
    <xf numFmtId="0" fontId="16" fillId="3" borderId="7" xfId="1" applyFont="1" applyFill="1" applyBorder="1" applyAlignment="1">
      <alignment horizontal="center" vertical="center" wrapText="1"/>
    </xf>
    <xf numFmtId="0" fontId="19" fillId="3" borderId="7" xfId="1" applyFont="1" applyFill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20" fillId="4" borderId="1" xfId="1" applyFont="1" applyFill="1" applyBorder="1" applyAlignment="1">
      <alignment horizontal="center" vertical="center" wrapText="1"/>
    </xf>
    <xf numFmtId="0" fontId="16" fillId="5" borderId="11" xfId="1" applyFont="1" applyFill="1" applyBorder="1" applyAlignment="1">
      <alignment horizontal="center" vertical="center" wrapText="1"/>
    </xf>
    <xf numFmtId="0" fontId="16" fillId="5" borderId="12" xfId="1" applyFont="1" applyFill="1" applyBorder="1" applyAlignment="1">
      <alignment horizontal="center" vertical="center" wrapText="1"/>
    </xf>
    <xf numFmtId="0" fontId="16" fillId="5" borderId="13" xfId="1" applyFont="1" applyFill="1" applyBorder="1" applyAlignment="1">
      <alignment horizontal="center" vertical="center" wrapText="1"/>
    </xf>
    <xf numFmtId="165" fontId="2" fillId="0" borderId="7" xfId="1" applyNumberFormat="1" applyFont="1" applyFill="1" applyBorder="1" applyAlignment="1">
      <alignment horizontal="right" vertical="center" wrapText="1"/>
    </xf>
    <xf numFmtId="0" fontId="2" fillId="0" borderId="7" xfId="1" applyFont="1" applyFill="1" applyBorder="1" applyAlignment="1">
      <alignment horizontal="right" vertical="center" wrapText="1"/>
    </xf>
    <xf numFmtId="43" fontId="2" fillId="0" borderId="7" xfId="1" applyNumberFormat="1" applyFont="1" applyFill="1" applyBorder="1"/>
    <xf numFmtId="43" fontId="2" fillId="0" borderId="7" xfId="1" applyNumberFormat="1" applyFont="1" applyFill="1" applyBorder="1" applyAlignment="1">
      <alignment horizontal="center" vertical="center" wrapText="1"/>
    </xf>
    <xf numFmtId="0" fontId="10" fillId="0" borderId="0" xfId="1" applyFont="1" applyFill="1"/>
    <xf numFmtId="0" fontId="2" fillId="0" borderId="7" xfId="1" applyFont="1" applyFill="1" applyBorder="1" applyAlignment="1">
      <alignment horizontal="right"/>
    </xf>
    <xf numFmtId="8" fontId="2" fillId="0" borderId="7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/>
    <xf numFmtId="43" fontId="2" fillId="0" borderId="16" xfId="1" applyNumberFormat="1" applyFont="1" applyFill="1" applyBorder="1" applyAlignment="1">
      <alignment horizontal="center"/>
    </xf>
    <xf numFmtId="43" fontId="2" fillId="0" borderId="0" xfId="1" applyNumberFormat="1" applyFont="1" applyFill="1" applyBorder="1" applyAlignment="1">
      <alignment horizontal="center"/>
    </xf>
    <xf numFmtId="43" fontId="4" fillId="0" borderId="20" xfId="2" applyFont="1" applyBorder="1" applyAlignment="1">
      <alignment horizontal="left"/>
    </xf>
    <xf numFmtId="43" fontId="4" fillId="0" borderId="20" xfId="2" applyNumberFormat="1" applyFont="1" applyBorder="1" applyAlignment="1">
      <alignment horizontal="right"/>
    </xf>
    <xf numFmtId="0" fontId="10" fillId="0" borderId="0" xfId="1" applyFont="1" applyBorder="1"/>
    <xf numFmtId="43" fontId="10" fillId="0" borderId="0" xfId="1" applyNumberFormat="1" applyFont="1"/>
    <xf numFmtId="0" fontId="14" fillId="0" borderId="0" xfId="1" applyFont="1" applyFill="1" applyBorder="1" applyAlignment="1">
      <alignment horizontal="right"/>
    </xf>
    <xf numFmtId="0" fontId="14" fillId="0" borderId="0" xfId="1" applyFont="1" applyFill="1" applyBorder="1" applyAlignment="1">
      <alignment horizontal="left"/>
    </xf>
    <xf numFmtId="165" fontId="14" fillId="0" borderId="0" xfId="2" applyNumberFormat="1" applyFont="1" applyBorder="1" applyAlignment="1"/>
    <xf numFmtId="43" fontId="14" fillId="0" borderId="0" xfId="1" applyNumberFormat="1" applyFont="1" applyBorder="1" applyAlignment="1">
      <alignment horizontal="right"/>
    </xf>
    <xf numFmtId="43" fontId="15" fillId="0" borderId="0" xfId="1" applyNumberFormat="1" applyFont="1" applyBorder="1"/>
    <xf numFmtId="0" fontId="2" fillId="0" borderId="0" xfId="1" applyAlignment="1">
      <alignment horizontal="left" vertical="top"/>
    </xf>
    <xf numFmtId="0" fontId="10" fillId="0" borderId="0" xfId="1" applyFont="1" applyAlignment="1"/>
    <xf numFmtId="164" fontId="21" fillId="0" borderId="0" xfId="1" applyNumberFormat="1" applyFont="1"/>
    <xf numFmtId="9" fontId="3" fillId="0" borderId="0" xfId="1" applyNumberFormat="1" applyFont="1"/>
    <xf numFmtId="0" fontId="3" fillId="0" borderId="0" xfId="1" applyNumberFormat="1" applyFont="1"/>
    <xf numFmtId="43" fontId="7" fillId="0" borderId="20" xfId="2" applyFont="1" applyBorder="1" applyAlignment="1">
      <alignment horizontal="right"/>
    </xf>
    <xf numFmtId="43" fontId="2" fillId="0" borderId="16" xfId="1" applyNumberFormat="1" applyFill="1" applyBorder="1" applyAlignment="1">
      <alignment horizontal="center"/>
    </xf>
    <xf numFmtId="0" fontId="2" fillId="0" borderId="0" xfId="1" applyAlignment="1">
      <alignment horizontal="center"/>
    </xf>
    <xf numFmtId="0" fontId="20" fillId="3" borderId="7" xfId="1" applyFont="1" applyFill="1" applyBorder="1" applyAlignment="1">
      <alignment horizontal="center" vertical="center" wrapText="1"/>
    </xf>
    <xf numFmtId="43" fontId="0" fillId="0" borderId="16" xfId="0" applyNumberFormat="1" applyBorder="1"/>
    <xf numFmtId="43" fontId="0" fillId="0" borderId="16" xfId="0" applyNumberFormat="1" applyFill="1" applyBorder="1"/>
    <xf numFmtId="0" fontId="2" fillId="0" borderId="0" xfId="1" applyAlignment="1">
      <alignment horizontal="center"/>
    </xf>
    <xf numFmtId="43" fontId="2" fillId="0" borderId="16" xfId="1" applyNumberFormat="1" applyFill="1" applyBorder="1" applyAlignment="1">
      <alignment horizontal="center"/>
    </xf>
    <xf numFmtId="43" fontId="2" fillId="0" borderId="16" xfId="1" applyNumberFormat="1" applyFill="1" applyBorder="1" applyAlignment="1">
      <alignment horizontal="center"/>
    </xf>
    <xf numFmtId="0" fontId="2" fillId="0" borderId="0" xfId="1" applyAlignment="1">
      <alignment horizontal="center"/>
    </xf>
    <xf numFmtId="43" fontId="2" fillId="0" borderId="16" xfId="1" applyNumberFormat="1" applyFont="1" applyFill="1" applyBorder="1" applyAlignment="1">
      <alignment horizontal="center"/>
    </xf>
    <xf numFmtId="0" fontId="22" fillId="0" borderId="0" xfId="1" applyFont="1"/>
    <xf numFmtId="43" fontId="22" fillId="0" borderId="0" xfId="1" applyNumberFormat="1" applyFont="1"/>
    <xf numFmtId="0" fontId="22" fillId="0" borderId="0" xfId="1" applyFont="1" applyFill="1"/>
    <xf numFmtId="164" fontId="23" fillId="0" borderId="0" xfId="1" applyNumberFormat="1" applyFont="1"/>
    <xf numFmtId="9" fontId="22" fillId="0" borderId="0" xfId="1" applyNumberFormat="1" applyFont="1" applyFill="1"/>
    <xf numFmtId="9" fontId="24" fillId="0" borderId="0" xfId="1" applyNumberFormat="1" applyFont="1" applyFill="1" applyAlignment="1">
      <alignment horizontal="center"/>
    </xf>
    <xf numFmtId="9" fontId="24" fillId="0" borderId="0" xfId="1" applyNumberFormat="1" applyFont="1" applyFill="1" applyAlignment="1">
      <alignment horizontal="center" vertical="center"/>
    </xf>
    <xf numFmtId="9" fontId="22" fillId="0" borderId="0" xfId="1" applyNumberFormat="1" applyFont="1"/>
    <xf numFmtId="0" fontId="25" fillId="0" borderId="7" xfId="1" applyFont="1" applyFill="1" applyBorder="1" applyAlignment="1">
      <alignment horizontal="left" vertical="center" wrapText="1"/>
    </xf>
    <xf numFmtId="43" fontId="9" fillId="0" borderId="7" xfId="2" applyFont="1" applyFill="1" applyBorder="1"/>
    <xf numFmtId="43" fontId="9" fillId="0" borderId="7" xfId="1" applyNumberFormat="1" applyFont="1" applyFill="1" applyBorder="1"/>
    <xf numFmtId="0" fontId="9" fillId="0" borderId="7" xfId="1" applyFont="1" applyFill="1" applyBorder="1" applyAlignment="1">
      <alignment horizontal="right"/>
    </xf>
    <xf numFmtId="0" fontId="9" fillId="0" borderId="7" xfId="1" applyFont="1" applyFill="1" applyBorder="1"/>
    <xf numFmtId="2" fontId="6" fillId="0" borderId="20" xfId="2" applyNumberFormat="1" applyFont="1" applyBorder="1" applyAlignment="1"/>
    <xf numFmtId="43" fontId="6" fillId="0" borderId="20" xfId="2" applyFont="1" applyBorder="1" applyAlignment="1">
      <alignment horizontal="right"/>
    </xf>
    <xf numFmtId="43" fontId="6" fillId="0" borderId="20" xfId="2" applyNumberFormat="1" applyFont="1" applyBorder="1" applyAlignment="1">
      <alignment horizontal="right"/>
    </xf>
    <xf numFmtId="43" fontId="12" fillId="0" borderId="0" xfId="2" applyFont="1" applyBorder="1" applyAlignment="1">
      <alignment horizontal="right"/>
    </xf>
    <xf numFmtId="0" fontId="3" fillId="0" borderId="0" xfId="1" applyFont="1" applyAlignment="1">
      <alignment horizontal="right"/>
    </xf>
    <xf numFmtId="0" fontId="2" fillId="0" borderId="0" xfId="1" applyAlignment="1">
      <alignment horizontal="center"/>
    </xf>
    <xf numFmtId="43" fontId="2" fillId="0" borderId="16" xfId="1" applyNumberFormat="1" applyFill="1" applyBorder="1" applyAlignment="1">
      <alignment horizontal="center"/>
    </xf>
    <xf numFmtId="43" fontId="2" fillId="0" borderId="17" xfId="1" applyNumberFormat="1" applyFill="1" applyBorder="1" applyAlignment="1">
      <alignment horizontal="center"/>
    </xf>
    <xf numFmtId="43" fontId="2" fillId="0" borderId="15" xfId="1" applyNumberForma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4" fillId="4" borderId="4" xfId="1" applyFont="1" applyFill="1" applyBorder="1" applyAlignment="1">
      <alignment horizontal="center"/>
    </xf>
    <xf numFmtId="0" fontId="4" fillId="5" borderId="7" xfId="1" applyFont="1" applyFill="1" applyBorder="1" applyAlignment="1">
      <alignment horizontal="center"/>
    </xf>
    <xf numFmtId="0" fontId="2" fillId="6" borderId="7" xfId="1" applyFill="1" applyBorder="1" applyAlignment="1">
      <alignment horizontal="center" vertical="center" wrapText="1"/>
    </xf>
    <xf numFmtId="43" fontId="2" fillId="0" borderId="14" xfId="1" applyNumberFormat="1" applyBorder="1" applyAlignment="1">
      <alignment horizontal="center"/>
    </xf>
    <xf numFmtId="43" fontId="2" fillId="0" borderId="15" xfId="1" applyNumberFormat="1" applyBorder="1" applyAlignment="1">
      <alignment horizontal="center"/>
    </xf>
    <xf numFmtId="0" fontId="2" fillId="0" borderId="0" xfId="1" applyFont="1" applyAlignment="1">
      <alignment horizontal="center"/>
    </xf>
    <xf numFmtId="0" fontId="4" fillId="4" borderId="21" xfId="1" applyFont="1" applyFill="1" applyBorder="1" applyAlignment="1">
      <alignment horizontal="center"/>
    </xf>
    <xf numFmtId="43" fontId="2" fillId="0" borderId="14" xfId="1" applyNumberFormat="1" applyFill="1" applyBorder="1" applyAlignment="1">
      <alignment horizontal="center"/>
    </xf>
    <xf numFmtId="43" fontId="2" fillId="0" borderId="22" xfId="1" applyNumberFormat="1" applyFill="1" applyBorder="1" applyAlignment="1">
      <alignment horizontal="center"/>
    </xf>
    <xf numFmtId="43" fontId="2" fillId="0" borderId="23" xfId="1" applyNumberFormat="1" applyFill="1" applyBorder="1" applyAlignment="1">
      <alignment horizontal="center"/>
    </xf>
    <xf numFmtId="0" fontId="2" fillId="0" borderId="0" xfId="1" applyFont="1" applyAlignment="1">
      <alignment horizontal="left"/>
    </xf>
    <xf numFmtId="0" fontId="6" fillId="0" borderId="1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16" fillId="5" borderId="7" xfId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/>
    </xf>
    <xf numFmtId="0" fontId="16" fillId="2" borderId="4" xfId="1" applyFont="1" applyFill="1" applyBorder="1" applyAlignment="1">
      <alignment horizontal="center"/>
    </xf>
    <xf numFmtId="0" fontId="16" fillId="2" borderId="5" xfId="1" applyFont="1" applyFill="1" applyBorder="1" applyAlignment="1">
      <alignment horizontal="center"/>
    </xf>
    <xf numFmtId="0" fontId="16" fillId="3" borderId="3" xfId="1" applyFont="1" applyFill="1" applyBorder="1" applyAlignment="1">
      <alignment horizontal="center"/>
    </xf>
    <xf numFmtId="0" fontId="16" fillId="3" borderId="4" xfId="1" applyFont="1" applyFill="1" applyBorder="1" applyAlignment="1">
      <alignment horizontal="center"/>
    </xf>
    <xf numFmtId="0" fontId="16" fillId="3" borderId="6" xfId="1" applyFont="1" applyFill="1" applyBorder="1" applyAlignment="1">
      <alignment horizontal="center"/>
    </xf>
    <xf numFmtId="0" fontId="16" fillId="3" borderId="2" xfId="1" applyFont="1" applyFill="1" applyBorder="1" applyAlignment="1">
      <alignment horizontal="center"/>
    </xf>
    <xf numFmtId="0" fontId="16" fillId="4" borderId="3" xfId="1" applyFont="1" applyFill="1" applyBorder="1" applyAlignment="1">
      <alignment horizontal="center"/>
    </xf>
    <xf numFmtId="0" fontId="16" fillId="4" borderId="4" xfId="1" applyFont="1" applyFill="1" applyBorder="1" applyAlignment="1">
      <alignment horizontal="center"/>
    </xf>
    <xf numFmtId="43" fontId="2" fillId="0" borderId="16" xfId="1" applyNumberFormat="1" applyFont="1" applyFill="1" applyBorder="1" applyAlignment="1">
      <alignment horizontal="center"/>
    </xf>
    <xf numFmtId="43" fontId="2" fillId="0" borderId="17" xfId="1" applyNumberFormat="1" applyFont="1" applyFill="1" applyBorder="1" applyAlignment="1">
      <alignment horizontal="center"/>
    </xf>
    <xf numFmtId="0" fontId="17" fillId="6" borderId="7" xfId="1" applyFont="1" applyFill="1" applyBorder="1" applyAlignment="1">
      <alignment horizontal="center" vertical="center" wrapText="1"/>
    </xf>
    <xf numFmtId="43" fontId="2" fillId="0" borderId="22" xfId="1" applyNumberFormat="1" applyFont="1" applyFill="1" applyBorder="1" applyAlignment="1">
      <alignment horizontal="center"/>
    </xf>
    <xf numFmtId="43" fontId="2" fillId="0" borderId="23" xfId="1" applyNumberFormat="1" applyFont="1" applyFill="1" applyBorder="1" applyAlignment="1">
      <alignment horizontal="center"/>
    </xf>
    <xf numFmtId="0" fontId="26" fillId="0" borderId="7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wrapText="1"/>
    </xf>
    <xf numFmtId="165" fontId="10" fillId="0" borderId="7" xfId="1" applyNumberFormat="1" applyFont="1" applyFill="1" applyBorder="1" applyAlignment="1">
      <alignment horizontal="right" vertical="center" wrapText="1"/>
    </xf>
    <xf numFmtId="0" fontId="10" fillId="0" borderId="7" xfId="1" applyFont="1" applyFill="1" applyBorder="1" applyAlignment="1">
      <alignment horizontal="right" vertical="center" wrapText="1"/>
    </xf>
    <xf numFmtId="43" fontId="10" fillId="0" borderId="7" xfId="2" applyFont="1" applyFill="1" applyBorder="1"/>
    <xf numFmtId="43" fontId="10" fillId="0" borderId="7" xfId="1" applyNumberFormat="1" applyFont="1" applyFill="1" applyBorder="1"/>
    <xf numFmtId="43" fontId="10" fillId="0" borderId="7" xfId="1" applyNumberFormat="1" applyFont="1" applyFill="1" applyBorder="1" applyAlignment="1">
      <alignment horizontal="center" vertical="center" wrapText="1"/>
    </xf>
    <xf numFmtId="43" fontId="10" fillId="0" borderId="16" xfId="1" applyNumberFormat="1" applyFont="1" applyFill="1" applyBorder="1" applyAlignment="1">
      <alignment horizontal="center"/>
    </xf>
    <xf numFmtId="43" fontId="10" fillId="0" borderId="17" xfId="1" applyNumberFormat="1" applyFont="1" applyFill="1" applyBorder="1" applyAlignment="1">
      <alignment horizontal="center"/>
    </xf>
    <xf numFmtId="0" fontId="10" fillId="0" borderId="7" xfId="1" applyFont="1" applyFill="1" applyBorder="1" applyAlignment="1">
      <alignment horizontal="right"/>
    </xf>
    <xf numFmtId="8" fontId="10" fillId="0" borderId="7" xfId="1" applyNumberFormat="1" applyFont="1" applyFill="1" applyBorder="1" applyAlignment="1">
      <alignment horizontal="center" vertical="center" wrapText="1"/>
    </xf>
    <xf numFmtId="43" fontId="10" fillId="0" borderId="22" xfId="1" applyNumberFormat="1" applyFont="1" applyFill="1" applyBorder="1" applyAlignment="1">
      <alignment horizontal="center"/>
    </xf>
    <xf numFmtId="43" fontId="10" fillId="0" borderId="23" xfId="1" applyNumberFormat="1" applyFont="1" applyFill="1" applyBorder="1" applyAlignment="1">
      <alignment horizontal="center"/>
    </xf>
    <xf numFmtId="43" fontId="10" fillId="0" borderId="16" xfId="1" applyNumberFormat="1" applyFont="1" applyFill="1" applyBorder="1" applyAlignment="1">
      <alignment horizontal="center"/>
    </xf>
    <xf numFmtId="43" fontId="10" fillId="0" borderId="0" xfId="1" applyNumberFormat="1" applyFont="1" applyFill="1" applyBorder="1" applyAlignment="1">
      <alignment horizontal="center"/>
    </xf>
    <xf numFmtId="0" fontId="7" fillId="0" borderId="18" xfId="1" applyFont="1" applyFill="1" applyBorder="1" applyAlignment="1">
      <alignment horizontal="right"/>
    </xf>
    <xf numFmtId="0" fontId="7" fillId="0" borderId="19" xfId="1" applyFont="1" applyFill="1" applyBorder="1" applyAlignment="1">
      <alignment horizontal="left"/>
    </xf>
    <xf numFmtId="2" fontId="7" fillId="0" borderId="20" xfId="2" applyNumberFormat="1" applyFont="1" applyBorder="1" applyAlignment="1"/>
    <xf numFmtId="43" fontId="7" fillId="0" borderId="20" xfId="2" applyFont="1" applyBorder="1" applyAlignment="1">
      <alignment horizontal="left"/>
    </xf>
    <xf numFmtId="43" fontId="7" fillId="0" borderId="20" xfId="2" applyNumberFormat="1" applyFont="1" applyBorder="1" applyAlignment="1">
      <alignment horizontal="right"/>
    </xf>
    <xf numFmtId="43" fontId="7" fillId="0" borderId="0" xfId="1" applyNumberFormat="1" applyFont="1" applyBorder="1" applyAlignment="1">
      <alignment horizontal="right"/>
    </xf>
    <xf numFmtId="9" fontId="15" fillId="0" borderId="0" xfId="1" applyNumberFormat="1" applyFont="1" applyFill="1"/>
  </cellXfs>
  <cellStyles count="8">
    <cellStyle name="Millares 2" xfId="2"/>
    <cellStyle name="Millares 2 2" xfId="3"/>
    <cellStyle name="Moneda 2" xfId="4"/>
    <cellStyle name="Moneda 3" xfId="5"/>
    <cellStyle name="Normal" xfId="0" builtinId="0"/>
    <cellStyle name="Normal 2" xfId="1"/>
    <cellStyle name="Normal 3" xfId="6"/>
    <cellStyle name="Normal 3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9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0.xml"/><Relationship Id="rId42" Type="http://schemas.openxmlformats.org/officeDocument/2006/relationships/externalLink" Target="externalLinks/externalLink18.xml"/><Relationship Id="rId47" Type="http://schemas.openxmlformats.org/officeDocument/2006/relationships/externalLink" Target="externalLinks/externalLink23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externalLink" Target="externalLinks/externalLink14.xml"/><Relationship Id="rId46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41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externalLink" Target="externalLinks/externalLink13.xml"/><Relationship Id="rId40" Type="http://schemas.openxmlformats.org/officeDocument/2006/relationships/externalLink" Target="externalLinks/externalLink16.xml"/><Relationship Id="rId45" Type="http://schemas.openxmlformats.org/officeDocument/2006/relationships/externalLink" Target="externalLinks/externalLink2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4" Type="http://schemas.openxmlformats.org/officeDocument/2006/relationships/externalLink" Target="externalLinks/externalLink20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Relationship Id="rId43" Type="http://schemas.openxmlformats.org/officeDocument/2006/relationships/externalLink" Target="externalLinks/externalLink19.xml"/><Relationship Id="rId48" Type="http://schemas.openxmlformats.org/officeDocument/2006/relationships/externalLink" Target="externalLinks/externalLink24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cid:image004.jpg@01CE35D2.193151F0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cid:image004.jpg@01CE35D2.193151F0" TargetMode="Externa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cid:image004.jpg@01CE35D2.193151F0" TargetMode="Externa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cid:image004.jpg@01CE35D2.193151F0" TargetMode="Externa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cid:image004.jpg@01CE35D2.193151F0" TargetMode="Externa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cid:image004.jpg@01CE35D2.193151F0" TargetMode="Externa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cid:image004.jpg@01CE35D2.193151F0" TargetMode="Externa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cid:image004.jpg@01CE35D2.193151F0" TargetMode="Externa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cid:image004.jpg@01CE35D2.193151F0" TargetMode="Externa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cid:image004.jpg@01CE35D2.193151F0" TargetMode="Externa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cid:image004.jpg@01CE35D2.193151F0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cid:image004.jpg@01CE35D2.193151F0" TargetMode="Externa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cid:image004.jpg@01CE35D2.193151F0" TargetMode="Externa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cid:image004.jpg@01CE35D2.193151F0" TargetMode="Externa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cid:image004.jpg@01CE35D2.193151F0" TargetMode="Externa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cid:image004.jpg@01CE35D2.193151F0" TargetMode="Externa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cid:image004.jpg@01CE35D2.193151F0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cid:image004.jpg@01CE35D2.193151F0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cid:image004.jpg@01CE35D2.193151F0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cid:image004.jpg@01CE35D2.193151F0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cid:image004.jpg@01CE35D2.193151F0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cid:image004.jpg@01CE35D2.193151F0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cid:image004.jpg@01CE35D2.193151F0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cid:image004.jpg@01CE35D2.193151F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240507</xdr:colOff>
      <xdr:row>1</xdr:row>
      <xdr:rowOff>164306</xdr:rowOff>
    </xdr:from>
    <xdr:to>
      <xdr:col>19</xdr:col>
      <xdr:colOff>808682</xdr:colOff>
      <xdr:row>6</xdr:row>
      <xdr:rowOff>73819</xdr:rowOff>
    </xdr:to>
    <xdr:pic>
      <xdr:nvPicPr>
        <xdr:cNvPr id="2" name="1 Imagen" descr="LOGO ITS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0113" t="15459" r="7977" b="15181"/>
        <a:stretch>
          <a:fillRect/>
        </a:stretch>
      </xdr:blipFill>
      <xdr:spPr bwMode="auto">
        <a:xfrm>
          <a:off x="14563726" y="330994"/>
          <a:ext cx="1115863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2</xdr:row>
      <xdr:rowOff>38101</xdr:rowOff>
    </xdr:from>
    <xdr:to>
      <xdr:col>1</xdr:col>
      <xdr:colOff>1105652</xdr:colOff>
      <xdr:row>5</xdr:row>
      <xdr:rowOff>142876</xdr:rowOff>
    </xdr:to>
    <xdr:pic>
      <xdr:nvPicPr>
        <xdr:cNvPr id="3" name="Picture 1" descr="SEP_horizontal_ALTA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7251" r="510" b="32322"/>
        <a:stretch>
          <a:fillRect/>
        </a:stretch>
      </xdr:blipFill>
      <xdr:spPr bwMode="auto">
        <a:xfrm>
          <a:off x="438150" y="361951"/>
          <a:ext cx="1515227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416719</xdr:colOff>
      <xdr:row>2</xdr:row>
      <xdr:rowOff>4763</xdr:rowOff>
    </xdr:from>
    <xdr:to>
      <xdr:col>5</xdr:col>
      <xdr:colOff>371475</xdr:colOff>
      <xdr:row>5</xdr:row>
      <xdr:rowOff>160079</xdr:rowOff>
    </xdr:to>
    <xdr:pic>
      <xdr:nvPicPr>
        <xdr:cNvPr id="4" name="3 Imagen" descr="cid:_1_0AA1BC200AA1B9E00079477C86257B47"/>
        <xdr:cNvPicPr/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3631407" y="338138"/>
          <a:ext cx="1907381" cy="655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523875</xdr:colOff>
      <xdr:row>2</xdr:row>
      <xdr:rowOff>52785</xdr:rowOff>
    </xdr:from>
    <xdr:to>
      <xdr:col>10</xdr:col>
      <xdr:colOff>257175</xdr:colOff>
      <xdr:row>6</xdr:row>
      <xdr:rowOff>9526</xdr:rowOff>
    </xdr:to>
    <xdr:pic>
      <xdr:nvPicPr>
        <xdr:cNvPr id="5" name="Picture 1" descr="plata 20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750969" y="386160"/>
          <a:ext cx="935831" cy="62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50006</xdr:colOff>
      <xdr:row>2</xdr:row>
      <xdr:rowOff>80964</xdr:rowOff>
    </xdr:from>
    <xdr:to>
      <xdr:col>24</xdr:col>
      <xdr:colOff>626119</xdr:colOff>
      <xdr:row>6</xdr:row>
      <xdr:rowOff>157164</xdr:rowOff>
    </xdr:to>
    <xdr:pic>
      <xdr:nvPicPr>
        <xdr:cNvPr id="2" name="1 Imagen" descr="LOGO ITS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0113" t="15459" r="7977" b="15181"/>
        <a:stretch>
          <a:fillRect/>
        </a:stretch>
      </xdr:blipFill>
      <xdr:spPr bwMode="auto">
        <a:xfrm>
          <a:off x="12849225" y="414339"/>
          <a:ext cx="11238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2</xdr:row>
      <xdr:rowOff>38101</xdr:rowOff>
    </xdr:from>
    <xdr:to>
      <xdr:col>1</xdr:col>
      <xdr:colOff>1105652</xdr:colOff>
      <xdr:row>5</xdr:row>
      <xdr:rowOff>142876</xdr:rowOff>
    </xdr:to>
    <xdr:pic>
      <xdr:nvPicPr>
        <xdr:cNvPr id="3" name="Picture 1" descr="SEP_horizontal_ALTA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7251" r="510" b="32322"/>
        <a:stretch>
          <a:fillRect/>
        </a:stretch>
      </xdr:blipFill>
      <xdr:spPr bwMode="auto">
        <a:xfrm>
          <a:off x="438150" y="361951"/>
          <a:ext cx="1515227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476249</xdr:colOff>
      <xdr:row>2</xdr:row>
      <xdr:rowOff>40482</xdr:rowOff>
    </xdr:from>
    <xdr:to>
      <xdr:col>8</xdr:col>
      <xdr:colOff>30163</xdr:colOff>
      <xdr:row>6</xdr:row>
      <xdr:rowOff>29111</xdr:rowOff>
    </xdr:to>
    <xdr:pic>
      <xdr:nvPicPr>
        <xdr:cNvPr id="4" name="3 Imagen" descr="cid:_1_0AA1BC200AA1B9E00079477C86257B47"/>
        <xdr:cNvPicPr/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5072062" y="373857"/>
          <a:ext cx="1899445" cy="655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380999</xdr:colOff>
      <xdr:row>2</xdr:row>
      <xdr:rowOff>88503</xdr:rowOff>
    </xdr:from>
    <xdr:to>
      <xdr:col>12</xdr:col>
      <xdr:colOff>650081</xdr:colOff>
      <xdr:row>6</xdr:row>
      <xdr:rowOff>45244</xdr:rowOff>
    </xdr:to>
    <xdr:pic>
      <xdr:nvPicPr>
        <xdr:cNvPr id="5" name="Picture 1" descr="plata 20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48812" y="421878"/>
          <a:ext cx="947738" cy="62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121443</xdr:colOff>
      <xdr:row>2</xdr:row>
      <xdr:rowOff>69058</xdr:rowOff>
    </xdr:from>
    <xdr:to>
      <xdr:col>23</xdr:col>
      <xdr:colOff>697555</xdr:colOff>
      <xdr:row>6</xdr:row>
      <xdr:rowOff>145258</xdr:rowOff>
    </xdr:to>
    <xdr:pic>
      <xdr:nvPicPr>
        <xdr:cNvPr id="2" name="1 Imagen" descr="LOGO ITS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0113" t="15459" r="7977" b="15181"/>
        <a:stretch>
          <a:fillRect/>
        </a:stretch>
      </xdr:blipFill>
      <xdr:spPr bwMode="auto">
        <a:xfrm>
          <a:off x="16218693" y="402433"/>
          <a:ext cx="11238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2</xdr:row>
      <xdr:rowOff>38101</xdr:rowOff>
    </xdr:from>
    <xdr:to>
      <xdr:col>1</xdr:col>
      <xdr:colOff>1105652</xdr:colOff>
      <xdr:row>5</xdr:row>
      <xdr:rowOff>142876</xdr:rowOff>
    </xdr:to>
    <xdr:pic>
      <xdr:nvPicPr>
        <xdr:cNvPr id="3" name="Picture 1" descr="SEP_horizontal_ALTA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7251" r="510" b="32322"/>
        <a:stretch>
          <a:fillRect/>
        </a:stretch>
      </xdr:blipFill>
      <xdr:spPr bwMode="auto">
        <a:xfrm>
          <a:off x="438150" y="361951"/>
          <a:ext cx="1515227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607219</xdr:colOff>
      <xdr:row>2</xdr:row>
      <xdr:rowOff>64294</xdr:rowOff>
    </xdr:from>
    <xdr:to>
      <xdr:col>9</xdr:col>
      <xdr:colOff>30164</xdr:colOff>
      <xdr:row>6</xdr:row>
      <xdr:rowOff>52923</xdr:rowOff>
    </xdr:to>
    <xdr:pic>
      <xdr:nvPicPr>
        <xdr:cNvPr id="4" name="3 Imagen" descr="cid:_1_0AA1BC200AA1B9E00079477C86257B47"/>
        <xdr:cNvPicPr/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5941219" y="388144"/>
          <a:ext cx="1899445" cy="636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321469</xdr:colOff>
      <xdr:row>2</xdr:row>
      <xdr:rowOff>17066</xdr:rowOff>
    </xdr:from>
    <xdr:to>
      <xdr:col>14</xdr:col>
      <xdr:colOff>352425</xdr:colOff>
      <xdr:row>5</xdr:row>
      <xdr:rowOff>140494</xdr:rowOff>
    </xdr:to>
    <xdr:pic>
      <xdr:nvPicPr>
        <xdr:cNvPr id="5" name="Picture 1" descr="plata 20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167938" y="350441"/>
          <a:ext cx="947737" cy="62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133350</xdr:colOff>
      <xdr:row>2</xdr:row>
      <xdr:rowOff>69058</xdr:rowOff>
    </xdr:from>
    <xdr:to>
      <xdr:col>23</xdr:col>
      <xdr:colOff>709462</xdr:colOff>
      <xdr:row>6</xdr:row>
      <xdr:rowOff>145258</xdr:rowOff>
    </xdr:to>
    <xdr:pic>
      <xdr:nvPicPr>
        <xdr:cNvPr id="2" name="1 Imagen" descr="LOGO ITS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0113" t="15459" r="7977" b="15181"/>
        <a:stretch>
          <a:fillRect/>
        </a:stretch>
      </xdr:blipFill>
      <xdr:spPr bwMode="auto">
        <a:xfrm>
          <a:off x="16230600" y="402433"/>
          <a:ext cx="11238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2</xdr:row>
      <xdr:rowOff>38101</xdr:rowOff>
    </xdr:from>
    <xdr:to>
      <xdr:col>1</xdr:col>
      <xdr:colOff>1105652</xdr:colOff>
      <xdr:row>5</xdr:row>
      <xdr:rowOff>142876</xdr:rowOff>
    </xdr:to>
    <xdr:pic>
      <xdr:nvPicPr>
        <xdr:cNvPr id="3" name="Picture 1" descr="SEP_horizontal_ALTA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7251" r="510" b="32322"/>
        <a:stretch>
          <a:fillRect/>
        </a:stretch>
      </xdr:blipFill>
      <xdr:spPr bwMode="auto">
        <a:xfrm>
          <a:off x="438150" y="361951"/>
          <a:ext cx="1515227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607219</xdr:colOff>
      <xdr:row>2</xdr:row>
      <xdr:rowOff>64294</xdr:rowOff>
    </xdr:from>
    <xdr:to>
      <xdr:col>9</xdr:col>
      <xdr:colOff>30164</xdr:colOff>
      <xdr:row>6</xdr:row>
      <xdr:rowOff>52923</xdr:rowOff>
    </xdr:to>
    <xdr:pic>
      <xdr:nvPicPr>
        <xdr:cNvPr id="4" name="3 Imagen" descr="cid:_1_0AA1BC200AA1B9E00079477C86257B47"/>
        <xdr:cNvPicPr/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5941219" y="388144"/>
          <a:ext cx="1899445" cy="636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500062</xdr:colOff>
      <xdr:row>2</xdr:row>
      <xdr:rowOff>40879</xdr:rowOff>
    </xdr:from>
    <xdr:to>
      <xdr:col>13</xdr:col>
      <xdr:colOff>209549</xdr:colOff>
      <xdr:row>5</xdr:row>
      <xdr:rowOff>164307</xdr:rowOff>
    </xdr:to>
    <xdr:pic>
      <xdr:nvPicPr>
        <xdr:cNvPr id="5" name="Picture 1" descr="plata 20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667875" y="374254"/>
          <a:ext cx="947737" cy="62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73818</xdr:colOff>
      <xdr:row>2</xdr:row>
      <xdr:rowOff>80965</xdr:rowOff>
    </xdr:from>
    <xdr:to>
      <xdr:col>23</xdr:col>
      <xdr:colOff>649930</xdr:colOff>
      <xdr:row>6</xdr:row>
      <xdr:rowOff>157165</xdr:rowOff>
    </xdr:to>
    <xdr:pic>
      <xdr:nvPicPr>
        <xdr:cNvPr id="2" name="1 Imagen" descr="LOGO ITS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0113" t="15459" r="7977" b="15181"/>
        <a:stretch>
          <a:fillRect/>
        </a:stretch>
      </xdr:blipFill>
      <xdr:spPr bwMode="auto">
        <a:xfrm>
          <a:off x="12408693" y="414340"/>
          <a:ext cx="11238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2</xdr:row>
      <xdr:rowOff>38101</xdr:rowOff>
    </xdr:from>
    <xdr:to>
      <xdr:col>1</xdr:col>
      <xdr:colOff>1105652</xdr:colOff>
      <xdr:row>5</xdr:row>
      <xdr:rowOff>142876</xdr:rowOff>
    </xdr:to>
    <xdr:pic>
      <xdr:nvPicPr>
        <xdr:cNvPr id="3" name="Picture 1" descr="SEP_horizontal_ALTA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7251" r="510" b="32322"/>
        <a:stretch>
          <a:fillRect/>
        </a:stretch>
      </xdr:blipFill>
      <xdr:spPr bwMode="auto">
        <a:xfrm>
          <a:off x="438150" y="361951"/>
          <a:ext cx="1515227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2</xdr:row>
      <xdr:rowOff>16669</xdr:rowOff>
    </xdr:from>
    <xdr:to>
      <xdr:col>6</xdr:col>
      <xdr:colOff>375445</xdr:colOff>
      <xdr:row>6</xdr:row>
      <xdr:rowOff>5298</xdr:rowOff>
    </xdr:to>
    <xdr:pic>
      <xdr:nvPicPr>
        <xdr:cNvPr id="4" name="3 Imagen" descr="cid:_1_0AA1BC200AA1B9E00079477C86257B47"/>
        <xdr:cNvPicPr/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3810000" y="350044"/>
          <a:ext cx="1899445" cy="655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23814</xdr:colOff>
      <xdr:row>2</xdr:row>
      <xdr:rowOff>17067</xdr:rowOff>
    </xdr:from>
    <xdr:to>
      <xdr:col>10</xdr:col>
      <xdr:colOff>269082</xdr:colOff>
      <xdr:row>5</xdr:row>
      <xdr:rowOff>140495</xdr:rowOff>
    </xdr:to>
    <xdr:pic>
      <xdr:nvPicPr>
        <xdr:cNvPr id="5" name="Picture 1" descr="plata 20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834314" y="350442"/>
          <a:ext cx="947737" cy="62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166687</xdr:colOff>
      <xdr:row>2</xdr:row>
      <xdr:rowOff>9527</xdr:rowOff>
    </xdr:from>
    <xdr:to>
      <xdr:col>23</xdr:col>
      <xdr:colOff>742799</xdr:colOff>
      <xdr:row>6</xdr:row>
      <xdr:rowOff>85727</xdr:rowOff>
    </xdr:to>
    <xdr:pic>
      <xdr:nvPicPr>
        <xdr:cNvPr id="2" name="1 Imagen" descr="LOGO ITS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0113" t="15459" r="7977" b="15181"/>
        <a:stretch>
          <a:fillRect/>
        </a:stretch>
      </xdr:blipFill>
      <xdr:spPr bwMode="auto">
        <a:xfrm>
          <a:off x="12501562" y="342902"/>
          <a:ext cx="11238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2</xdr:row>
      <xdr:rowOff>38101</xdr:rowOff>
    </xdr:from>
    <xdr:to>
      <xdr:col>1</xdr:col>
      <xdr:colOff>1105652</xdr:colOff>
      <xdr:row>5</xdr:row>
      <xdr:rowOff>142876</xdr:rowOff>
    </xdr:to>
    <xdr:pic>
      <xdr:nvPicPr>
        <xdr:cNvPr id="3" name="Picture 1" descr="SEP_horizontal_ALTA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7251" r="510" b="32322"/>
        <a:stretch>
          <a:fillRect/>
        </a:stretch>
      </xdr:blipFill>
      <xdr:spPr bwMode="auto">
        <a:xfrm>
          <a:off x="438150" y="361951"/>
          <a:ext cx="1515227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309561</xdr:colOff>
      <xdr:row>2</xdr:row>
      <xdr:rowOff>100013</xdr:rowOff>
    </xdr:from>
    <xdr:to>
      <xdr:col>7</xdr:col>
      <xdr:colOff>589756</xdr:colOff>
      <xdr:row>6</xdr:row>
      <xdr:rowOff>88642</xdr:rowOff>
    </xdr:to>
    <xdr:pic>
      <xdr:nvPicPr>
        <xdr:cNvPr id="4" name="3 Imagen" descr="cid:_1_0AA1BC200AA1B9E00079477C86257B47"/>
        <xdr:cNvPicPr/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4910136" y="423863"/>
          <a:ext cx="1899445" cy="636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321469</xdr:colOff>
      <xdr:row>1</xdr:row>
      <xdr:rowOff>76597</xdr:rowOff>
    </xdr:from>
    <xdr:to>
      <xdr:col>13</xdr:col>
      <xdr:colOff>30956</xdr:colOff>
      <xdr:row>5</xdr:row>
      <xdr:rowOff>33338</xdr:rowOff>
    </xdr:to>
    <xdr:pic>
      <xdr:nvPicPr>
        <xdr:cNvPr id="5" name="Picture 1" descr="plata 20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489282" y="243285"/>
          <a:ext cx="947737" cy="62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288131</xdr:colOff>
      <xdr:row>2</xdr:row>
      <xdr:rowOff>45246</xdr:rowOff>
    </xdr:from>
    <xdr:to>
      <xdr:col>27</xdr:col>
      <xdr:colOff>30806</xdr:colOff>
      <xdr:row>6</xdr:row>
      <xdr:rowOff>121446</xdr:rowOff>
    </xdr:to>
    <xdr:pic>
      <xdr:nvPicPr>
        <xdr:cNvPr id="2" name="1 Imagen" descr="LOGO ITS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0113" t="15459" r="7977" b="15181"/>
        <a:stretch>
          <a:fillRect/>
        </a:stretch>
      </xdr:blipFill>
      <xdr:spPr bwMode="auto">
        <a:xfrm>
          <a:off x="12265819" y="378621"/>
          <a:ext cx="11238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2</xdr:row>
      <xdr:rowOff>38101</xdr:rowOff>
    </xdr:from>
    <xdr:to>
      <xdr:col>1</xdr:col>
      <xdr:colOff>1105652</xdr:colOff>
      <xdr:row>5</xdr:row>
      <xdr:rowOff>142876</xdr:rowOff>
    </xdr:to>
    <xdr:pic>
      <xdr:nvPicPr>
        <xdr:cNvPr id="3" name="Picture 1" descr="SEP_horizontal_ALTA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7251" r="510" b="32322"/>
        <a:stretch>
          <a:fillRect/>
        </a:stretch>
      </xdr:blipFill>
      <xdr:spPr bwMode="auto">
        <a:xfrm>
          <a:off x="438150" y="361951"/>
          <a:ext cx="1515227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285749</xdr:colOff>
      <xdr:row>2</xdr:row>
      <xdr:rowOff>4763</xdr:rowOff>
    </xdr:from>
    <xdr:to>
      <xdr:col>6</xdr:col>
      <xdr:colOff>756444</xdr:colOff>
      <xdr:row>5</xdr:row>
      <xdr:rowOff>160079</xdr:rowOff>
    </xdr:to>
    <xdr:pic>
      <xdr:nvPicPr>
        <xdr:cNvPr id="4" name="3 Imagen" descr="cid:_1_0AA1BC200AA1B9E00079477C86257B47"/>
        <xdr:cNvPicPr/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4190999" y="338138"/>
          <a:ext cx="1899445" cy="655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166689</xdr:colOff>
      <xdr:row>2</xdr:row>
      <xdr:rowOff>17066</xdr:rowOff>
    </xdr:from>
    <xdr:to>
      <xdr:col>10</xdr:col>
      <xdr:colOff>411958</xdr:colOff>
      <xdr:row>5</xdr:row>
      <xdr:rowOff>140494</xdr:rowOff>
    </xdr:to>
    <xdr:pic>
      <xdr:nvPicPr>
        <xdr:cNvPr id="5" name="Picture 1" descr="plata 20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977189" y="350441"/>
          <a:ext cx="947738" cy="62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482601</xdr:colOff>
      <xdr:row>2</xdr:row>
      <xdr:rowOff>26724</xdr:rowOff>
    </xdr:from>
    <xdr:to>
      <xdr:col>26</xdr:col>
      <xdr:colOff>1052098</xdr:colOff>
      <xdr:row>6</xdr:row>
      <xdr:rowOff>102924</xdr:rowOff>
    </xdr:to>
    <xdr:pic>
      <xdr:nvPicPr>
        <xdr:cNvPr id="2" name="1 Imagen" descr="LOGO ITS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0113" t="15459" r="7977" b="15181"/>
        <a:stretch>
          <a:fillRect/>
        </a:stretch>
      </xdr:blipFill>
      <xdr:spPr bwMode="auto">
        <a:xfrm>
          <a:off x="13510684" y="344224"/>
          <a:ext cx="1130414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438150</xdr:colOff>
      <xdr:row>2</xdr:row>
      <xdr:rowOff>38101</xdr:rowOff>
    </xdr:from>
    <xdr:to>
      <xdr:col>2</xdr:col>
      <xdr:colOff>1105652</xdr:colOff>
      <xdr:row>5</xdr:row>
      <xdr:rowOff>142876</xdr:rowOff>
    </xdr:to>
    <xdr:pic>
      <xdr:nvPicPr>
        <xdr:cNvPr id="3" name="Picture 1" descr="SEP_horizontal_ALTA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7251" r="510" b="32322"/>
        <a:stretch>
          <a:fillRect/>
        </a:stretch>
      </xdr:blipFill>
      <xdr:spPr bwMode="auto">
        <a:xfrm>
          <a:off x="857250" y="361951"/>
          <a:ext cx="1458077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309561</xdr:colOff>
      <xdr:row>2</xdr:row>
      <xdr:rowOff>100013</xdr:rowOff>
    </xdr:from>
    <xdr:to>
      <xdr:col>9</xdr:col>
      <xdr:colOff>84667</xdr:colOff>
      <xdr:row>6</xdr:row>
      <xdr:rowOff>88642</xdr:rowOff>
    </xdr:to>
    <xdr:pic>
      <xdr:nvPicPr>
        <xdr:cNvPr id="4" name="3 Imagen" descr="cid:_1_0AA1BC200AA1B9E00079477C86257B47"/>
        <xdr:cNvPicPr/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4329111" y="423863"/>
          <a:ext cx="1887539" cy="636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100542</xdr:colOff>
      <xdr:row>2</xdr:row>
      <xdr:rowOff>18389</xdr:rowOff>
    </xdr:from>
    <xdr:to>
      <xdr:col>13</xdr:col>
      <xdr:colOff>437092</xdr:colOff>
      <xdr:row>5</xdr:row>
      <xdr:rowOff>141817</xdr:rowOff>
    </xdr:to>
    <xdr:pic>
      <xdr:nvPicPr>
        <xdr:cNvPr id="5" name="Picture 1" descr="plata 20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207375" y="335889"/>
          <a:ext cx="918634" cy="599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145256</xdr:colOff>
      <xdr:row>2</xdr:row>
      <xdr:rowOff>57151</xdr:rowOff>
    </xdr:from>
    <xdr:to>
      <xdr:col>23</xdr:col>
      <xdr:colOff>721368</xdr:colOff>
      <xdr:row>6</xdr:row>
      <xdr:rowOff>133351</xdr:rowOff>
    </xdr:to>
    <xdr:pic>
      <xdr:nvPicPr>
        <xdr:cNvPr id="2" name="1 Imagen" descr="LOGO ITS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0113" t="15459" r="7977" b="15181"/>
        <a:stretch>
          <a:fillRect/>
        </a:stretch>
      </xdr:blipFill>
      <xdr:spPr bwMode="auto">
        <a:xfrm>
          <a:off x="15909131" y="390526"/>
          <a:ext cx="11238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2</xdr:row>
      <xdr:rowOff>38101</xdr:rowOff>
    </xdr:from>
    <xdr:to>
      <xdr:col>1</xdr:col>
      <xdr:colOff>1105652</xdr:colOff>
      <xdr:row>5</xdr:row>
      <xdr:rowOff>142876</xdr:rowOff>
    </xdr:to>
    <xdr:pic>
      <xdr:nvPicPr>
        <xdr:cNvPr id="3" name="Picture 1" descr="SEP_horizontal_ALTA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7251" r="510" b="32322"/>
        <a:stretch>
          <a:fillRect/>
        </a:stretch>
      </xdr:blipFill>
      <xdr:spPr bwMode="auto">
        <a:xfrm>
          <a:off x="438150" y="361951"/>
          <a:ext cx="1515227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309561</xdr:colOff>
      <xdr:row>2</xdr:row>
      <xdr:rowOff>100013</xdr:rowOff>
    </xdr:from>
    <xdr:to>
      <xdr:col>7</xdr:col>
      <xdr:colOff>589756</xdr:colOff>
      <xdr:row>6</xdr:row>
      <xdr:rowOff>88642</xdr:rowOff>
    </xdr:to>
    <xdr:pic>
      <xdr:nvPicPr>
        <xdr:cNvPr id="4" name="3 Imagen" descr="cid:_1_0AA1BC200AA1B9E00079477C86257B47"/>
        <xdr:cNvPicPr/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4910136" y="423863"/>
          <a:ext cx="1899445" cy="636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416718</xdr:colOff>
      <xdr:row>2</xdr:row>
      <xdr:rowOff>40879</xdr:rowOff>
    </xdr:from>
    <xdr:to>
      <xdr:col>12</xdr:col>
      <xdr:colOff>30955</xdr:colOff>
      <xdr:row>5</xdr:row>
      <xdr:rowOff>164307</xdr:rowOff>
    </xdr:to>
    <xdr:pic>
      <xdr:nvPicPr>
        <xdr:cNvPr id="5" name="Picture 1" descr="plata 20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929687" y="374254"/>
          <a:ext cx="947737" cy="62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180975</xdr:colOff>
      <xdr:row>2</xdr:row>
      <xdr:rowOff>33339</xdr:rowOff>
    </xdr:from>
    <xdr:to>
      <xdr:col>23</xdr:col>
      <xdr:colOff>757088</xdr:colOff>
      <xdr:row>6</xdr:row>
      <xdr:rowOff>109539</xdr:rowOff>
    </xdr:to>
    <xdr:pic>
      <xdr:nvPicPr>
        <xdr:cNvPr id="2" name="1 Imagen" descr="LOGO ITS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0113" t="15459" r="7977" b="15181"/>
        <a:stretch>
          <a:fillRect/>
        </a:stretch>
      </xdr:blipFill>
      <xdr:spPr bwMode="auto">
        <a:xfrm>
          <a:off x="12634913" y="366714"/>
          <a:ext cx="11238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2</xdr:row>
      <xdr:rowOff>38101</xdr:rowOff>
    </xdr:from>
    <xdr:to>
      <xdr:col>1</xdr:col>
      <xdr:colOff>1105652</xdr:colOff>
      <xdr:row>5</xdr:row>
      <xdr:rowOff>142876</xdr:rowOff>
    </xdr:to>
    <xdr:pic>
      <xdr:nvPicPr>
        <xdr:cNvPr id="3" name="Picture 1" descr="SEP_horizontal_ALTA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7251" r="510" b="32322"/>
        <a:stretch>
          <a:fillRect/>
        </a:stretch>
      </xdr:blipFill>
      <xdr:spPr bwMode="auto">
        <a:xfrm>
          <a:off x="438150" y="361951"/>
          <a:ext cx="1515227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309561</xdr:colOff>
      <xdr:row>2</xdr:row>
      <xdr:rowOff>100013</xdr:rowOff>
    </xdr:from>
    <xdr:to>
      <xdr:col>7</xdr:col>
      <xdr:colOff>720725</xdr:colOff>
      <xdr:row>6</xdr:row>
      <xdr:rowOff>88642</xdr:rowOff>
    </xdr:to>
    <xdr:pic>
      <xdr:nvPicPr>
        <xdr:cNvPr id="4" name="3 Imagen" descr="cid:_1_0AA1BC200AA1B9E00079477C86257B47"/>
        <xdr:cNvPicPr/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4910136" y="423863"/>
          <a:ext cx="1897064" cy="636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452438</xdr:colOff>
      <xdr:row>2</xdr:row>
      <xdr:rowOff>40878</xdr:rowOff>
    </xdr:from>
    <xdr:to>
      <xdr:col>14</xdr:col>
      <xdr:colOff>245269</xdr:colOff>
      <xdr:row>5</xdr:row>
      <xdr:rowOff>164306</xdr:rowOff>
    </xdr:to>
    <xdr:pic>
      <xdr:nvPicPr>
        <xdr:cNvPr id="5" name="Picture 1" descr="plata 20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179844" y="374253"/>
          <a:ext cx="947738" cy="62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109538</xdr:colOff>
      <xdr:row>2</xdr:row>
      <xdr:rowOff>45246</xdr:rowOff>
    </xdr:from>
    <xdr:to>
      <xdr:col>29</xdr:col>
      <xdr:colOff>649932</xdr:colOff>
      <xdr:row>6</xdr:row>
      <xdr:rowOff>121446</xdr:rowOff>
    </xdr:to>
    <xdr:pic>
      <xdr:nvPicPr>
        <xdr:cNvPr id="2" name="1 Imagen" descr="LOGO ITS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0113" t="15459" r="7977" b="15181"/>
        <a:stretch>
          <a:fillRect/>
        </a:stretch>
      </xdr:blipFill>
      <xdr:spPr bwMode="auto">
        <a:xfrm>
          <a:off x="14289882" y="378621"/>
          <a:ext cx="11238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2</xdr:row>
      <xdr:rowOff>38101</xdr:rowOff>
    </xdr:from>
    <xdr:to>
      <xdr:col>1</xdr:col>
      <xdr:colOff>1105652</xdr:colOff>
      <xdr:row>5</xdr:row>
      <xdr:rowOff>142876</xdr:rowOff>
    </xdr:to>
    <xdr:pic>
      <xdr:nvPicPr>
        <xdr:cNvPr id="3" name="Picture 1" descr="SEP_horizontal_ALTA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7251" r="510" b="32322"/>
        <a:stretch>
          <a:fillRect/>
        </a:stretch>
      </xdr:blipFill>
      <xdr:spPr bwMode="auto">
        <a:xfrm>
          <a:off x="438150" y="361951"/>
          <a:ext cx="924677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309561</xdr:colOff>
      <xdr:row>2</xdr:row>
      <xdr:rowOff>100013</xdr:rowOff>
    </xdr:from>
    <xdr:to>
      <xdr:col>7</xdr:col>
      <xdr:colOff>708818</xdr:colOff>
      <xdr:row>6</xdr:row>
      <xdr:rowOff>88642</xdr:rowOff>
    </xdr:to>
    <xdr:pic>
      <xdr:nvPicPr>
        <xdr:cNvPr id="4" name="3 Imagen" descr="cid:_1_0AA1BC200AA1B9E00079477C86257B47"/>
        <xdr:cNvPicPr/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3281361" y="423863"/>
          <a:ext cx="1904207" cy="636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285750</xdr:colOff>
      <xdr:row>1</xdr:row>
      <xdr:rowOff>159941</xdr:rowOff>
    </xdr:from>
    <xdr:to>
      <xdr:col>17</xdr:col>
      <xdr:colOff>566738</xdr:colOff>
      <xdr:row>5</xdr:row>
      <xdr:rowOff>116682</xdr:rowOff>
    </xdr:to>
    <xdr:pic>
      <xdr:nvPicPr>
        <xdr:cNvPr id="5" name="Picture 1" descr="plata 20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918031" y="326629"/>
          <a:ext cx="947738" cy="62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335756</xdr:colOff>
      <xdr:row>2</xdr:row>
      <xdr:rowOff>9526</xdr:rowOff>
    </xdr:from>
    <xdr:to>
      <xdr:col>19</xdr:col>
      <xdr:colOff>903931</xdr:colOff>
      <xdr:row>6</xdr:row>
      <xdr:rowOff>85726</xdr:rowOff>
    </xdr:to>
    <xdr:pic>
      <xdr:nvPicPr>
        <xdr:cNvPr id="2" name="1 Imagen" descr="LOGO ITS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0113" t="15459" r="7977" b="15181"/>
        <a:stretch>
          <a:fillRect/>
        </a:stretch>
      </xdr:blipFill>
      <xdr:spPr bwMode="auto">
        <a:xfrm>
          <a:off x="14658975" y="342901"/>
          <a:ext cx="1115863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2</xdr:row>
      <xdr:rowOff>38101</xdr:rowOff>
    </xdr:from>
    <xdr:to>
      <xdr:col>1</xdr:col>
      <xdr:colOff>1105652</xdr:colOff>
      <xdr:row>5</xdr:row>
      <xdr:rowOff>142876</xdr:rowOff>
    </xdr:to>
    <xdr:pic>
      <xdr:nvPicPr>
        <xdr:cNvPr id="3" name="Picture 1" descr="SEP_horizontal_ALTA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7251" r="510" b="32322"/>
        <a:stretch>
          <a:fillRect/>
        </a:stretch>
      </xdr:blipFill>
      <xdr:spPr bwMode="auto">
        <a:xfrm>
          <a:off x="438150" y="361951"/>
          <a:ext cx="1515227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476250</xdr:colOff>
      <xdr:row>1</xdr:row>
      <xdr:rowOff>159543</xdr:rowOff>
    </xdr:from>
    <xdr:to>
      <xdr:col>6</xdr:col>
      <xdr:colOff>192881</xdr:colOff>
      <xdr:row>5</xdr:row>
      <xdr:rowOff>148172</xdr:rowOff>
    </xdr:to>
    <xdr:pic>
      <xdr:nvPicPr>
        <xdr:cNvPr id="4" name="3 Imagen" descr="cid:_1_0AA1BC200AA1B9E00079477C86257B47"/>
        <xdr:cNvPicPr/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4167188" y="326231"/>
          <a:ext cx="1907381" cy="655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130970</xdr:colOff>
      <xdr:row>1</xdr:row>
      <xdr:rowOff>124222</xdr:rowOff>
    </xdr:from>
    <xdr:to>
      <xdr:col>10</xdr:col>
      <xdr:colOff>590551</xdr:colOff>
      <xdr:row>5</xdr:row>
      <xdr:rowOff>80963</xdr:rowOff>
    </xdr:to>
    <xdr:pic>
      <xdr:nvPicPr>
        <xdr:cNvPr id="5" name="Picture 1" descr="plata 20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84345" y="290910"/>
          <a:ext cx="935831" cy="62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240506</xdr:colOff>
      <xdr:row>2</xdr:row>
      <xdr:rowOff>45246</xdr:rowOff>
    </xdr:from>
    <xdr:to>
      <xdr:col>24</xdr:col>
      <xdr:colOff>757087</xdr:colOff>
      <xdr:row>6</xdr:row>
      <xdr:rowOff>121446</xdr:rowOff>
    </xdr:to>
    <xdr:pic>
      <xdr:nvPicPr>
        <xdr:cNvPr id="2" name="1 Imagen" descr="LOGO ITS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0113" t="15459" r="7977" b="15181"/>
        <a:stretch>
          <a:fillRect/>
        </a:stretch>
      </xdr:blipFill>
      <xdr:spPr bwMode="auto">
        <a:xfrm>
          <a:off x="12932569" y="378621"/>
          <a:ext cx="11238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2</xdr:row>
      <xdr:rowOff>38101</xdr:rowOff>
    </xdr:from>
    <xdr:to>
      <xdr:col>1</xdr:col>
      <xdr:colOff>1105652</xdr:colOff>
      <xdr:row>5</xdr:row>
      <xdr:rowOff>142876</xdr:rowOff>
    </xdr:to>
    <xdr:pic>
      <xdr:nvPicPr>
        <xdr:cNvPr id="3" name="Picture 1" descr="SEP_horizontal_ALTA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7251" r="510" b="32322"/>
        <a:stretch>
          <a:fillRect/>
        </a:stretch>
      </xdr:blipFill>
      <xdr:spPr bwMode="auto">
        <a:xfrm>
          <a:off x="438150" y="361951"/>
          <a:ext cx="1534277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309561</xdr:colOff>
      <xdr:row>2</xdr:row>
      <xdr:rowOff>100013</xdr:rowOff>
    </xdr:from>
    <xdr:to>
      <xdr:col>7</xdr:col>
      <xdr:colOff>720725</xdr:colOff>
      <xdr:row>6</xdr:row>
      <xdr:rowOff>88642</xdr:rowOff>
    </xdr:to>
    <xdr:pic>
      <xdr:nvPicPr>
        <xdr:cNvPr id="4" name="3 Imagen" descr="cid:_1_0AA1BC200AA1B9E00079477C86257B47"/>
        <xdr:cNvPicPr/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4624386" y="423863"/>
          <a:ext cx="1906589" cy="636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214312</xdr:colOff>
      <xdr:row>2</xdr:row>
      <xdr:rowOff>52785</xdr:rowOff>
    </xdr:from>
    <xdr:to>
      <xdr:col>15</xdr:col>
      <xdr:colOff>221456</xdr:colOff>
      <xdr:row>6</xdr:row>
      <xdr:rowOff>9526</xdr:rowOff>
    </xdr:to>
    <xdr:pic>
      <xdr:nvPicPr>
        <xdr:cNvPr id="5" name="Picture 1" descr="plata 20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263187" y="386160"/>
          <a:ext cx="947738" cy="62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169069</xdr:colOff>
      <xdr:row>2</xdr:row>
      <xdr:rowOff>45246</xdr:rowOff>
    </xdr:from>
    <xdr:to>
      <xdr:col>24</xdr:col>
      <xdr:colOff>685651</xdr:colOff>
      <xdr:row>6</xdr:row>
      <xdr:rowOff>121446</xdr:rowOff>
    </xdr:to>
    <xdr:pic>
      <xdr:nvPicPr>
        <xdr:cNvPr id="2" name="1 Imagen" descr="LOGO ITS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0113" t="15459" r="7977" b="15181"/>
        <a:stretch>
          <a:fillRect/>
        </a:stretch>
      </xdr:blipFill>
      <xdr:spPr bwMode="auto">
        <a:xfrm>
          <a:off x="12718257" y="378621"/>
          <a:ext cx="11238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2</xdr:row>
      <xdr:rowOff>38101</xdr:rowOff>
    </xdr:from>
    <xdr:to>
      <xdr:col>1</xdr:col>
      <xdr:colOff>1105652</xdr:colOff>
      <xdr:row>5</xdr:row>
      <xdr:rowOff>142876</xdr:rowOff>
    </xdr:to>
    <xdr:pic>
      <xdr:nvPicPr>
        <xdr:cNvPr id="3" name="Picture 1" descr="SEP_horizontal_ALTA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7251" r="510" b="32322"/>
        <a:stretch>
          <a:fillRect/>
        </a:stretch>
      </xdr:blipFill>
      <xdr:spPr bwMode="auto">
        <a:xfrm>
          <a:off x="438150" y="361951"/>
          <a:ext cx="1534277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285748</xdr:colOff>
      <xdr:row>2</xdr:row>
      <xdr:rowOff>52388</xdr:rowOff>
    </xdr:from>
    <xdr:to>
      <xdr:col>7</xdr:col>
      <xdr:colOff>696912</xdr:colOff>
      <xdr:row>6</xdr:row>
      <xdr:rowOff>41017</xdr:rowOff>
    </xdr:to>
    <xdr:pic>
      <xdr:nvPicPr>
        <xdr:cNvPr id="4" name="3 Imagen" descr="cid:_1_0AA1BC200AA1B9E00079477C86257B47"/>
        <xdr:cNvPicPr/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4381498" y="385763"/>
          <a:ext cx="1899445" cy="655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583406</xdr:colOff>
      <xdr:row>1</xdr:row>
      <xdr:rowOff>148034</xdr:rowOff>
    </xdr:from>
    <xdr:to>
      <xdr:col>13</xdr:col>
      <xdr:colOff>185738</xdr:colOff>
      <xdr:row>5</xdr:row>
      <xdr:rowOff>104775</xdr:rowOff>
    </xdr:to>
    <xdr:pic>
      <xdr:nvPicPr>
        <xdr:cNvPr id="5" name="Picture 1" descr="plata 20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144000" y="314722"/>
          <a:ext cx="947738" cy="62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180975</xdr:colOff>
      <xdr:row>1</xdr:row>
      <xdr:rowOff>104777</xdr:rowOff>
    </xdr:from>
    <xdr:to>
      <xdr:col>25</xdr:col>
      <xdr:colOff>697556</xdr:colOff>
      <xdr:row>6</xdr:row>
      <xdr:rowOff>14290</xdr:rowOff>
    </xdr:to>
    <xdr:pic>
      <xdr:nvPicPr>
        <xdr:cNvPr id="2" name="1 Imagen" descr="LOGO ITS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0113" t="15459" r="7977" b="15181"/>
        <a:stretch>
          <a:fillRect/>
        </a:stretch>
      </xdr:blipFill>
      <xdr:spPr bwMode="auto">
        <a:xfrm>
          <a:off x="13687425" y="266702"/>
          <a:ext cx="1126181" cy="719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2</xdr:row>
      <xdr:rowOff>38101</xdr:rowOff>
    </xdr:from>
    <xdr:to>
      <xdr:col>1</xdr:col>
      <xdr:colOff>1105652</xdr:colOff>
      <xdr:row>5</xdr:row>
      <xdr:rowOff>142876</xdr:rowOff>
    </xdr:to>
    <xdr:pic>
      <xdr:nvPicPr>
        <xdr:cNvPr id="3" name="Picture 1" descr="SEP_horizontal_ALTA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7251" r="510" b="32322"/>
        <a:stretch>
          <a:fillRect/>
        </a:stretch>
      </xdr:blipFill>
      <xdr:spPr bwMode="auto">
        <a:xfrm>
          <a:off x="438150" y="361951"/>
          <a:ext cx="1486652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95248</xdr:colOff>
      <xdr:row>2</xdr:row>
      <xdr:rowOff>40482</xdr:rowOff>
    </xdr:from>
    <xdr:to>
      <xdr:col>8</xdr:col>
      <xdr:colOff>530224</xdr:colOff>
      <xdr:row>6</xdr:row>
      <xdr:rowOff>29111</xdr:rowOff>
    </xdr:to>
    <xdr:pic>
      <xdr:nvPicPr>
        <xdr:cNvPr id="4" name="3 Imagen" descr="cid:_1_0AA1BC200AA1B9E00079477C86257B47"/>
        <xdr:cNvPicPr/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4752973" y="364332"/>
          <a:ext cx="1901826" cy="636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119063</xdr:colOff>
      <xdr:row>2</xdr:row>
      <xdr:rowOff>76597</xdr:rowOff>
    </xdr:from>
    <xdr:to>
      <xdr:col>13</xdr:col>
      <xdr:colOff>411956</xdr:colOff>
      <xdr:row>6</xdr:row>
      <xdr:rowOff>33338</xdr:rowOff>
    </xdr:to>
    <xdr:pic>
      <xdr:nvPicPr>
        <xdr:cNvPr id="5" name="Picture 1" descr="plata 20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196388" y="400447"/>
          <a:ext cx="950118" cy="604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180976</xdr:colOff>
      <xdr:row>2</xdr:row>
      <xdr:rowOff>69058</xdr:rowOff>
    </xdr:from>
    <xdr:to>
      <xdr:col>24</xdr:col>
      <xdr:colOff>697558</xdr:colOff>
      <xdr:row>6</xdr:row>
      <xdr:rowOff>145258</xdr:rowOff>
    </xdr:to>
    <xdr:pic>
      <xdr:nvPicPr>
        <xdr:cNvPr id="2" name="1 Imagen" descr="LOGO ITS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0113" t="15459" r="7977" b="15181"/>
        <a:stretch>
          <a:fillRect/>
        </a:stretch>
      </xdr:blipFill>
      <xdr:spPr bwMode="auto">
        <a:xfrm>
          <a:off x="12896851" y="402433"/>
          <a:ext cx="11238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2</xdr:row>
      <xdr:rowOff>38101</xdr:rowOff>
    </xdr:from>
    <xdr:to>
      <xdr:col>1</xdr:col>
      <xdr:colOff>1105652</xdr:colOff>
      <xdr:row>5</xdr:row>
      <xdr:rowOff>142876</xdr:rowOff>
    </xdr:to>
    <xdr:pic>
      <xdr:nvPicPr>
        <xdr:cNvPr id="3" name="Picture 1" descr="SEP_horizontal_ALTA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7251" r="510" b="32322"/>
        <a:stretch>
          <a:fillRect/>
        </a:stretch>
      </xdr:blipFill>
      <xdr:spPr bwMode="auto">
        <a:xfrm>
          <a:off x="438150" y="361951"/>
          <a:ext cx="1486652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95248</xdr:colOff>
      <xdr:row>2</xdr:row>
      <xdr:rowOff>40482</xdr:rowOff>
    </xdr:from>
    <xdr:to>
      <xdr:col>8</xdr:col>
      <xdr:colOff>530224</xdr:colOff>
      <xdr:row>6</xdr:row>
      <xdr:rowOff>29111</xdr:rowOff>
    </xdr:to>
    <xdr:pic>
      <xdr:nvPicPr>
        <xdr:cNvPr id="4" name="3 Imagen" descr="cid:_1_0AA1BC200AA1B9E00079477C86257B47"/>
        <xdr:cNvPicPr/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4752973" y="364332"/>
          <a:ext cx="1901826" cy="636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35718</xdr:colOff>
      <xdr:row>2</xdr:row>
      <xdr:rowOff>52784</xdr:rowOff>
    </xdr:from>
    <xdr:to>
      <xdr:col>16</xdr:col>
      <xdr:colOff>66674</xdr:colOff>
      <xdr:row>6</xdr:row>
      <xdr:rowOff>9525</xdr:rowOff>
    </xdr:to>
    <xdr:pic>
      <xdr:nvPicPr>
        <xdr:cNvPr id="5" name="Picture 1" descr="plata 20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775156" y="386159"/>
          <a:ext cx="947737" cy="62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50006</xdr:colOff>
      <xdr:row>2</xdr:row>
      <xdr:rowOff>57153</xdr:rowOff>
    </xdr:from>
    <xdr:to>
      <xdr:col>24</xdr:col>
      <xdr:colOff>566588</xdr:colOff>
      <xdr:row>6</xdr:row>
      <xdr:rowOff>133353</xdr:rowOff>
    </xdr:to>
    <xdr:pic>
      <xdr:nvPicPr>
        <xdr:cNvPr id="2" name="1 Imagen" descr="LOGO ITS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0113" t="15459" r="7977" b="15181"/>
        <a:stretch>
          <a:fillRect/>
        </a:stretch>
      </xdr:blipFill>
      <xdr:spPr bwMode="auto">
        <a:xfrm>
          <a:off x="12884944" y="390528"/>
          <a:ext cx="11238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2</xdr:row>
      <xdr:rowOff>38101</xdr:rowOff>
    </xdr:from>
    <xdr:to>
      <xdr:col>1</xdr:col>
      <xdr:colOff>1105652</xdr:colOff>
      <xdr:row>5</xdr:row>
      <xdr:rowOff>142876</xdr:rowOff>
    </xdr:to>
    <xdr:pic>
      <xdr:nvPicPr>
        <xdr:cNvPr id="3" name="Picture 1" descr="SEP_horizontal_ALTA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7251" r="510" b="32322"/>
        <a:stretch>
          <a:fillRect/>
        </a:stretch>
      </xdr:blipFill>
      <xdr:spPr bwMode="auto">
        <a:xfrm>
          <a:off x="438150" y="361951"/>
          <a:ext cx="1486652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95248</xdr:colOff>
      <xdr:row>2</xdr:row>
      <xdr:rowOff>40482</xdr:rowOff>
    </xdr:from>
    <xdr:to>
      <xdr:col>8</xdr:col>
      <xdr:colOff>530224</xdr:colOff>
      <xdr:row>6</xdr:row>
      <xdr:rowOff>29111</xdr:rowOff>
    </xdr:to>
    <xdr:pic>
      <xdr:nvPicPr>
        <xdr:cNvPr id="4" name="3 Imagen" descr="cid:_1_0AA1BC200AA1B9E00079477C86257B47"/>
        <xdr:cNvPicPr/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4752973" y="364332"/>
          <a:ext cx="1901826" cy="636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476250</xdr:colOff>
      <xdr:row>2</xdr:row>
      <xdr:rowOff>40878</xdr:rowOff>
    </xdr:from>
    <xdr:to>
      <xdr:col>15</xdr:col>
      <xdr:colOff>721519</xdr:colOff>
      <xdr:row>5</xdr:row>
      <xdr:rowOff>164306</xdr:rowOff>
    </xdr:to>
    <xdr:pic>
      <xdr:nvPicPr>
        <xdr:cNvPr id="5" name="Picture 1" descr="plata 20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763250" y="374253"/>
          <a:ext cx="947738" cy="62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158750</xdr:colOff>
      <xdr:row>2</xdr:row>
      <xdr:rowOff>25401</xdr:rowOff>
    </xdr:from>
    <xdr:to>
      <xdr:col>23</xdr:col>
      <xdr:colOff>728249</xdr:colOff>
      <xdr:row>6</xdr:row>
      <xdr:rowOff>101601</xdr:rowOff>
    </xdr:to>
    <xdr:pic>
      <xdr:nvPicPr>
        <xdr:cNvPr id="2" name="1 Imagen" descr="LOGO ITS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0113" t="15459" r="7977" b="15181"/>
        <a:stretch>
          <a:fillRect/>
        </a:stretch>
      </xdr:blipFill>
      <xdr:spPr bwMode="auto">
        <a:xfrm>
          <a:off x="12382500" y="342901"/>
          <a:ext cx="1119832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2</xdr:row>
      <xdr:rowOff>38101</xdr:rowOff>
    </xdr:from>
    <xdr:to>
      <xdr:col>1</xdr:col>
      <xdr:colOff>1105652</xdr:colOff>
      <xdr:row>5</xdr:row>
      <xdr:rowOff>142876</xdr:rowOff>
    </xdr:to>
    <xdr:pic>
      <xdr:nvPicPr>
        <xdr:cNvPr id="3" name="Picture 1" descr="SEP_horizontal_ALTA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7251" r="510" b="32322"/>
        <a:stretch>
          <a:fillRect/>
        </a:stretch>
      </xdr:blipFill>
      <xdr:spPr bwMode="auto">
        <a:xfrm>
          <a:off x="438150" y="361951"/>
          <a:ext cx="1515227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153459</xdr:colOff>
      <xdr:row>1</xdr:row>
      <xdr:rowOff>144991</xdr:rowOff>
    </xdr:from>
    <xdr:to>
      <xdr:col>7</xdr:col>
      <xdr:colOff>577851</xdr:colOff>
      <xdr:row>5</xdr:row>
      <xdr:rowOff>133620</xdr:rowOff>
    </xdr:to>
    <xdr:pic>
      <xdr:nvPicPr>
        <xdr:cNvPr id="4" name="3 Imagen" descr="cid:_1_0AA1BC200AA1B9E00079477C86257B47"/>
        <xdr:cNvPicPr/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4757209" y="303741"/>
          <a:ext cx="1906059" cy="623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164041</xdr:colOff>
      <xdr:row>1</xdr:row>
      <xdr:rowOff>155972</xdr:rowOff>
    </xdr:from>
    <xdr:to>
      <xdr:col>14</xdr:col>
      <xdr:colOff>204258</xdr:colOff>
      <xdr:row>5</xdr:row>
      <xdr:rowOff>120650</xdr:rowOff>
    </xdr:to>
    <xdr:pic>
      <xdr:nvPicPr>
        <xdr:cNvPr id="5" name="Picture 1" descr="plata 20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879541" y="314722"/>
          <a:ext cx="939800" cy="599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133350</xdr:colOff>
      <xdr:row>2</xdr:row>
      <xdr:rowOff>35984</xdr:rowOff>
    </xdr:from>
    <xdr:to>
      <xdr:col>23</xdr:col>
      <xdr:colOff>702849</xdr:colOff>
      <xdr:row>6</xdr:row>
      <xdr:rowOff>112184</xdr:rowOff>
    </xdr:to>
    <xdr:pic>
      <xdr:nvPicPr>
        <xdr:cNvPr id="2" name="1 Imagen" descr="LOGO ITS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0113" t="15459" r="7977" b="15181"/>
        <a:stretch>
          <a:fillRect/>
        </a:stretch>
      </xdr:blipFill>
      <xdr:spPr bwMode="auto">
        <a:xfrm>
          <a:off x="16145933" y="353484"/>
          <a:ext cx="1119832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2</xdr:row>
      <xdr:rowOff>38101</xdr:rowOff>
    </xdr:from>
    <xdr:to>
      <xdr:col>1</xdr:col>
      <xdr:colOff>1105652</xdr:colOff>
      <xdr:row>5</xdr:row>
      <xdr:rowOff>142876</xdr:rowOff>
    </xdr:to>
    <xdr:pic>
      <xdr:nvPicPr>
        <xdr:cNvPr id="3" name="Picture 1" descr="SEP_horizontal_ALTA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7251" r="510" b="32322"/>
        <a:stretch>
          <a:fillRect/>
        </a:stretch>
      </xdr:blipFill>
      <xdr:spPr bwMode="auto">
        <a:xfrm>
          <a:off x="438150" y="361951"/>
          <a:ext cx="1515227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185209</xdr:colOff>
      <xdr:row>1</xdr:row>
      <xdr:rowOff>113242</xdr:rowOff>
    </xdr:from>
    <xdr:to>
      <xdr:col>5</xdr:col>
      <xdr:colOff>440268</xdr:colOff>
      <xdr:row>5</xdr:row>
      <xdr:rowOff>101871</xdr:rowOff>
    </xdr:to>
    <xdr:pic>
      <xdr:nvPicPr>
        <xdr:cNvPr id="4" name="3 Imagen" descr="cid:_1_0AA1BC200AA1B9E00079477C86257B47"/>
        <xdr:cNvPicPr/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3137959" y="271992"/>
          <a:ext cx="1906059" cy="623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132291</xdr:colOff>
      <xdr:row>1</xdr:row>
      <xdr:rowOff>155972</xdr:rowOff>
    </xdr:from>
    <xdr:to>
      <xdr:col>10</xdr:col>
      <xdr:colOff>338666</xdr:colOff>
      <xdr:row>5</xdr:row>
      <xdr:rowOff>120650</xdr:rowOff>
    </xdr:to>
    <xdr:pic>
      <xdr:nvPicPr>
        <xdr:cNvPr id="5" name="Picture 1" descr="plata 20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805208" y="314722"/>
          <a:ext cx="915458" cy="599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166687</xdr:colOff>
      <xdr:row>2</xdr:row>
      <xdr:rowOff>9526</xdr:rowOff>
    </xdr:from>
    <xdr:to>
      <xdr:col>23</xdr:col>
      <xdr:colOff>742800</xdr:colOff>
      <xdr:row>6</xdr:row>
      <xdr:rowOff>85726</xdr:rowOff>
    </xdr:to>
    <xdr:pic>
      <xdr:nvPicPr>
        <xdr:cNvPr id="2" name="1 Imagen" descr="LOGO ITS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0113" t="15459" r="7977" b="15181"/>
        <a:stretch>
          <a:fillRect/>
        </a:stretch>
      </xdr:blipFill>
      <xdr:spPr bwMode="auto">
        <a:xfrm>
          <a:off x="12382500" y="342901"/>
          <a:ext cx="11238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2</xdr:row>
      <xdr:rowOff>38101</xdr:rowOff>
    </xdr:from>
    <xdr:to>
      <xdr:col>1</xdr:col>
      <xdr:colOff>1105652</xdr:colOff>
      <xdr:row>5</xdr:row>
      <xdr:rowOff>142876</xdr:rowOff>
    </xdr:to>
    <xdr:pic>
      <xdr:nvPicPr>
        <xdr:cNvPr id="3" name="Picture 1" descr="SEP_horizontal_ALTA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7251" r="510" b="32322"/>
        <a:stretch>
          <a:fillRect/>
        </a:stretch>
      </xdr:blipFill>
      <xdr:spPr bwMode="auto">
        <a:xfrm>
          <a:off x="438150" y="361951"/>
          <a:ext cx="1515227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</xdr:colOff>
      <xdr:row>1</xdr:row>
      <xdr:rowOff>159543</xdr:rowOff>
    </xdr:from>
    <xdr:to>
      <xdr:col>7</xdr:col>
      <xdr:colOff>446882</xdr:colOff>
      <xdr:row>5</xdr:row>
      <xdr:rowOff>148172</xdr:rowOff>
    </xdr:to>
    <xdr:pic>
      <xdr:nvPicPr>
        <xdr:cNvPr id="4" name="3 Imagen" descr="cid:_1_0AA1BC200AA1B9E00079477C86257B47"/>
        <xdr:cNvPicPr/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4619625" y="326231"/>
          <a:ext cx="1899445" cy="655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-1</xdr:colOff>
      <xdr:row>2</xdr:row>
      <xdr:rowOff>76597</xdr:rowOff>
    </xdr:from>
    <xdr:to>
      <xdr:col>12</xdr:col>
      <xdr:colOff>269081</xdr:colOff>
      <xdr:row>6</xdr:row>
      <xdr:rowOff>33338</xdr:rowOff>
    </xdr:to>
    <xdr:pic>
      <xdr:nvPicPr>
        <xdr:cNvPr id="5" name="Picture 1" descr="plata 20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024937" y="409972"/>
          <a:ext cx="947738" cy="62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916781</xdr:colOff>
      <xdr:row>2</xdr:row>
      <xdr:rowOff>33339</xdr:rowOff>
    </xdr:from>
    <xdr:to>
      <xdr:col>23</xdr:col>
      <xdr:colOff>528487</xdr:colOff>
      <xdr:row>6</xdr:row>
      <xdr:rowOff>109539</xdr:rowOff>
    </xdr:to>
    <xdr:pic>
      <xdr:nvPicPr>
        <xdr:cNvPr id="2" name="1 Imagen" descr="LOGO ITS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0113" t="15459" r="7977" b="15181"/>
        <a:stretch>
          <a:fillRect/>
        </a:stretch>
      </xdr:blipFill>
      <xdr:spPr bwMode="auto">
        <a:xfrm>
          <a:off x="12489656" y="366714"/>
          <a:ext cx="11238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2</xdr:row>
      <xdr:rowOff>38101</xdr:rowOff>
    </xdr:from>
    <xdr:to>
      <xdr:col>1</xdr:col>
      <xdr:colOff>1105652</xdr:colOff>
      <xdr:row>5</xdr:row>
      <xdr:rowOff>142876</xdr:rowOff>
    </xdr:to>
    <xdr:pic>
      <xdr:nvPicPr>
        <xdr:cNvPr id="3" name="Picture 1" descr="SEP_horizontal_ALTA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7251" r="510" b="32322"/>
        <a:stretch>
          <a:fillRect/>
        </a:stretch>
      </xdr:blipFill>
      <xdr:spPr bwMode="auto">
        <a:xfrm>
          <a:off x="438150" y="361951"/>
          <a:ext cx="1515227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297656</xdr:colOff>
      <xdr:row>1</xdr:row>
      <xdr:rowOff>159544</xdr:rowOff>
    </xdr:from>
    <xdr:to>
      <xdr:col>7</xdr:col>
      <xdr:colOff>577851</xdr:colOff>
      <xdr:row>5</xdr:row>
      <xdr:rowOff>148173</xdr:rowOff>
    </xdr:to>
    <xdr:pic>
      <xdr:nvPicPr>
        <xdr:cNvPr id="4" name="3 Imagen" descr="cid:_1_0AA1BC200AA1B9E00079477C86257B47"/>
        <xdr:cNvPicPr/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4893469" y="326232"/>
          <a:ext cx="1899445" cy="655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654844</xdr:colOff>
      <xdr:row>2</xdr:row>
      <xdr:rowOff>28972</xdr:rowOff>
    </xdr:from>
    <xdr:to>
      <xdr:col>11</xdr:col>
      <xdr:colOff>245269</xdr:colOff>
      <xdr:row>5</xdr:row>
      <xdr:rowOff>152400</xdr:rowOff>
    </xdr:to>
    <xdr:pic>
      <xdr:nvPicPr>
        <xdr:cNvPr id="5" name="Picture 1" descr="plata 20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465344" y="362347"/>
          <a:ext cx="947738" cy="62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121444</xdr:colOff>
      <xdr:row>2</xdr:row>
      <xdr:rowOff>69058</xdr:rowOff>
    </xdr:from>
    <xdr:to>
      <xdr:col>23</xdr:col>
      <xdr:colOff>697556</xdr:colOff>
      <xdr:row>6</xdr:row>
      <xdr:rowOff>145258</xdr:rowOff>
    </xdr:to>
    <xdr:pic>
      <xdr:nvPicPr>
        <xdr:cNvPr id="2" name="1 Imagen" descr="LOGO ITS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0113" t="15459" r="7977" b="15181"/>
        <a:stretch>
          <a:fillRect/>
        </a:stretch>
      </xdr:blipFill>
      <xdr:spPr bwMode="auto">
        <a:xfrm>
          <a:off x="12492038" y="402433"/>
          <a:ext cx="11238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2</xdr:row>
      <xdr:rowOff>38101</xdr:rowOff>
    </xdr:from>
    <xdr:to>
      <xdr:col>1</xdr:col>
      <xdr:colOff>1105652</xdr:colOff>
      <xdr:row>5</xdr:row>
      <xdr:rowOff>142876</xdr:rowOff>
    </xdr:to>
    <xdr:pic>
      <xdr:nvPicPr>
        <xdr:cNvPr id="3" name="Picture 1" descr="SEP_horizontal_ALTA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7251" r="510" b="32322"/>
        <a:stretch>
          <a:fillRect/>
        </a:stretch>
      </xdr:blipFill>
      <xdr:spPr bwMode="auto">
        <a:xfrm>
          <a:off x="438150" y="361951"/>
          <a:ext cx="1515227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559594</xdr:colOff>
      <xdr:row>1</xdr:row>
      <xdr:rowOff>159544</xdr:rowOff>
    </xdr:from>
    <xdr:to>
      <xdr:col>7</xdr:col>
      <xdr:colOff>149226</xdr:colOff>
      <xdr:row>5</xdr:row>
      <xdr:rowOff>148173</xdr:rowOff>
    </xdr:to>
    <xdr:pic>
      <xdr:nvPicPr>
        <xdr:cNvPr id="4" name="3 Imagen" descr="cid:_1_0AA1BC200AA1B9E00079477C86257B47"/>
        <xdr:cNvPicPr/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4464844" y="326232"/>
          <a:ext cx="1899445" cy="655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607219</xdr:colOff>
      <xdr:row>2</xdr:row>
      <xdr:rowOff>17065</xdr:rowOff>
    </xdr:from>
    <xdr:to>
      <xdr:col>12</xdr:col>
      <xdr:colOff>221457</xdr:colOff>
      <xdr:row>5</xdr:row>
      <xdr:rowOff>140493</xdr:rowOff>
    </xdr:to>
    <xdr:pic>
      <xdr:nvPicPr>
        <xdr:cNvPr id="5" name="Picture 1" descr="plata 20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120188" y="350440"/>
          <a:ext cx="947738" cy="62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154782</xdr:colOff>
      <xdr:row>1</xdr:row>
      <xdr:rowOff>164308</xdr:rowOff>
    </xdr:from>
    <xdr:to>
      <xdr:col>23</xdr:col>
      <xdr:colOff>730894</xdr:colOff>
      <xdr:row>6</xdr:row>
      <xdr:rowOff>73821</xdr:rowOff>
    </xdr:to>
    <xdr:pic>
      <xdr:nvPicPr>
        <xdr:cNvPr id="2" name="1 Imagen" descr="LOGO ITS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0113" t="15459" r="7977" b="15181"/>
        <a:stretch>
          <a:fillRect/>
        </a:stretch>
      </xdr:blipFill>
      <xdr:spPr bwMode="auto">
        <a:xfrm>
          <a:off x="16121063" y="330996"/>
          <a:ext cx="11238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2</xdr:row>
      <xdr:rowOff>38101</xdr:rowOff>
    </xdr:from>
    <xdr:to>
      <xdr:col>1</xdr:col>
      <xdr:colOff>1105652</xdr:colOff>
      <xdr:row>5</xdr:row>
      <xdr:rowOff>142876</xdr:rowOff>
    </xdr:to>
    <xdr:pic>
      <xdr:nvPicPr>
        <xdr:cNvPr id="3" name="Picture 1" descr="SEP_horizontal_ALTA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7251" r="510" b="32322"/>
        <a:stretch>
          <a:fillRect/>
        </a:stretch>
      </xdr:blipFill>
      <xdr:spPr bwMode="auto">
        <a:xfrm>
          <a:off x="438150" y="361951"/>
          <a:ext cx="1515227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559594</xdr:colOff>
      <xdr:row>2</xdr:row>
      <xdr:rowOff>40482</xdr:rowOff>
    </xdr:from>
    <xdr:to>
      <xdr:col>7</xdr:col>
      <xdr:colOff>149226</xdr:colOff>
      <xdr:row>6</xdr:row>
      <xdr:rowOff>29111</xdr:rowOff>
    </xdr:to>
    <xdr:pic>
      <xdr:nvPicPr>
        <xdr:cNvPr id="4" name="3 Imagen" descr="cid:_1_0AA1BC200AA1B9E00079477C86257B47"/>
        <xdr:cNvPicPr/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4464844" y="373857"/>
          <a:ext cx="1899445" cy="655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2</xdr:row>
      <xdr:rowOff>5160</xdr:rowOff>
    </xdr:from>
    <xdr:to>
      <xdr:col>11</xdr:col>
      <xdr:colOff>292893</xdr:colOff>
      <xdr:row>5</xdr:row>
      <xdr:rowOff>128588</xdr:rowOff>
    </xdr:to>
    <xdr:pic>
      <xdr:nvPicPr>
        <xdr:cNvPr id="5" name="Picture 1" descr="plata 20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512969" y="338535"/>
          <a:ext cx="947737" cy="62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169069</xdr:colOff>
      <xdr:row>2</xdr:row>
      <xdr:rowOff>33339</xdr:rowOff>
    </xdr:from>
    <xdr:to>
      <xdr:col>23</xdr:col>
      <xdr:colOff>745182</xdr:colOff>
      <xdr:row>6</xdr:row>
      <xdr:rowOff>109539</xdr:rowOff>
    </xdr:to>
    <xdr:pic>
      <xdr:nvPicPr>
        <xdr:cNvPr id="2" name="1 Imagen" descr="LOGO ITS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0113" t="15459" r="7977" b="15181"/>
        <a:stretch>
          <a:fillRect/>
        </a:stretch>
      </xdr:blipFill>
      <xdr:spPr bwMode="auto">
        <a:xfrm>
          <a:off x="16135350" y="366714"/>
          <a:ext cx="11238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2</xdr:row>
      <xdr:rowOff>38101</xdr:rowOff>
    </xdr:from>
    <xdr:to>
      <xdr:col>1</xdr:col>
      <xdr:colOff>1105652</xdr:colOff>
      <xdr:row>5</xdr:row>
      <xdr:rowOff>142876</xdr:rowOff>
    </xdr:to>
    <xdr:pic>
      <xdr:nvPicPr>
        <xdr:cNvPr id="3" name="Picture 1" descr="SEP_horizontal_ALTA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7251" r="510" b="32322"/>
        <a:stretch>
          <a:fillRect/>
        </a:stretch>
      </xdr:blipFill>
      <xdr:spPr bwMode="auto">
        <a:xfrm>
          <a:off x="438150" y="361951"/>
          <a:ext cx="1515227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476250</xdr:colOff>
      <xdr:row>1</xdr:row>
      <xdr:rowOff>159544</xdr:rowOff>
    </xdr:from>
    <xdr:to>
      <xdr:col>8</xdr:col>
      <xdr:colOff>30164</xdr:colOff>
      <xdr:row>5</xdr:row>
      <xdr:rowOff>148173</xdr:rowOff>
    </xdr:to>
    <xdr:pic>
      <xdr:nvPicPr>
        <xdr:cNvPr id="4" name="3 Imagen" descr="cid:_1_0AA1BC200AA1B9E00079477C86257B47"/>
        <xdr:cNvPicPr/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5072063" y="326232"/>
          <a:ext cx="1899445" cy="655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95250</xdr:colOff>
      <xdr:row>1</xdr:row>
      <xdr:rowOff>124222</xdr:rowOff>
    </xdr:from>
    <xdr:to>
      <xdr:col>14</xdr:col>
      <xdr:colOff>257175</xdr:colOff>
      <xdr:row>5</xdr:row>
      <xdr:rowOff>80963</xdr:rowOff>
    </xdr:to>
    <xdr:pic>
      <xdr:nvPicPr>
        <xdr:cNvPr id="5" name="Picture 1" descr="plata 20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941719" y="290910"/>
          <a:ext cx="947737" cy="62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/Documents/2015/NOMINAS/NOMINA%201.DEL%2001-15%20ENERO%20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/Documents/2015/NOMINAS/NOMINA%2010.%20DEL%2016-31%20DE%20MAYO%20DE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/Documents/2015/NOMINAS/NOMINA%2011.%20DEL%2001-15%20JUNIO%20DE%2020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/Documents/2015/NOMINAS/NOMINA%2012.%20DEL%2016-30%20JUNIO%20DE%202015%20-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/Documents/2015/NOMINAS/NOMINA%2013.%20DEL%2001-15%20DE%20JULIO%20DE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/Documents/2015/NOMINAS/NOMINA%2014.%20DEL%2016-31%20DE%20JULIO%20DE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/Documents/2015/NOMINAS/NOMINA%2015.%20DEL%2001-15%20DE%20AGOSTO%20DEL%20201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/Documents/2015/NOMINAS/NOMINA%2016.%20DEL%2016-30%20DE%20AGOSTO%20DEL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/Documents/2015/NOMINAS/NOMINA%2017.%20DEL%2001-15%20DE%20SEPTIEMBRE%20%20DEL%2020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/Documents/2015/NOMINAS/NOMINA%2021%20DE%2001-15%20NOVIEMBRE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/Documents/2015/NOMINAS/NOMINA%2022%20DE%2016-30NOVIEMBRE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/Documents/2015/NOMINAS/NOMINA%202.DEL%2016-31%20DE%20ENERO%202015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/Documents/2015/NOMINAS/NOMINA%2018.%20DEL%2016-30%20DE%20SEPTIEMBRE%20%20DEL%202015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/Documents/2015/NOMINAS/NOMINA%2019.%20DEL%2001-15%20DE%20OCTUBRE%20DEL%2020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/Documents/2015/NOMINAS/NOMINA%2020.%20DEL16-31DE%20OCTUBRE%20DEL%20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/Documents/2015/NOMINAS/NOMINA%2023%20DE%2001-15%20DICIEMBRE%2020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/Documents/2015/NOMINAS/NOMINA%2024%20DE%2016-30%20DICIEMBRE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/Documents/2015/NOMINAS/NOMINA%203.DEL%2001-15%20DE%20FEBRERO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/Documents/2015/NOMINAS/NOMINA%204.DEL%2016-28%20DE%20FEBRERO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/Documents/2015/NOMINAS/NOMINA%205.DEL%2001-15%20DE%20MARZO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/Documents/2015/NOMINAS/NOMINA%206.DEL%2016-31%20DE%20MARZO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/Documents/2015/NOMINAS/NOMINA%207.DEL%2001-15%20DE%20ABRIL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/Documents/2015/NOMINAS/NOMINA%208.DEL%2016-30%20DE%20ABRIL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/Documents/2015/NOMINAS/NOMINA%209.%20DEL%2001-15%20DE%20MAYO%20DE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RDO"/>
      <sheetName val="MARIA CELI"/>
      <sheetName val="Maria del Rosario"/>
      <sheetName val="MIGUEL (2)"/>
      <sheetName val="CALCULO ISR-SUBS"/>
      <sheetName val="HT-ADMINISTRATIVOS"/>
      <sheetName val="FAUSTINO"/>
      <sheetName val="MARÍA AMELIA"/>
      <sheetName val="PEDRO ALONSO"/>
      <sheetName val="VICTOR MANUEL"/>
      <sheetName val="JOSÉ LUIS CEJA"/>
      <sheetName val="LUIS ENRIQUE"/>
      <sheetName val="JOSÉ RICARDO"/>
      <sheetName val="JORGE ISAAC"/>
      <sheetName val="MARCO VINICIO"/>
      <sheetName val="JUAN JOSÉ"/>
      <sheetName val="ELISEO FLORES"/>
      <sheetName val="GABRIEL RANGEL"/>
      <sheetName val="ROBERTO CONTRERAS"/>
      <sheetName val="BOTELLO"/>
      <sheetName val="GERARDO  LOPEZ"/>
      <sheetName val="SENEN"/>
      <sheetName val="VALDES"/>
      <sheetName val="KARINA LOPEZ"/>
      <sheetName val="CONTRERAS"/>
      <sheetName val="MEDRANO"/>
      <sheetName val="ERNESTO"/>
      <sheetName val="EVE"/>
      <sheetName val="GABRIEL"/>
      <sheetName val="MAIDA"/>
      <sheetName val="ERIKA"/>
      <sheetName val="ADRIANA"/>
      <sheetName val="J. BENJAMIN (2)"/>
      <sheetName val="JAIR (2)"/>
      <sheetName val="PEDRO (2)"/>
      <sheetName val="JOSE VICTORIANO  (2)"/>
      <sheetName val="FEDERICO (2)"/>
      <sheetName val="ARACELI (2)"/>
      <sheetName val="ALEJANDRA (2)"/>
      <sheetName val="KIMBERLY (2)"/>
      <sheetName val="MARICHY (3)"/>
      <sheetName val="EMA (3)"/>
      <sheetName val="LILIANA G. (3)"/>
      <sheetName val="YESENIA. (3)"/>
      <sheetName val="ROBERTO (3)"/>
      <sheetName val="FRANCISCO (3)"/>
      <sheetName val="YERANIA (3)"/>
      <sheetName val="MICAELA (3)"/>
      <sheetName val="HILDA (3)"/>
      <sheetName val="ALTAGRACIA (3)"/>
      <sheetName val="LILIANA (3)"/>
      <sheetName val="ANDRES (3)"/>
      <sheetName val="JULIAN (3)"/>
      <sheetName val="LUIS ALBERTO  (3)"/>
      <sheetName val="JOSE EMANUEL (3)"/>
      <sheetName val="KARINA ROBLES (3)"/>
      <sheetName val="JAIME MEDINA (3)"/>
      <sheetName val="JESUS JERONIMO (3)"/>
      <sheetName val="JUAN DANIEL (3)"/>
      <sheetName val="RIGOBERTO (3)"/>
      <sheetName val="ROCIO (3)"/>
      <sheetName val="FELICIANO (3)"/>
      <sheetName val="Efrain (3)"/>
      <sheetName val="José de Jesús (3)"/>
      <sheetName val="Claudia  (3)"/>
      <sheetName val="Esteban (3)"/>
      <sheetName val="Ana Gabriela (3)"/>
      <sheetName val="Armando  (2)"/>
      <sheetName val="Lic. María Vidal  (2)"/>
      <sheetName val="Lic. Aida  (2)"/>
      <sheetName val="M.V.Z. GILDARO SANCHEZ"/>
      <sheetName val="HT-ADMINISTRATIVOS FIRMA "/>
      <sheetName val="HT-DOCENTE"/>
      <sheetName val="Admon prim vac"/>
      <sheetName val="DOCENTESprima vac"/>
      <sheetName val="Admon prim vac para imprimir"/>
      <sheetName val="DOC PV Firma"/>
      <sheetName val="HT-DOCENTE FIRMA"/>
      <sheetName val="HT-DOCENTE FIRMA estimulo "/>
      <sheetName val="Calculo ISR "/>
      <sheetName val="Calculo ISR  con prima. VAC."/>
      <sheetName val="descuentos"/>
      <sheetName val="NOTAS"/>
      <sheetName val="DEL INTERINATO DE YERA"/>
      <sheetName val="Hoja2"/>
      <sheetName val="10 DIAS AGUINALDO"/>
      <sheetName val="DOCENTES AGU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12">
          <cell r="C12">
            <v>19.5</v>
          </cell>
        </row>
        <row r="14">
          <cell r="C14">
            <v>19.5</v>
          </cell>
        </row>
        <row r="15">
          <cell r="C15">
            <v>19.5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>
        <row r="34">
          <cell r="AZ34">
            <v>-84.025999999999982</v>
          </cell>
          <cell r="BA34">
            <v>821.78710799999999</v>
          </cell>
          <cell r="BB34">
            <v>72.400576000000001</v>
          </cell>
          <cell r="BC34">
            <v>796.33773600000018</v>
          </cell>
          <cell r="BD34">
            <v>332.38839999999999</v>
          </cell>
          <cell r="BE34">
            <v>863.77232400000003</v>
          </cell>
          <cell r="BF34">
            <v>863.77232400000003</v>
          </cell>
          <cell r="BG34">
            <v>-188.76064</v>
          </cell>
          <cell r="BH34">
            <v>703.29464400000006</v>
          </cell>
          <cell r="BI34">
            <v>184.45915199999999</v>
          </cell>
          <cell r="BJ34">
            <v>770.88836400000002</v>
          </cell>
          <cell r="BK34">
            <v>770.88836400000002</v>
          </cell>
          <cell r="BL34">
            <v>770.88836400000002</v>
          </cell>
          <cell r="BM34">
            <v>770.88836400000002</v>
          </cell>
          <cell r="BN34">
            <v>863.77232400000003</v>
          </cell>
          <cell r="BO34">
            <v>149.54427199999995</v>
          </cell>
          <cell r="BP34">
            <v>770.88836400000002</v>
          </cell>
          <cell r="BQ34">
            <v>601.90406400000006</v>
          </cell>
          <cell r="BR34">
            <v>60.434752000000003</v>
          </cell>
          <cell r="BS34">
            <v>11.00499199999993</v>
          </cell>
          <cell r="BT34">
            <v>-120.58023999999997</v>
          </cell>
          <cell r="BU34">
            <v>-68.07463999999996</v>
          </cell>
          <cell r="BV34">
            <v>-37.824768000000006</v>
          </cell>
        </row>
      </sheetData>
      <sheetData sheetId="80" refreshError="1"/>
      <sheetData sheetId="81">
        <row r="5">
          <cell r="D5">
            <v>458.25</v>
          </cell>
        </row>
      </sheetData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ERARDO"/>
      <sheetName val="MARIA CELI"/>
      <sheetName val="Maria del Rosario"/>
      <sheetName val="MIGUEL (2)"/>
      <sheetName val="CALCULO ISR-SUBS"/>
      <sheetName val="HT-ADMINISTRATIVOS"/>
      <sheetName val="FAUSTINO"/>
      <sheetName val="MARÍA AMELIA"/>
      <sheetName val="PEDRO ALONSO"/>
      <sheetName val="VICTOR MANUEL"/>
      <sheetName val="JOSÉ LUIS CEJA"/>
      <sheetName val="LUIS ENRIQUE"/>
      <sheetName val="JOSÉ RICARDO"/>
      <sheetName val="JORGE ISAAC"/>
      <sheetName val="MARCO VINICIO"/>
      <sheetName val="JUAN JOSÉ"/>
      <sheetName val="ELISEO FLORES"/>
      <sheetName val="GABRIEL RANGEL"/>
      <sheetName val="ROBERTO CONTRERAS"/>
      <sheetName val="BOTELLO"/>
      <sheetName val="GERARDO  LOPEZ"/>
      <sheetName val="SENEN"/>
      <sheetName val="VALDES"/>
      <sheetName val="KARINA LOPEZ"/>
      <sheetName val="CONTRERAS"/>
      <sheetName val="MEDRANO"/>
      <sheetName val="ERNESTO"/>
      <sheetName val="EVE"/>
      <sheetName val="GABRIEL"/>
      <sheetName val="MAIDA"/>
      <sheetName val="ERIKA"/>
      <sheetName val="ADRIANA"/>
      <sheetName val="J. BENJAMIN (2)"/>
      <sheetName val="JAIR (2)"/>
      <sheetName val="PEDRO (2)"/>
      <sheetName val="JOSE VICTORIANO  (2)"/>
      <sheetName val="FEDERICO (2)"/>
      <sheetName val="ARACELI (2)"/>
      <sheetName val="ALEJANDRA (2)"/>
      <sheetName val="KIMBERLY (2)"/>
      <sheetName val="MARICHY (3)"/>
      <sheetName val="EMA (3)"/>
      <sheetName val="LILIANA G. (3)"/>
      <sheetName val="YESENIA. (3)"/>
      <sheetName val="ROBERTO (3)"/>
      <sheetName val="FRANCISCO (3)"/>
      <sheetName val="YERANIA (3)"/>
      <sheetName val="ALTAGRACIA (3)"/>
      <sheetName val="LILIANA (3)"/>
      <sheetName val="ANDRES (3)"/>
      <sheetName val="JULIAN (3)"/>
      <sheetName val="LUIS ALBERTO  (3)"/>
      <sheetName val="JOSE EMANUEL (3)"/>
      <sheetName val="KARINA ROBLES (3)"/>
      <sheetName val="JAIME MEDINA (3)"/>
      <sheetName val="JESUS JERONIMO (3)"/>
      <sheetName val="JUAN DANIEL (3)"/>
      <sheetName val="RIGOBERTO (3)"/>
      <sheetName val="ROCIO (3)"/>
      <sheetName val="FELICIANO (3)"/>
      <sheetName val="Efrain (3)"/>
      <sheetName val="José de Jesús (3)"/>
      <sheetName val="Claudia  (3)"/>
      <sheetName val="Esteban (3)"/>
      <sheetName val="Ana Gabriela (3)"/>
      <sheetName val="Armando  (2)"/>
      <sheetName val="Lic. María Vidal  (2)"/>
      <sheetName val="PARA MODIFICAR FECHAS"/>
      <sheetName val="M.V.Z. GILDARO SANCHEZ"/>
      <sheetName val="JUAN MANUEL"/>
      <sheetName val="MANUEL JESUS"/>
      <sheetName val="MARÍA VERONICA"/>
      <sheetName val="MARIA VICTORIA"/>
      <sheetName val="EDGAR"/>
      <sheetName val="SARAHI"/>
      <sheetName val="JOSÉ MANUEL"/>
      <sheetName val="FAUSTINO (2)"/>
      <sheetName val="MARÍA AMELIA (2)"/>
      <sheetName val="PEDRO ALONSO (2)"/>
      <sheetName val="VICTOR MANUEL (2)"/>
      <sheetName val="JOSÉ LUIS CEJA (2)"/>
      <sheetName val="LUIS ENRIQUE (2)"/>
      <sheetName val="JOSÉ RICARDO (2)"/>
      <sheetName val="JORGE ISAAC (2)"/>
      <sheetName val="MARCO VINICIO (2)"/>
      <sheetName val="JUAN JOSÉ (2)"/>
      <sheetName val="ELISEO FLORES (2)"/>
      <sheetName val="GABRIEL RANGEL (2)"/>
      <sheetName val="ROBERTO CONTRERAS (2)"/>
      <sheetName val="BOTELLO (2)"/>
      <sheetName val="GERARDO  LOPEZ (2)"/>
      <sheetName val="SENEN (2)"/>
      <sheetName val="VALDES (2)"/>
      <sheetName val="KARINA LOPEZ (2)"/>
      <sheetName val="CONTRERAS (2)"/>
      <sheetName val="MEDRANO (2)"/>
      <sheetName val="ERNESTO (2)"/>
      <sheetName val="EVE (2)"/>
      <sheetName val="GABRIEL (2)"/>
      <sheetName val="MAIDA (2)"/>
      <sheetName val="ERIKA (2)"/>
      <sheetName val="ADRIANA (2)"/>
      <sheetName val="J. BENJAMIN (3)"/>
      <sheetName val="JAIR (3)"/>
      <sheetName val="PEDRO (3)"/>
      <sheetName val="JOSE VICTORIANO  (3)"/>
      <sheetName val="FEDERICO (3)"/>
      <sheetName val="ARACELI (3)"/>
      <sheetName val="ALEJANDRA (3)"/>
      <sheetName val="KIMBERLY (3)"/>
      <sheetName val="MARICHY (4)"/>
      <sheetName val="EMA (4)"/>
      <sheetName val="LILIANA G. (4)"/>
      <sheetName val="YESENIA. (4)"/>
      <sheetName val="ROBERTO (4)"/>
      <sheetName val="FRANCISCO (4)"/>
      <sheetName val="YERANIA (4)"/>
      <sheetName val="ALTAGRACIA (4)"/>
      <sheetName val="LILIANA (4)"/>
      <sheetName val="ANDRES (4)"/>
      <sheetName val="JULIAN (4)"/>
      <sheetName val="LUIS ALBERTO  (4)"/>
      <sheetName val="JOSE EMANUEL (4)"/>
      <sheetName val="KARINA ROBLES (4)"/>
      <sheetName val="JAIME MEDINA (4)"/>
      <sheetName val="JESUS JERONIMO (4)"/>
      <sheetName val="JUAN DANIEL (4)"/>
      <sheetName val="RIGOBERTO (4)"/>
      <sheetName val="ROCIO (4)"/>
      <sheetName val="FELICIANO"/>
      <sheetName val="MODIFICA. DOCENTES"/>
      <sheetName val="Efrain (4)"/>
      <sheetName val="José de Jesús (4)"/>
      <sheetName val="Claudia  (4)"/>
      <sheetName val="Esteban (4)"/>
      <sheetName val="Ana Gabriela (4)"/>
      <sheetName val="Armando  (3)"/>
      <sheetName val="Lic. María Vidal  (3)"/>
      <sheetName val="PARA MODIFICAR FECHAS (2)"/>
      <sheetName val="M.V.Z. GILDARO SANCHEZ (2)"/>
      <sheetName val="HT-ADMINISTRATIVOS FIRMA "/>
      <sheetName val="HT-DOCENTE"/>
      <sheetName val="Admon prim vac"/>
      <sheetName val="DOCENTESprima vac"/>
      <sheetName val="Admon prim vac para imprimir"/>
      <sheetName val="DOC PV Firma"/>
      <sheetName val="HT-DOCENTE FIRMA"/>
      <sheetName val="HT-DOCENTE FIRMA estimulo "/>
      <sheetName val="Calculo ISR "/>
      <sheetName val="Calculo ISR  con prima. VAC."/>
      <sheetName val="descuentos"/>
      <sheetName val="DEL INTERINATO DE YERA"/>
      <sheetName val="Hoja2"/>
      <sheetName val="10 DIAS AGUINALDO"/>
      <sheetName val="DOCENTES AGUIN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>
        <row r="46">
          <cell r="E46">
            <v>184920.80437726821</v>
          </cell>
          <cell r="O46">
            <v>25746.9</v>
          </cell>
        </row>
      </sheetData>
      <sheetData sheetId="141">
        <row r="15">
          <cell r="C15">
            <v>19.5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/>
      <sheetData sheetId="147" refreshError="1"/>
      <sheetData sheetId="148">
        <row r="34">
          <cell r="AZ34">
            <v>355.96439999999996</v>
          </cell>
          <cell r="BA34">
            <v>2194.6081799999993</v>
          </cell>
          <cell r="BB34">
            <v>874.01497799999993</v>
          </cell>
          <cell r="BC34">
            <v>2165.0752919999995</v>
          </cell>
          <cell r="BD34">
            <v>1215.4711320000001</v>
          </cell>
          <cell r="BE34">
            <v>2158.1451240000001</v>
          </cell>
          <cell r="BF34">
            <v>2162.3199240000004</v>
          </cell>
          <cell r="BG34">
            <v>15.383919999999961</v>
          </cell>
          <cell r="BH34">
            <v>1834.2964800000004</v>
          </cell>
          <cell r="BJ34">
            <v>1407.1226640000004</v>
          </cell>
          <cell r="BK34">
            <v>1306.9015440000003</v>
          </cell>
          <cell r="BL34">
            <v>1407.1226640000004</v>
          </cell>
          <cell r="BM34">
            <v>1407.1226640000004</v>
          </cell>
          <cell r="BN34">
            <v>1492.7655840000002</v>
          </cell>
          <cell r="BO34">
            <v>555.24314400000003</v>
          </cell>
          <cell r="BP34">
            <v>1420.7984040000001</v>
          </cell>
          <cell r="BQ34">
            <v>1117.81962</v>
          </cell>
          <cell r="BR34">
            <v>601.90406400000006</v>
          </cell>
          <cell r="BS34">
            <v>184.45915199999999</v>
          </cell>
          <cell r="BT34">
            <v>132.32939199999996</v>
          </cell>
          <cell r="BU34">
            <v>77.649631999999968</v>
          </cell>
          <cell r="BV34">
            <v>115.11451199999996</v>
          </cell>
          <cell r="BW34">
            <v>449.76916800000004</v>
          </cell>
          <cell r="BX34">
            <v>-6.2098880000000065</v>
          </cell>
          <cell r="BY34">
            <v>-110.45383999999997</v>
          </cell>
          <cell r="BZ34">
            <v>-110.45383999999997</v>
          </cell>
          <cell r="CA34">
            <v>-110.45383999999997</v>
          </cell>
          <cell r="CB34">
            <v>-110.45383999999997</v>
          </cell>
          <cell r="CC34">
            <v>-110.45383999999997</v>
          </cell>
        </row>
      </sheetData>
      <sheetData sheetId="149" refreshError="1"/>
      <sheetData sheetId="150">
        <row r="6">
          <cell r="D6">
            <v>0</v>
          </cell>
        </row>
        <row r="7">
          <cell r="D7">
            <v>0</v>
          </cell>
        </row>
      </sheetData>
      <sheetData sheetId="151" refreshError="1"/>
      <sheetData sheetId="152" refreshError="1"/>
      <sheetData sheetId="153" refreshError="1"/>
      <sheetData sheetId="154" refreshError="1"/>
      <sheetData sheetId="15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ERARDO"/>
      <sheetName val="MARIA CELI"/>
      <sheetName val="Maria del Rosario"/>
      <sheetName val="MIGUEL (2)"/>
      <sheetName val="CALCULO ISR-SUBS"/>
      <sheetName val="HT-ADMINISTRATIVOS"/>
      <sheetName val="FAUSTINO"/>
      <sheetName val="MARÍA AMELIA"/>
      <sheetName val="PEDRO ALONSO"/>
      <sheetName val="VICTOR MANUEL"/>
      <sheetName val="JOSÉ LUIS CEJA"/>
      <sheetName val="LUIS ENRIQUE"/>
      <sheetName val="JOSÉ RICARDO"/>
      <sheetName val="JORGE ISAAC"/>
      <sheetName val="MARCO VINICIO"/>
      <sheetName val="JUAN JOSÉ"/>
      <sheetName val="ELISEO FLORES"/>
      <sheetName val="GABRIEL RANGEL"/>
      <sheetName val="ROBERTO CONTRERAS"/>
      <sheetName val="BOTELLO"/>
      <sheetName val="GERARDO  LOPEZ"/>
      <sheetName val="SENEN"/>
      <sheetName val="VALDES"/>
      <sheetName val="KARINA LOPEZ"/>
      <sheetName val="CONTRERAS"/>
      <sheetName val="MEDRANO"/>
      <sheetName val="ERNESTO"/>
      <sheetName val="EVE"/>
      <sheetName val="GABRIEL"/>
      <sheetName val="MAIDA"/>
      <sheetName val="ERIKA"/>
      <sheetName val="ADRIANA"/>
      <sheetName val="J. BENJAMIN (2)"/>
      <sheetName val="JAIR (2)"/>
      <sheetName val="PEDRO (2)"/>
      <sheetName val="JOSE VICTORIANO  (2)"/>
      <sheetName val="FEDERICO (2)"/>
      <sheetName val="ARACELI (2)"/>
      <sheetName val="ALEJANDRA (2)"/>
      <sheetName val="KIMBERLY (2)"/>
      <sheetName val="MARICHY (3)"/>
      <sheetName val="EMA (3)"/>
      <sheetName val="LILIANA G. (3)"/>
      <sheetName val="YESENIA. (3)"/>
      <sheetName val="ROBERTO (3)"/>
      <sheetName val="FRANCISCO (3)"/>
      <sheetName val="YERANIA (3)"/>
      <sheetName val="ALTAGRACIA (3)"/>
      <sheetName val="LILIANA (3)"/>
      <sheetName val="ANDRES (3)"/>
      <sheetName val="JULIAN (3)"/>
      <sheetName val="LUIS ALBERTO  (3)"/>
      <sheetName val="JOSE EMANUEL (3)"/>
      <sheetName val="KARINA ROBLES (3)"/>
      <sheetName val="JAIME MEDINA (3)"/>
      <sheetName val="JESUS JERONIMO (3)"/>
      <sheetName val="JUAN DANIEL (3)"/>
      <sheetName val="RIGOBERTO (3)"/>
      <sheetName val="ROCIO (3)"/>
      <sheetName val="FELICIANO (3)"/>
      <sheetName val="Efrain (3)"/>
      <sheetName val="José de Jesús (3)"/>
      <sheetName val="Claudia  (3)"/>
      <sheetName val="Esteban (3)"/>
      <sheetName val="Ana Gabriela (3)"/>
      <sheetName val="Armando  (2)"/>
      <sheetName val="Lic. María Vidal  (2)"/>
      <sheetName val="PARA MODIFICAR FECHAS"/>
      <sheetName val="M.V.Z. GILDARO SANCHEZ"/>
      <sheetName val="JUAN MANUEL"/>
      <sheetName val="MANUEL JESUS"/>
      <sheetName val="MARÍA VERONICA"/>
      <sheetName val="MARIA VICTORIA"/>
      <sheetName val="EDGAR"/>
      <sheetName val="SARAHI"/>
      <sheetName val="JOSÉ MANUEL"/>
      <sheetName val="FAUSTINO (2)"/>
      <sheetName val="MARÍA AMELIA (2)"/>
      <sheetName val="PEDRO ALONSO (2)"/>
      <sheetName val="VICTOR MANUEL (2)"/>
      <sheetName val="JOSÉ LUIS CEJA (2)"/>
      <sheetName val="LUIS ENRIQUE (2)"/>
      <sheetName val="JOSÉ RICARDO (2)"/>
      <sheetName val="JORGE ISAAC (2)"/>
      <sheetName val="MARCO VINICIO (2)"/>
      <sheetName val="JUAN JOSÉ (2)"/>
      <sheetName val="ELISEO FLORES (2)"/>
      <sheetName val="GABRIEL RANGEL (2)"/>
      <sheetName val="ROBERTO CONTRERAS (2)"/>
      <sheetName val="BOTELLO (2)"/>
      <sheetName val="GERARDO  LOPEZ (2)"/>
      <sheetName val="SENEN (2)"/>
      <sheetName val="VALDES (2)"/>
      <sheetName val="KARINA LOPEZ (2)"/>
      <sheetName val="CONTRERAS (2)"/>
      <sheetName val="MEDRANO (2)"/>
      <sheetName val="ERNESTO (2)"/>
      <sheetName val="EVE (2)"/>
      <sheetName val="GABRIEL (2)"/>
      <sheetName val="MAIDA (2)"/>
      <sheetName val="ERIKA (2)"/>
      <sheetName val="ADRIANA (2)"/>
      <sheetName val="J. BENJAMIN (3)"/>
      <sheetName val="JAIR (3)"/>
      <sheetName val="PEDRO (3)"/>
      <sheetName val="JOSE VICTORIANO  (3)"/>
      <sheetName val="FEDERICO (3)"/>
      <sheetName val="ARACELI (3)"/>
      <sheetName val="ALEJANDRA (3)"/>
      <sheetName val="KIMBERLY (3)"/>
      <sheetName val="MARICHY (4)"/>
      <sheetName val="EMA (4)"/>
      <sheetName val="LILIANA G. (4)"/>
      <sheetName val="YESENIA. (4)"/>
      <sheetName val="ROBERTO (4)"/>
      <sheetName val="FRANCISCO (4)"/>
      <sheetName val="YERANIA (4)"/>
      <sheetName val="ALTAGRACIA (4)"/>
      <sheetName val="LILIANA (4)"/>
      <sheetName val="ANDRES (4)"/>
      <sheetName val="JULIAN (4)"/>
      <sheetName val="LUIS ALBERTO  (4)"/>
      <sheetName val="JOSE EMANUEL (4)"/>
      <sheetName val="KARINA ROBLES (4)"/>
      <sheetName val="JAIME MEDINA (4)"/>
      <sheetName val="JESUS JERONIMO (4)"/>
      <sheetName val="JUAN DANIEL (4)"/>
      <sheetName val="RIGOBERTO (4)"/>
      <sheetName val="ROCIO (4)"/>
      <sheetName val="FELICIANO"/>
      <sheetName val="MODIFICA. DOCENTES"/>
      <sheetName val="Efrain (4)"/>
      <sheetName val="José de Jesús (4)"/>
      <sheetName val="Claudia  (4)"/>
      <sheetName val="Esteban (4)"/>
      <sheetName val="Ana Gabriela (4)"/>
      <sheetName val="Armando  (3)"/>
      <sheetName val="Lic. María Vidal  (3)"/>
      <sheetName val="PARA MODIFICAR FECHAS (2)"/>
      <sheetName val="M.V.Z. GILDARO SANCHEZ (2)"/>
      <sheetName val="HT-ADMINISTRATIVOS FIRMA "/>
      <sheetName val="HT-DOCENTE"/>
      <sheetName val="Admon prim vac"/>
      <sheetName val="DOCENTESprima vac"/>
      <sheetName val="Admon prim vac para imprimir"/>
      <sheetName val="DOC PV Firma"/>
      <sheetName val="HT-DOCENTE FIRMA"/>
      <sheetName val="HT-DOCENTE FIRMA estimulo "/>
      <sheetName val="Calculo ISR "/>
      <sheetName val="Calculo ISR  con prima. VAC."/>
      <sheetName val="descuentos"/>
      <sheetName val="DEL INTERINATO DE YERA"/>
      <sheetName val="Hoja2"/>
      <sheetName val="10 DIAS AGUINALDO"/>
      <sheetName val="DOCENTES AGUIN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>
        <row r="15">
          <cell r="C15">
            <v>19.5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/>
      <sheetData sheetId="147" refreshError="1"/>
      <sheetData sheetId="148">
        <row r="34">
          <cell r="AZ34">
            <v>3.7616319999999916</v>
          </cell>
          <cell r="BA34">
            <v>893.0953320000001</v>
          </cell>
          <cell r="BB34">
            <v>128.40987199999998</v>
          </cell>
          <cell r="BC34">
            <v>866.27464799999996</v>
          </cell>
          <cell r="BD34">
            <v>474.18068800000009</v>
          </cell>
          <cell r="BE34">
            <v>859.98092400000007</v>
          </cell>
          <cell r="BF34">
            <v>863.77232400000003</v>
          </cell>
          <cell r="BG34">
            <v>-165.65343999999999</v>
          </cell>
          <cell r="BH34">
            <v>771.86024400000008</v>
          </cell>
          <cell r="BJ34">
            <v>770.88836400000002</v>
          </cell>
          <cell r="BK34">
            <v>703.29464400000006</v>
          </cell>
          <cell r="BL34">
            <v>770.88836400000002</v>
          </cell>
          <cell r="BM34">
            <v>770.88836400000002</v>
          </cell>
          <cell r="BN34">
            <v>827.59382400000004</v>
          </cell>
          <cell r="BO34">
            <v>149.54427199999995</v>
          </cell>
          <cell r="BP34">
            <v>703.29464400000006</v>
          </cell>
          <cell r="BQ34">
            <v>635.7009240000001</v>
          </cell>
          <cell r="BR34">
            <v>601.90406400000006</v>
          </cell>
          <cell r="BS34">
            <v>184.45915199999999</v>
          </cell>
          <cell r="BT34">
            <v>132.32939199999996</v>
          </cell>
          <cell r="BU34">
            <v>77.649631999999968</v>
          </cell>
          <cell r="BV34">
            <v>115.11451199999996</v>
          </cell>
          <cell r="BW34">
            <v>449.76916800000004</v>
          </cell>
          <cell r="BX34">
            <v>-6.2098880000000065</v>
          </cell>
          <cell r="BY34">
            <v>-110.45383999999997</v>
          </cell>
          <cell r="BZ34">
            <v>-110.45383999999997</v>
          </cell>
          <cell r="CA34">
            <v>-110.45383999999997</v>
          </cell>
          <cell r="CB34">
            <v>-110.45383999999997</v>
          </cell>
          <cell r="CC34">
            <v>-110.45383999999997</v>
          </cell>
        </row>
      </sheetData>
      <sheetData sheetId="149" refreshError="1"/>
      <sheetData sheetId="150">
        <row r="6">
          <cell r="D6">
            <v>1790.23</v>
          </cell>
        </row>
        <row r="7">
          <cell r="D7">
            <v>76.375</v>
          </cell>
        </row>
      </sheetData>
      <sheetData sheetId="151" refreshError="1"/>
      <sheetData sheetId="152" refreshError="1"/>
      <sheetData sheetId="153" refreshError="1"/>
      <sheetData sheetId="154" refreshError="1"/>
      <sheetData sheetId="155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ERARDO"/>
      <sheetName val="MARIA CELI"/>
      <sheetName val="Maria del Rosario"/>
      <sheetName val="MIGUEL (2)"/>
      <sheetName val="CALCULO ISR-SUBS"/>
      <sheetName val="HT-ADMINISTRATIVOS"/>
      <sheetName val="FAUSTINO"/>
      <sheetName val="MARÍA AMELIA"/>
      <sheetName val="PEDRO ALONSO"/>
      <sheetName val="VICTOR MANUEL"/>
      <sheetName val="JOSÉ LUIS CEJA"/>
      <sheetName val="LUIS ENRIQUE"/>
      <sheetName val="JOSÉ RICARDO"/>
      <sheetName val="JORGE ISAAC"/>
      <sheetName val="MARCO VINICIO"/>
      <sheetName val="JUAN JOSÉ"/>
      <sheetName val="ELISEO FLORES"/>
      <sheetName val="GABRIEL RANGEL"/>
      <sheetName val="ROBERTO CONTRERAS"/>
      <sheetName val="BOTELLO"/>
      <sheetName val="GERARDO  LOPEZ"/>
      <sheetName val="SENEN"/>
      <sheetName val="VALDES"/>
      <sheetName val="KARINA LOPEZ"/>
      <sheetName val="CONTRERAS"/>
      <sheetName val="MEDRANO"/>
      <sheetName val="ERNESTO"/>
      <sheetName val="EVE"/>
      <sheetName val="GABRIEL"/>
      <sheetName val="MAIDA"/>
      <sheetName val="ERIKA"/>
      <sheetName val="ADRIANA"/>
      <sheetName val="J. BENJAMIN (2)"/>
      <sheetName val="JAIR (2)"/>
      <sheetName val="PEDRO (2)"/>
      <sheetName val="JOSE VICTORIANO  (2)"/>
      <sheetName val="FEDERICO (2)"/>
      <sheetName val="ARACELI (2)"/>
      <sheetName val="ALEJANDRA (2)"/>
      <sheetName val="KIMBERLY (2)"/>
      <sheetName val="MARICHY (3)"/>
      <sheetName val="EMA (3)"/>
      <sheetName val="LILIANA G. (3)"/>
      <sheetName val="YESENIA. (3)"/>
      <sheetName val="ROBERTO (3)"/>
      <sheetName val="FRANCISCO (3)"/>
      <sheetName val="YERANIA (3)"/>
      <sheetName val="ALTAGRACIA (3)"/>
      <sheetName val="LILIANA (3)"/>
      <sheetName val="ANDRES (3)"/>
      <sheetName val="JULIAN (3)"/>
      <sheetName val="LUIS ALBERTO  (3)"/>
      <sheetName val="JOSE EMANUEL (3)"/>
      <sheetName val="KARINA ROBLES (3)"/>
      <sheetName val="JAIME MEDINA (3)"/>
      <sheetName val="JESUS JERONIMO (3)"/>
      <sheetName val="JUAN DANIEL (3)"/>
      <sheetName val="RIGOBERTO (3)"/>
      <sheetName val="ROCIO (3)"/>
      <sheetName val="FELICIANO (3)"/>
      <sheetName val="Efrain (3)"/>
      <sheetName val="José de Jesús (3)"/>
      <sheetName val="Claudia  (3)"/>
      <sheetName val="Esteban (3)"/>
      <sheetName val="Ana Gabriela (3)"/>
      <sheetName val="Armando  (2)"/>
      <sheetName val="Lic. María Vidal  (2)"/>
      <sheetName val="PARA MODIFICAR FECHAS"/>
      <sheetName val="M.V.Z. GILDARO SANCHEZ"/>
      <sheetName val="JUAN MANUEL"/>
      <sheetName val="MANUEL JESUS"/>
      <sheetName val="MARÍA VERONICA"/>
      <sheetName val="MARIA VICTORIA"/>
      <sheetName val="EDGAR"/>
      <sheetName val="SARAHI"/>
      <sheetName val="JOSÉ MANUEL"/>
      <sheetName val="FAUSTINO (2)"/>
      <sheetName val="MARÍA AMELIA (2)"/>
      <sheetName val="PEDRO ALONSO (2)"/>
      <sheetName val="VICTOR MANUEL (2)"/>
      <sheetName val="JOSÉ LUIS CEJA (2)"/>
      <sheetName val="LUIS ENRIQUE (2)"/>
      <sheetName val="JOSÉ RICARDO (2)"/>
      <sheetName val="JORGE ISAAC (2)"/>
      <sheetName val="MARCO VINICIO (2)"/>
      <sheetName val="JUAN JOSÉ (2)"/>
      <sheetName val="ELISEO FLORES (2)"/>
      <sheetName val="GABRIEL RANGEL (2)"/>
      <sheetName val="ROBERTO CONTRERAS (2)"/>
      <sheetName val="BOTELLO (2)"/>
      <sheetName val="GERARDO  LOPEZ (2)"/>
      <sheetName val="SENEN (2)"/>
      <sheetName val="VALDES (2)"/>
      <sheetName val="KARINA LOPEZ (2)"/>
      <sheetName val="CONTRERAS (2)"/>
      <sheetName val="MEDRANO (2)"/>
      <sheetName val="ERNESTO (2)"/>
      <sheetName val="EVE (2)"/>
      <sheetName val="GABRIEL (2)"/>
      <sheetName val="MAIDA (2)"/>
      <sheetName val="ERIKA (2)"/>
      <sheetName val="ADRIANA (2)"/>
      <sheetName val="J. BENJAMIN (3)"/>
      <sheetName val="JAIR (3)"/>
      <sheetName val="PEDRO (3)"/>
      <sheetName val="JOSE VICTORIANO  (3)"/>
      <sheetName val="FEDERICO (3)"/>
      <sheetName val="ARACELI (3)"/>
      <sheetName val="ALEJANDRA (3)"/>
      <sheetName val="KIMBERLY (3)"/>
      <sheetName val="MARICHY (4)"/>
      <sheetName val="EMA (4)"/>
      <sheetName val="LILIANA G. (4)"/>
      <sheetName val="YESENIA. (4)"/>
      <sheetName val="ROBERTO (4)"/>
      <sheetName val="FRANCISCO (4)"/>
      <sheetName val="YERANIA (4)"/>
      <sheetName val="ALTAGRACIA (4)"/>
      <sheetName val="LILIANA (4)"/>
      <sheetName val="ANDRES (4)"/>
      <sheetName val="JULIAN (4)"/>
      <sheetName val="LUIS ALBERTO  (4)"/>
      <sheetName val="JOSE EMANUEL (4)"/>
      <sheetName val="KARINA ROBLES (4)"/>
      <sheetName val="JAIME MEDINA (4)"/>
      <sheetName val="JESUS JERONIMO (4)"/>
      <sheetName val="JUAN DANIEL (4)"/>
      <sheetName val="RIGOBERTO (4)"/>
      <sheetName val="ROCIO (4)"/>
      <sheetName val="FELICIANO"/>
      <sheetName val="MODIFICA. DOCENTES"/>
      <sheetName val="Efrain (4)"/>
      <sheetName val="José de Jesús (4)"/>
      <sheetName val="Claudia  (4)"/>
      <sheetName val="Esteban (4)"/>
      <sheetName val="Ana Gabriela (4)"/>
      <sheetName val="Armando  (3)"/>
      <sheetName val="Lic. María Vidal  (3)"/>
      <sheetName val="PARA MODIFICAR FECHAS (2)"/>
      <sheetName val="M.V.Z. GILDARO SANCHEZ (2)"/>
      <sheetName val="HT-ADMINISTRATIVOS FIRMA "/>
      <sheetName val="HT-DOCENTE"/>
      <sheetName val="Admon prim vac"/>
      <sheetName val="DOCENTESprima vac"/>
      <sheetName val="Admon prim vac para imprimir"/>
      <sheetName val="DOC PV Firma"/>
      <sheetName val="HT-DOCENTE FIRMA"/>
      <sheetName val="HT-DOCENTE FIRMA estimulo "/>
      <sheetName val="Calculo ISR "/>
      <sheetName val="Calculo ISR  con prima. VAC."/>
      <sheetName val="descuentos"/>
      <sheetName val="DEL INTERINATO DE YERA"/>
      <sheetName val="Hoja2"/>
      <sheetName val="10 DIAS AGUINALDO"/>
      <sheetName val="DOCENTES AGUIN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>
        <row r="45">
          <cell r="O45">
            <v>26206.13</v>
          </cell>
        </row>
      </sheetData>
      <sheetData sheetId="141">
        <row r="15">
          <cell r="C15">
            <v>19.5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/>
      <sheetData sheetId="147" refreshError="1"/>
      <sheetData sheetId="148">
        <row r="34">
          <cell r="AZ34">
            <v>-27.27552</v>
          </cell>
          <cell r="BA34">
            <v>893.0953320000001</v>
          </cell>
          <cell r="BB34">
            <v>128.40987199999998</v>
          </cell>
          <cell r="BC34">
            <v>866.27464799999996</v>
          </cell>
          <cell r="BD34">
            <v>474.18068800000009</v>
          </cell>
          <cell r="BE34">
            <v>859.98092400000007</v>
          </cell>
          <cell r="BF34">
            <v>863.77232400000003</v>
          </cell>
          <cell r="BG34">
            <v>-165.65343999999999</v>
          </cell>
          <cell r="BH34">
            <v>771.86024400000008</v>
          </cell>
          <cell r="BJ34">
            <v>770.88836400000002</v>
          </cell>
          <cell r="BK34">
            <v>703.29464400000006</v>
          </cell>
          <cell r="BL34">
            <v>770.88836400000002</v>
          </cell>
          <cell r="BM34">
            <v>770.88836400000002</v>
          </cell>
          <cell r="BN34">
            <v>827.59382400000004</v>
          </cell>
          <cell r="BO34">
            <v>149.54427199999995</v>
          </cell>
          <cell r="BP34">
            <v>703.29464400000006</v>
          </cell>
          <cell r="BQ34">
            <v>635.7009240000001</v>
          </cell>
          <cell r="BR34">
            <v>601.90406400000006</v>
          </cell>
          <cell r="BS34">
            <v>184.45915199999999</v>
          </cell>
          <cell r="BT34">
            <v>132.32939199999996</v>
          </cell>
          <cell r="BU34">
            <v>77.649631999999968</v>
          </cell>
          <cell r="BV34">
            <v>115.11451199999996</v>
          </cell>
          <cell r="BW34">
            <v>449.76916800000004</v>
          </cell>
          <cell r="BX34">
            <v>-6.2098880000000065</v>
          </cell>
          <cell r="BY34">
            <v>-110.45383999999997</v>
          </cell>
          <cell r="BZ34">
            <v>-110.45383999999997</v>
          </cell>
          <cell r="CA34">
            <v>-110.45383999999997</v>
          </cell>
          <cell r="CB34">
            <v>-110.45383999999997</v>
          </cell>
          <cell r="CC34">
            <v>-110.45383999999997</v>
          </cell>
        </row>
      </sheetData>
      <sheetData sheetId="149" refreshError="1"/>
      <sheetData sheetId="150">
        <row r="6">
          <cell r="D6">
            <v>2046.8500000000001</v>
          </cell>
        </row>
        <row r="7">
          <cell r="D7">
            <v>0</v>
          </cell>
        </row>
      </sheetData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ERARDO"/>
      <sheetName val="MARIA CELI"/>
      <sheetName val="Maria del Rosario"/>
      <sheetName val="MIGUEL (2)"/>
      <sheetName val="CALCULO ISR-SUBS"/>
      <sheetName val="HT-ADMINISTRATIVOS"/>
      <sheetName val="FAUSTINO"/>
      <sheetName val="MARÍA AMELIA"/>
      <sheetName val="PEDRO ALONSO"/>
      <sheetName val="VICTOR MANUEL"/>
      <sheetName val="JOSÉ LUIS CEJA"/>
      <sheetName val="LUIS ENRIQUE"/>
      <sheetName val="JOSÉ RICARDO"/>
      <sheetName val="JORGE ISAAC"/>
      <sheetName val="MARCO VINICIO"/>
      <sheetName val="JUAN JOSÉ"/>
      <sheetName val="ELISEO FLORES"/>
      <sheetName val="GABRIEL RANGEL"/>
      <sheetName val="ROBERTO CONTRERAS"/>
      <sheetName val="BOTELLO"/>
      <sheetName val="GERARDO  LOPEZ"/>
      <sheetName val="SENEN"/>
      <sheetName val="VALDES"/>
      <sheetName val="KARINA LOPEZ"/>
      <sheetName val="CONTRERAS"/>
      <sheetName val="MEDRANO"/>
      <sheetName val="ERNESTO"/>
      <sheetName val="EVE"/>
      <sheetName val="GABRIEL"/>
      <sheetName val="MAIDA"/>
      <sheetName val="ERIKA"/>
      <sheetName val="ADRIANA"/>
      <sheetName val="J. BENJAMIN (2)"/>
      <sheetName val="JAIR (2)"/>
      <sheetName val="PEDRO (2)"/>
      <sheetName val="JOSE VICTORIANO  (2)"/>
      <sheetName val="FEDERICO (2)"/>
      <sheetName val="ARACELI (2)"/>
      <sheetName val="ALEJANDRA (2)"/>
      <sheetName val="KIMBERLY (2)"/>
      <sheetName val="MARICHY (3)"/>
      <sheetName val="EMA (3)"/>
      <sheetName val="LILIANA G. (3)"/>
      <sheetName val="YESENIA. (3)"/>
      <sheetName val="ROBERTO (3)"/>
      <sheetName val="FRANCISCO (3)"/>
      <sheetName val="YERANIA (3)"/>
      <sheetName val="ALTAGRACIA (3)"/>
      <sheetName val="LILIANA (3)"/>
      <sheetName val="ANDRES (3)"/>
      <sheetName val="JULIAN (3)"/>
      <sheetName val="LUIS ALBERTO  (3)"/>
      <sheetName val="JOSE EMANUEL (3)"/>
      <sheetName val="KARINA ROBLES (3)"/>
      <sheetName val="JAIME MEDINA (3)"/>
      <sheetName val="JESUS JERONIMO (3)"/>
      <sheetName val="JUAN DANIEL (3)"/>
      <sheetName val="RIGOBERTO (3)"/>
      <sheetName val="ROCIO (3)"/>
      <sheetName val="FELICIANO (3)"/>
      <sheetName val="Efrain (3)"/>
      <sheetName val="José de Jesús (3)"/>
      <sheetName val="Claudia  (3)"/>
      <sheetName val="Esteban (3)"/>
      <sheetName val="Ana Gabriela (3)"/>
      <sheetName val="Armando  (2)"/>
      <sheetName val="Lic. María Vidal  (2)"/>
      <sheetName val="PARA MODIFICAR FECHAS"/>
      <sheetName val="M.V.Z. GILDARO SANCHEZ"/>
      <sheetName val="JUAN MANUEL"/>
      <sheetName val="MANUEL JESUS"/>
      <sheetName val="MARÍA VERONICA"/>
      <sheetName val="MARIA VICTORIA"/>
      <sheetName val="EDGAR"/>
      <sheetName val="SARAHI"/>
      <sheetName val="JOSÉ MANUEL"/>
      <sheetName val="FAUSTINO (2)"/>
      <sheetName val="MARÍA AMELIA (2)"/>
      <sheetName val="PEDRO ALONSO (2)"/>
      <sheetName val="VICTOR MANUEL (2)"/>
      <sheetName val="JOSÉ LUIS CEJA (2)"/>
      <sheetName val="LUIS ENRIQUE (2)"/>
      <sheetName val="JOSÉ RICARDO (2)"/>
      <sheetName val="JORGE ISAAC (2)"/>
      <sheetName val="MARCO VINICIO (2)"/>
      <sheetName val="JUAN JOSÉ (2)"/>
      <sheetName val="ELISEO FLORES (2)"/>
      <sheetName val="GABRIEL RANGEL (2)"/>
      <sheetName val="ROBERTO CONTRERAS (2)"/>
      <sheetName val="BOTELLO (2)"/>
      <sheetName val="GERARDO  LOPEZ (2)"/>
      <sheetName val="SENEN (2)"/>
      <sheetName val="VALDES (2)"/>
      <sheetName val="KARINA LOPEZ (2)"/>
      <sheetName val="CONTRERAS (2)"/>
      <sheetName val="MEDRANO (2)"/>
      <sheetName val="ERNESTO (2)"/>
      <sheetName val="EVE (2)"/>
      <sheetName val="GABRIEL (2)"/>
      <sheetName val="MAIDA (2)"/>
      <sheetName val="ERIKA (2)"/>
      <sheetName val="ADRIANA (2)"/>
      <sheetName val="J. BENJAMIN (3)"/>
      <sheetName val="JAIR (3)"/>
      <sheetName val="PEDRO (3)"/>
      <sheetName val="JOSE VICTORIANO  (3)"/>
      <sheetName val="FEDERICO (3)"/>
      <sheetName val="ARACELI (3)"/>
      <sheetName val="ALEJANDRA (3)"/>
      <sheetName val="KIMBERLY (3)"/>
      <sheetName val="MARICHY (4)"/>
      <sheetName val="EMA (4)"/>
      <sheetName val="LILIANA G. (4)"/>
      <sheetName val="YESENIA. (4)"/>
      <sheetName val="ROBERTO (4)"/>
      <sheetName val="FRANCISCO (4)"/>
      <sheetName val="YERANIA (4)"/>
      <sheetName val="ALTAGRACIA (4)"/>
      <sheetName val="LILIANA (4)"/>
      <sheetName val="ANDRES (4)"/>
      <sheetName val="JULIAN (4)"/>
      <sheetName val="LUIS ALBERTO  (4)"/>
      <sheetName val="JOSE EMANUEL (4)"/>
      <sheetName val="KARINA ROBLES (4)"/>
      <sheetName val="JAIME MEDINA (4)"/>
      <sheetName val="JESUS JERONIMO (4)"/>
      <sheetName val="JUAN DANIEL (4)"/>
      <sheetName val="RIGOBERTO (4)"/>
      <sheetName val="ROCIO (4)"/>
      <sheetName val="FELICIANO"/>
      <sheetName val="MODIFICA. DOCENTES"/>
      <sheetName val="Efrain (4)"/>
      <sheetName val="José de Jesús (4)"/>
      <sheetName val="Claudia  (4)"/>
      <sheetName val="Esteban (4)"/>
      <sheetName val="Ana Gabriela (4)"/>
      <sheetName val="Armando  (3)"/>
      <sheetName val="Lic. María Vidal  (3)"/>
      <sheetName val="PARA MODIFICAR FECHAS (2)"/>
      <sheetName val="M.V.Z. GILDARO SANCHEZ (2)"/>
      <sheetName val="HT-ADMINISTRATIVOS FIRMA "/>
      <sheetName val="HT-DOCENTE"/>
      <sheetName val="Admon prim vac"/>
      <sheetName val="DOCENTESprima vac"/>
      <sheetName val="Admon prim vac para imprimir"/>
      <sheetName val="DOC PV Firma"/>
      <sheetName val="HT-DOCENTE FIRMA"/>
      <sheetName val="HT-DOCENTE FIRMA estimulo "/>
      <sheetName val="Calculo ISR "/>
      <sheetName val="Calculo ISR  con prima. VAC."/>
      <sheetName val="descuentos"/>
      <sheetName val="DEL INTERINATO DE YERA"/>
      <sheetName val="Hoja2"/>
      <sheetName val="10 DIAS AGUINALDO"/>
      <sheetName val="DOCENTES AGUIN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>
        <row r="45">
          <cell r="O45">
            <v>26206.81</v>
          </cell>
        </row>
      </sheetData>
      <sheetData sheetId="141">
        <row r="15">
          <cell r="C15">
            <v>19.5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/>
      <sheetData sheetId="147" refreshError="1"/>
      <sheetData sheetId="148">
        <row r="34">
          <cell r="AZ34">
            <v>-27.27552</v>
          </cell>
          <cell r="BA34">
            <v>893.0953320000001</v>
          </cell>
          <cell r="BB34">
            <v>128.40987199999998</v>
          </cell>
          <cell r="BC34">
            <v>866.27464799999996</v>
          </cell>
          <cell r="BD34">
            <v>474.18068800000009</v>
          </cell>
          <cell r="BE34">
            <v>859.98092400000007</v>
          </cell>
          <cell r="BF34">
            <v>863.77232400000003</v>
          </cell>
          <cell r="BG34">
            <v>-165.65343999999999</v>
          </cell>
          <cell r="BH34">
            <v>771.86024400000008</v>
          </cell>
          <cell r="BJ34">
            <v>770.88836400000002</v>
          </cell>
          <cell r="BK34">
            <v>703.29464400000006</v>
          </cell>
          <cell r="BL34">
            <v>770.88836400000002</v>
          </cell>
          <cell r="BM34">
            <v>770.88836400000002</v>
          </cell>
          <cell r="BN34">
            <v>827.59382400000004</v>
          </cell>
          <cell r="BO34">
            <v>149.54427199999995</v>
          </cell>
          <cell r="BP34">
            <v>703.29464400000006</v>
          </cell>
          <cell r="BQ34">
            <v>635.7009240000001</v>
          </cell>
          <cell r="BR34">
            <v>601.90406400000006</v>
          </cell>
          <cell r="BS34">
            <v>184.45915199999999</v>
          </cell>
          <cell r="BT34">
            <v>132.32939199999996</v>
          </cell>
          <cell r="BU34">
            <v>77.649631999999968</v>
          </cell>
          <cell r="BV34">
            <v>115.11451199999996</v>
          </cell>
          <cell r="BW34">
            <v>449.76916800000004</v>
          </cell>
          <cell r="BX34">
            <v>-6.2098880000000065</v>
          </cell>
          <cell r="BY34">
            <v>-110.45383999999997</v>
          </cell>
          <cell r="BZ34">
            <v>-110.45383999999997</v>
          </cell>
          <cell r="CA34">
            <v>-110.45383999999997</v>
          </cell>
          <cell r="CB34">
            <v>-110.45383999999997</v>
          </cell>
          <cell r="CC34">
            <v>-110.45383999999997</v>
          </cell>
        </row>
      </sheetData>
      <sheetData sheetId="149" refreshError="1"/>
      <sheetData sheetId="150">
        <row r="6">
          <cell r="D6">
            <v>2046.8500000000001</v>
          </cell>
        </row>
        <row r="7">
          <cell r="D7">
            <v>0</v>
          </cell>
        </row>
        <row r="9">
          <cell r="D9">
            <v>152.75</v>
          </cell>
        </row>
      </sheetData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ERARDO"/>
      <sheetName val="MARIA CELI"/>
      <sheetName val="Maria del Rosario"/>
      <sheetName val="MIGUEL (2)"/>
      <sheetName val="CALCULO ISR-SUBS"/>
      <sheetName val="HT-ADMINISTRATIVOS"/>
      <sheetName val="FAUSTINO"/>
      <sheetName val="MARÍA AMELIA"/>
      <sheetName val="PEDRO ALONSO"/>
      <sheetName val="VICTOR MANUEL"/>
      <sheetName val="JOSÉ LUIS CEJA"/>
      <sheetName val="LUIS ENRIQUE"/>
      <sheetName val="JOSÉ RICARDO"/>
      <sheetName val="JORGE ISAAC"/>
      <sheetName val="MARCO VINICIO"/>
      <sheetName val="JUAN JOSÉ"/>
      <sheetName val="ELISEO FLORES"/>
      <sheetName val="GABRIEL RANGEL"/>
      <sheetName val="ROBERTO CONTRERAS"/>
      <sheetName val="BOTELLO"/>
      <sheetName val="GERARDO  LOPEZ"/>
      <sheetName val="SENEN"/>
      <sheetName val="VALDES"/>
      <sheetName val="KARINA LOPEZ"/>
      <sheetName val="CONTRERAS"/>
      <sheetName val="MEDRANO"/>
      <sheetName val="ERNESTO"/>
      <sheetName val="EVE"/>
      <sheetName val="GABRIEL"/>
      <sheetName val="MAIDA"/>
      <sheetName val="ERIKA"/>
      <sheetName val="ADRIANA"/>
      <sheetName val="J. BENJAMIN (2)"/>
      <sheetName val="JAIR (2)"/>
      <sheetName val="PEDRO (2)"/>
      <sheetName val="JOSE VICTORIANO  (2)"/>
      <sheetName val="FEDERICO (2)"/>
      <sheetName val="ARACELI (2)"/>
      <sheetName val="ALEJANDRA (2)"/>
      <sheetName val="KIMBERLY (2)"/>
      <sheetName val="MARICHY (3)"/>
      <sheetName val="EMA (3)"/>
      <sheetName val="LILIANA G. (3)"/>
      <sheetName val="YESENIA. (3)"/>
      <sheetName val="ROBERTO (3)"/>
      <sheetName val="FRANCISCO (3)"/>
      <sheetName val="YERANIA (3)"/>
      <sheetName val="ALTAGRACIA (3)"/>
      <sheetName val="LILIANA (3)"/>
      <sheetName val="ANDRES (3)"/>
      <sheetName val="JULIAN (3)"/>
      <sheetName val="LUIS ALBERTO  (3)"/>
      <sheetName val="JOSE EMANUEL (3)"/>
      <sheetName val="KARINA ROBLES (3)"/>
      <sheetName val="JAIME MEDINA (3)"/>
      <sheetName val="JESUS JERONIMO (3)"/>
      <sheetName val="JUAN DANIEL (3)"/>
      <sheetName val="RIGOBERTO (3)"/>
      <sheetName val="ROCIO (3)"/>
      <sheetName val="FELICIANO (3)"/>
      <sheetName val="Efrain (3)"/>
      <sheetName val="José de Jesús (3)"/>
      <sheetName val="Claudia  (3)"/>
      <sheetName val="Esteban (3)"/>
      <sheetName val="Ana Gabriela (3)"/>
      <sheetName val="Armando  (2)"/>
      <sheetName val="Lic. María Vidal  (2)"/>
      <sheetName val="PARA MODIFICAR FECHAS"/>
      <sheetName val="M.V.Z. GILDARO SANCHEZ"/>
      <sheetName val="JUAN MANUEL"/>
      <sheetName val="MANUEL JESUS"/>
      <sheetName val="MARÍA VERONICA"/>
      <sheetName val="MARIA VICTORIA"/>
      <sheetName val="EDGAR"/>
      <sheetName val="SARAHI"/>
      <sheetName val="JOSÉ MANUEL"/>
      <sheetName val="FAUSTINO (2)"/>
      <sheetName val="MARÍA AMELIA (2)"/>
      <sheetName val="PEDRO ALONSO (2)"/>
      <sheetName val="VICTOR MANUEL (2)"/>
      <sheetName val="JOSÉ LUIS CEJA (2)"/>
      <sheetName val="LUIS ENRIQUE (2)"/>
      <sheetName val="JOSÉ RICARDO (2)"/>
      <sheetName val="JORGE ISAAC (2)"/>
      <sheetName val="MARCO VINICIO (2)"/>
      <sheetName val="JUAN JOSÉ (2)"/>
      <sheetName val="ELISEO FLORES (2)"/>
      <sheetName val="GABRIEL RANGEL (2)"/>
      <sheetName val="ROBERTO CONTRERAS (2)"/>
      <sheetName val="BOTELLO (2)"/>
      <sheetName val="GERARDO  LOPEZ (2)"/>
      <sheetName val="SENEN (2)"/>
      <sheetName val="VALDES (2)"/>
      <sheetName val="KARINA LOPEZ (2)"/>
      <sheetName val="CONTRERAS (2)"/>
      <sheetName val="MEDRANO (2)"/>
      <sheetName val="ERNESTO (2)"/>
      <sheetName val="EVE (2)"/>
      <sheetName val="GABRIEL (2)"/>
      <sheetName val="MAIDA (2)"/>
      <sheetName val="ERIKA (2)"/>
      <sheetName val="ADRIANA (2)"/>
      <sheetName val="J. BENJAMIN (3)"/>
      <sheetName val="JAIR (3)"/>
      <sheetName val="PEDRO (3)"/>
      <sheetName val="JOSE VICTORIANO  (3)"/>
      <sheetName val="FEDERICO (3)"/>
      <sheetName val="ARACELI (3)"/>
      <sheetName val="ALEJANDRA (3)"/>
      <sheetName val="KIMBERLY (3)"/>
      <sheetName val="MARICHY (4)"/>
      <sheetName val="EMA (4)"/>
      <sheetName val="LILIANA G. (4)"/>
      <sheetName val="YESENIA. (4)"/>
      <sheetName val="ROBERTO (4)"/>
      <sheetName val="FRANCISCO (4)"/>
      <sheetName val="YERANIA (4)"/>
      <sheetName val="ALTAGRACIA (4)"/>
      <sheetName val="LILIANA (4)"/>
      <sheetName val="ANDRES (4)"/>
      <sheetName val="JULIAN (4)"/>
      <sheetName val="LUIS ALBERTO  (4)"/>
      <sheetName val="JOSE EMANUEL (4)"/>
      <sheetName val="KARINA ROBLES (4)"/>
      <sheetName val="JAIME MEDINA (4)"/>
      <sheetName val="JESUS JERONIMO (4)"/>
      <sheetName val="JUAN DANIEL (4)"/>
      <sheetName val="RIGOBERTO (4)"/>
      <sheetName val="ROCIO (4)"/>
      <sheetName val="FELICIANO"/>
      <sheetName val="MODIFICA. DOCENTES"/>
      <sheetName val="Efrain (4)"/>
      <sheetName val="José de Jesús (4)"/>
      <sheetName val="Claudia  (4)"/>
      <sheetName val="Esteban (4)"/>
      <sheetName val="Ana Gabriela (4)"/>
      <sheetName val="Armando  (3)"/>
      <sheetName val="Lic. María Vidal  (3)"/>
      <sheetName val="PARA MODIFICAR FECHAS (2)"/>
      <sheetName val="M.V.Z. GILDARO SANCHEZ (2)"/>
      <sheetName val="HT-ADMINISTRATIVOS FIRMA "/>
      <sheetName val="HT-DOCENTE"/>
      <sheetName val="Admon prim vac"/>
      <sheetName val="DOCENTESprima vac"/>
      <sheetName val="Admon prim vac para imprimir"/>
      <sheetName val="DOC PV Firma"/>
      <sheetName val="HT-DOCENTE FIRMA"/>
      <sheetName val="HT-DOCENTE FIRMA estimulo "/>
      <sheetName val="Calculo ISR "/>
      <sheetName val="Calculo ISR  con prima. VAC."/>
      <sheetName val="descuentos"/>
      <sheetName val="DEL INTERINATO DE YERA"/>
      <sheetName val="Hoja2"/>
      <sheetName val="10 DIAS AGUINALDO"/>
      <sheetName val="DOCENTES AGUIN"/>
      <sheetName val="Hoja1"/>
      <sheetName val="Hoja3"/>
      <sheetName val="DOCENTE CALCULOS PRUEB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>
        <row r="46">
          <cell r="O46">
            <v>26206.81</v>
          </cell>
        </row>
      </sheetData>
      <sheetData sheetId="141">
        <row r="15">
          <cell r="C15">
            <v>19.5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/>
      <sheetData sheetId="147" refreshError="1"/>
      <sheetData sheetId="148">
        <row r="34">
          <cell r="BB34">
            <v>919.9160159999999</v>
          </cell>
          <cell r="BC34">
            <v>128.40987199999998</v>
          </cell>
          <cell r="BD34">
            <v>866.27464799999996</v>
          </cell>
          <cell r="BE34">
            <v>474.18068800000009</v>
          </cell>
          <cell r="BF34">
            <v>859.98092400000007</v>
          </cell>
          <cell r="BG34">
            <v>863.77232400000003</v>
          </cell>
          <cell r="BH34">
            <v>-165.65343999999999</v>
          </cell>
          <cell r="BI34">
            <v>771.86024400000008</v>
          </cell>
          <cell r="BK34">
            <v>770.88836400000002</v>
          </cell>
          <cell r="BL34">
            <v>703.29464400000006</v>
          </cell>
          <cell r="BM34">
            <v>770.88836400000002</v>
          </cell>
          <cell r="BN34">
            <v>770.88836400000002</v>
          </cell>
          <cell r="BO34">
            <v>827.59382400000004</v>
          </cell>
          <cell r="BP34">
            <v>149.54427199999995</v>
          </cell>
          <cell r="BQ34">
            <v>703.29464400000006</v>
          </cell>
          <cell r="BR34">
            <v>635.7009240000001</v>
          </cell>
          <cell r="BS34">
            <v>601.90406400000006</v>
          </cell>
          <cell r="BT34">
            <v>184.45915199999999</v>
          </cell>
          <cell r="BU34">
            <v>132.32939199999996</v>
          </cell>
          <cell r="BV34">
            <v>77.649631999999968</v>
          </cell>
          <cell r="BW34">
            <v>115.11451199999996</v>
          </cell>
          <cell r="BX34">
            <v>449.76916800000004</v>
          </cell>
          <cell r="BY34">
            <v>-6.2098880000000065</v>
          </cell>
          <cell r="BZ34">
            <v>-110.45383999999997</v>
          </cell>
          <cell r="CA34">
            <v>-110.45383999999997</v>
          </cell>
          <cell r="CB34">
            <v>-110.45383999999997</v>
          </cell>
          <cell r="CC34">
            <v>-110.45383999999997</v>
          </cell>
          <cell r="CD34">
            <v>11.00499199999993</v>
          </cell>
        </row>
      </sheetData>
      <sheetData sheetId="149" refreshError="1"/>
      <sheetData sheetId="150">
        <row r="7">
          <cell r="D7">
            <v>0</v>
          </cell>
        </row>
        <row r="9">
          <cell r="D9">
            <v>0</v>
          </cell>
        </row>
      </sheetData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ERARDO"/>
      <sheetName val="MARIA CELI"/>
      <sheetName val="Maria del Rosario"/>
      <sheetName val="MIGUEL (2)"/>
      <sheetName val="CALCULO ISR-SUBS"/>
      <sheetName val="HT-ADMINISTRATIVOS"/>
      <sheetName val="FAUSTINO"/>
      <sheetName val="MARÍA AMELIA"/>
      <sheetName val="PEDRO ALONSO"/>
      <sheetName val="VICTOR MANUEL"/>
      <sheetName val="JOSÉ LUIS CEJA"/>
      <sheetName val="LUIS ENRIQUE"/>
      <sheetName val="JOSÉ RICARDO"/>
      <sheetName val="JORGE ISAAC"/>
      <sheetName val="MARCO VINICIO"/>
      <sheetName val="JUAN JOSÉ"/>
      <sheetName val="ELISEO FLORES"/>
      <sheetName val="GABRIEL RANGEL"/>
      <sheetName val="ROBERTO CONTRERAS"/>
      <sheetName val="BOTELLO"/>
      <sheetName val="GERARDO  LOPEZ"/>
      <sheetName val="SENEN"/>
      <sheetName val="VALDES"/>
      <sheetName val="KARINA LOPEZ"/>
      <sheetName val="CONTRERAS"/>
      <sheetName val="MEDRANO"/>
      <sheetName val="ERNESTO"/>
      <sheetName val="EVE"/>
      <sheetName val="GABRIEL"/>
      <sheetName val="MAIDA"/>
      <sheetName val="ERIKA"/>
      <sheetName val="ADRIANA"/>
      <sheetName val="J. BENJAMIN (2)"/>
      <sheetName val="JAIR (2)"/>
      <sheetName val="PEDRO (2)"/>
      <sheetName val="JOSE VICTORIANO  (2)"/>
      <sheetName val="FEDERICO (2)"/>
      <sheetName val="ARACELI (2)"/>
      <sheetName val="ALEJANDRA (2)"/>
      <sheetName val="KIMBERLY (2)"/>
      <sheetName val="MARICHY (3)"/>
      <sheetName val="EMA (3)"/>
      <sheetName val="LILIANA G. (3)"/>
      <sheetName val="YESENIA. (3)"/>
      <sheetName val="ROBERTO (3)"/>
      <sheetName val="FRANCISCO (3)"/>
      <sheetName val="YERANIA (3)"/>
      <sheetName val="ALTAGRACIA (3)"/>
      <sheetName val="LILIANA (3)"/>
      <sheetName val="ANDRES (3)"/>
      <sheetName val="JULIAN (3)"/>
      <sheetName val="LUIS ALBERTO  (3)"/>
      <sheetName val="JOSE EMANUEL (3)"/>
      <sheetName val="KARINA ROBLES (3)"/>
      <sheetName val="JAIME MEDINA (3)"/>
      <sheetName val="JESUS JERONIMO (3)"/>
      <sheetName val="JUAN DANIEL (3)"/>
      <sheetName val="RIGOBERTO (3)"/>
      <sheetName val="ROCIO (3)"/>
      <sheetName val="FELICIANO (3)"/>
      <sheetName val="Efrain (3)"/>
      <sheetName val="José de Jesús (3)"/>
      <sheetName val="Claudia  (3)"/>
      <sheetName val="Esteban (3)"/>
      <sheetName val="Ana Gabriela (3)"/>
      <sheetName val="Armando  (2)"/>
      <sheetName val="Lic. María Vidal  (2)"/>
      <sheetName val="PARA MODIFICAR FECHAS"/>
      <sheetName val="M.V.Z. GILDARO SANCHEZ"/>
      <sheetName val="HT-PTC FIRMAS (2)"/>
      <sheetName val="JUAN MANUEL"/>
      <sheetName val="MANUEL JESUS"/>
      <sheetName val="MARÍA VERONICA"/>
      <sheetName val="MARIA VICTORIA"/>
      <sheetName val="EDGAR"/>
      <sheetName val="SARAHI"/>
      <sheetName val="JOSÉ MANUEL"/>
      <sheetName val="FAUSTINO (2)"/>
      <sheetName val="MARÍA AMELIA (2)"/>
      <sheetName val="PEDRO ALONSO (2)"/>
      <sheetName val="VICTOR MANUEL (2)"/>
      <sheetName val="JOSÉ LUIS CEJA (2)"/>
      <sheetName val="LUIS ENRIQUE (2)"/>
      <sheetName val="JOSÉ RICARDO (2)"/>
      <sheetName val="JORGE ISAAC (2)"/>
      <sheetName val="MARCO VINICIO (2)"/>
      <sheetName val="JUAN JOSÉ (2)"/>
      <sheetName val="ELISEO FLORES (2)"/>
      <sheetName val="GABRIEL RANGEL (2)"/>
      <sheetName val="ROBERTO CONTRERAS (2)"/>
      <sheetName val="BOTELLO (2)"/>
      <sheetName val="GERARDO  LOPEZ (2)"/>
      <sheetName val="SENEN (2)"/>
      <sheetName val="VALDES (2)"/>
      <sheetName val="KARINA LOPEZ (2)"/>
      <sheetName val="CONTRERAS (2)"/>
      <sheetName val="MEDRANO (2)"/>
      <sheetName val="ERNESTO (2)"/>
      <sheetName val="EVE (2)"/>
      <sheetName val="GABRIEL (2)"/>
      <sheetName val="MAIDA (2)"/>
      <sheetName val="ERIKA (2)"/>
      <sheetName val="ADRIANA (2)"/>
      <sheetName val="J. BENJAMIN (3)"/>
      <sheetName val="JAIR (3)"/>
      <sheetName val="PEDRO (3)"/>
      <sheetName val="JOSE VICTORIANO  (3)"/>
      <sheetName val="FEDERICO (3)"/>
      <sheetName val="ARACELI (3)"/>
      <sheetName val="ALEJANDRA (3)"/>
      <sheetName val="KIMBERLY (3)"/>
      <sheetName val="MARICHY (4)"/>
      <sheetName val="EMA (4)"/>
      <sheetName val="LILIANA G. (4)"/>
      <sheetName val="YESENIA. (4)"/>
      <sheetName val="ROBERTO (4)"/>
      <sheetName val="FRANCISCO (4)"/>
      <sheetName val="YERANIA (4)"/>
      <sheetName val="ALTAGRACIA (4)"/>
      <sheetName val="LILIANA (4)"/>
      <sheetName val="ANDRES (4)"/>
      <sheetName val="JULIAN (4)"/>
      <sheetName val="LUIS ALBERTO  (4)"/>
      <sheetName val="JOSE EMANUEL (4)"/>
      <sheetName val="KARINA ROBLES (4)"/>
      <sheetName val="JAIME MEDINA (4)"/>
      <sheetName val="JESUS JERONIMO (4)"/>
      <sheetName val="JUAN DANIEL (4)"/>
      <sheetName val="RIGOBERTO (4)"/>
      <sheetName val="ROCIO (4)"/>
      <sheetName val="FELICIANO"/>
      <sheetName val="MODIFICA. DOCENTES"/>
      <sheetName val="Efrain (4)"/>
      <sheetName val="José de Jesús (4)"/>
      <sheetName val="Claudia  (4)"/>
      <sheetName val="Esteban (4)"/>
      <sheetName val="Ana Gabriela (4)"/>
      <sheetName val="Armando  (3)"/>
      <sheetName val="Lic. María Vidal  (3)"/>
      <sheetName val="PARA MODIFICAR FECHAS (2)"/>
      <sheetName val="M.V.Z. GILDARO SANCHEZ (2)"/>
      <sheetName val="HT-ADMINISTRATIVOS FIRMA "/>
      <sheetName val="HT-DOCENTE"/>
      <sheetName val="Admon prim vac"/>
      <sheetName val="DOCENTESprima vac"/>
      <sheetName val="Admon prim vac para imprimir"/>
      <sheetName val="DOC PV Firma"/>
      <sheetName val="HT-DOCENTE FIRMA"/>
      <sheetName val="HT-DOCENTE FIRMA estimulo "/>
      <sheetName val="HT-PTC FIRMAS"/>
      <sheetName val="Calculo ISR "/>
      <sheetName val="Calculo ISR  con prima. VAC."/>
      <sheetName val="descuentos"/>
      <sheetName val="DEL INTERINATO DE YERA"/>
      <sheetName val="Hoja2"/>
      <sheetName val="10 DIAS AGUINALDO"/>
      <sheetName val="DOCENTES AGUIN"/>
      <sheetName val="Hoja1"/>
      <sheetName val="Hoja3"/>
      <sheetName val="DOCENTE CALCULOS PRUEB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>
        <row r="45">
          <cell r="O45">
            <v>22533.81</v>
          </cell>
        </row>
      </sheetData>
      <sheetData sheetId="142"/>
      <sheetData sheetId="143" refreshError="1"/>
      <sheetData sheetId="144" refreshError="1"/>
      <sheetData sheetId="145" refreshError="1"/>
      <sheetData sheetId="146" refreshError="1"/>
      <sheetData sheetId="147"/>
      <sheetData sheetId="148" refreshError="1"/>
      <sheetData sheetId="149" refreshError="1"/>
      <sheetData sheetId="150">
        <row r="34">
          <cell r="BC34">
            <v>128.40987199999998</v>
          </cell>
          <cell r="BD34">
            <v>866.27464799999996</v>
          </cell>
          <cell r="BE34">
            <v>534.8846880000001</v>
          </cell>
          <cell r="BF34">
            <v>896.15942400000017</v>
          </cell>
          <cell r="BG34">
            <v>791.41532400000006</v>
          </cell>
          <cell r="BH34">
            <v>-165.65343999999999</v>
          </cell>
          <cell r="BI34">
            <v>670.46966399999997</v>
          </cell>
          <cell r="BK34">
            <v>669.49778400000014</v>
          </cell>
          <cell r="BL34">
            <v>738.06338400000016</v>
          </cell>
          <cell r="BM34">
            <v>839.45396400000004</v>
          </cell>
          <cell r="BN34">
            <v>704.26652400000012</v>
          </cell>
          <cell r="BO34">
            <v>896.15942400000017</v>
          </cell>
          <cell r="BP34">
            <v>149.54427199999995</v>
          </cell>
          <cell r="BQ34">
            <v>534.83092799999986</v>
          </cell>
          <cell r="BR34">
            <v>669.49778400000014</v>
          </cell>
          <cell r="BS34">
            <v>635.7009240000001</v>
          </cell>
          <cell r="BT34">
            <v>115.11451199999996</v>
          </cell>
          <cell r="BU34">
            <v>132.32939199999996</v>
          </cell>
          <cell r="BV34">
            <v>-37.824768000000006</v>
          </cell>
          <cell r="BW34">
            <v>-6.2098880000000065</v>
          </cell>
          <cell r="BX34">
            <v>132.32939199999996</v>
          </cell>
          <cell r="BY34">
            <v>421.41524800000013</v>
          </cell>
        </row>
      </sheetData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ERARDO"/>
      <sheetName val="MARIA CELI"/>
      <sheetName val="Maria del Rosario"/>
      <sheetName val="MIGUEL (2)"/>
      <sheetName val="CALCULO ISR-SUBS"/>
      <sheetName val="HT-ADMINISTRATIVOS"/>
      <sheetName val="FAUSTINO"/>
      <sheetName val="MARÍA AMELIA"/>
      <sheetName val="PEDRO ALONSO"/>
      <sheetName val="VICTOR MANUEL"/>
      <sheetName val="JOSÉ LUIS CEJA"/>
      <sheetName val="LUIS ENRIQUE"/>
      <sheetName val="JOSÉ RICARDO"/>
      <sheetName val="JORGE ISAAC"/>
      <sheetName val="MARCO VINICIO"/>
      <sheetName val="JUAN JOSÉ"/>
      <sheetName val="ELISEO FLORES"/>
      <sheetName val="GABRIEL RANGEL"/>
      <sheetName val="ROBERTO CONTRERAS"/>
      <sheetName val="BOTELLO"/>
      <sheetName val="GERARDO  LOPEZ"/>
      <sheetName val="SENEN"/>
      <sheetName val="VALDES"/>
      <sheetName val="KARINA LOPEZ"/>
      <sheetName val="CONTRERAS"/>
      <sheetName val="MEDRANO"/>
      <sheetName val="ERNESTO"/>
      <sheetName val="EVE"/>
      <sheetName val="GABRIEL"/>
      <sheetName val="MAIDA"/>
      <sheetName val="ERIKA"/>
      <sheetName val="ADRIANA"/>
      <sheetName val="J. BENJAMIN (2)"/>
      <sheetName val="JAIR (2)"/>
      <sheetName val="PEDRO (2)"/>
      <sheetName val="JOSE VICTORIANO  (2)"/>
      <sheetName val="FEDERICO (2)"/>
      <sheetName val="ARACELI (2)"/>
      <sheetName val="ALEJANDRA (2)"/>
      <sheetName val="KIMBERLY (2)"/>
      <sheetName val="MARICHY (3)"/>
      <sheetName val="EMA (3)"/>
      <sheetName val="LILIANA G. (3)"/>
      <sheetName val="YESENIA. (3)"/>
      <sheetName val="ROBERTO (3)"/>
      <sheetName val="FRANCISCO (3)"/>
      <sheetName val="YERANIA (3)"/>
      <sheetName val="ALTAGRACIA (3)"/>
      <sheetName val="LILIANA (3)"/>
      <sheetName val="ANDRES (3)"/>
      <sheetName val="JULIAN (3)"/>
      <sheetName val="LUIS ALBERTO  (3)"/>
      <sheetName val="JOSE EMANUEL (3)"/>
      <sheetName val="KARINA ROBLES (3)"/>
      <sheetName val="JAIME MEDINA (3)"/>
      <sheetName val="JESUS JERONIMO (3)"/>
      <sheetName val="JUAN DANIEL (3)"/>
      <sheetName val="RIGOBERTO (3)"/>
      <sheetName val="ROCIO (3)"/>
      <sheetName val="FELICIANO (3)"/>
      <sheetName val="Efrain (3)"/>
      <sheetName val="José de Jesús (3)"/>
      <sheetName val="Claudia  (3)"/>
      <sheetName val="Esteban (3)"/>
      <sheetName val="Ana Gabriela (3)"/>
      <sheetName val="Armando  (2)"/>
      <sheetName val="Lic. María Vidal  (2)"/>
      <sheetName val="PARA MODIFICAR FECHAS"/>
      <sheetName val="M.V.Z. GILDARO SANCHEZ"/>
      <sheetName val="HT-PTC FIRMAS (2)"/>
      <sheetName val="JUAN MANUEL"/>
      <sheetName val="MANUEL JESUS"/>
      <sheetName val="MARÍA VERONICA"/>
      <sheetName val="MARIA VICTORIA"/>
      <sheetName val="EDGAR"/>
      <sheetName val="SARAHI"/>
      <sheetName val="JOSÉ MANUEL"/>
      <sheetName val="FAUSTINO (2)"/>
      <sheetName val="MARÍA AMELIA (2)"/>
      <sheetName val="PEDRO ALONSO (2)"/>
      <sheetName val="VICTOR MANUEL (2)"/>
      <sheetName val="JOSÉ LUIS CEJA (2)"/>
      <sheetName val="LUIS ENRIQUE (2)"/>
      <sheetName val="JOSÉ RICARDO (2)"/>
      <sheetName val="JORGE ISAAC (2)"/>
      <sheetName val="MARCO VINICIO (2)"/>
      <sheetName val="JUAN JOSÉ (2)"/>
      <sheetName val="ELISEO FLORES (2)"/>
      <sheetName val="GABRIEL RANGEL (2)"/>
      <sheetName val="ROBERTO CONTRERAS (2)"/>
      <sheetName val="BOTELLO (2)"/>
      <sheetName val="GERARDO  LOPEZ (2)"/>
      <sheetName val="SENEN (2)"/>
      <sheetName val="VALDES (2)"/>
      <sheetName val="KARINA LOPEZ (2)"/>
      <sheetName val="CONTRERAS (2)"/>
      <sheetName val="MEDRANO (2)"/>
      <sheetName val="ERNESTO (2)"/>
      <sheetName val="EVE (2)"/>
      <sheetName val="GABRIEL (2)"/>
      <sheetName val="MAIDA (2)"/>
      <sheetName val="ERIKA (2)"/>
      <sheetName val="ADRIANA (2)"/>
      <sheetName val="J. BENJAMIN (3)"/>
      <sheetName val="JAIR (3)"/>
      <sheetName val="PEDRO (3)"/>
      <sheetName val="JOSE VICTORIANO  (3)"/>
      <sheetName val="FEDERICO (3)"/>
      <sheetName val="ARACELI (3)"/>
      <sheetName val="ALEJANDRA (3)"/>
      <sheetName val="KIMBERLY (3)"/>
      <sheetName val="MARICHY (4)"/>
      <sheetName val="EMA (4)"/>
      <sheetName val="LILIANA G. (4)"/>
      <sheetName val="YESENIA. (4)"/>
      <sheetName val="ROBERTO (4)"/>
      <sheetName val="FRANCISCO (4)"/>
      <sheetName val="YERANIA (4)"/>
      <sheetName val="ALTAGRACIA (4)"/>
      <sheetName val="LILIANA (4)"/>
      <sheetName val="ANDRES (4)"/>
      <sheetName val="JULIAN (4)"/>
      <sheetName val="LUIS ALBERTO  (4)"/>
      <sheetName val="JOSE EMANUEL (4)"/>
      <sheetName val="KARINA ROBLES (4)"/>
      <sheetName val="JAIME MEDINA (4)"/>
      <sheetName val="JESUS JERONIMO (4)"/>
      <sheetName val="JUAN DANIEL (4)"/>
      <sheetName val="RIGOBERTO (4)"/>
      <sheetName val="ROCIO (4)"/>
      <sheetName val="FELICIANO"/>
      <sheetName val="MODIFICA. DOCENTES"/>
      <sheetName val="Efrain (4)"/>
      <sheetName val="José de Jesús (4)"/>
      <sheetName val="Claudia  (4)"/>
      <sheetName val="Esteban (4)"/>
      <sheetName val="Ana Gabriela (4)"/>
      <sheetName val="Armando  (3)"/>
      <sheetName val="Lic. María Vidal  (3)"/>
      <sheetName val="PARA MODIFICAR FECHAS (2)"/>
      <sheetName val="M.V.Z. GILDARO SANCHEZ (2)"/>
      <sheetName val="HT-ADMINISTRATIVOS FIRMA "/>
      <sheetName val="HT-DOCENTE"/>
      <sheetName val="Admon prim vac"/>
      <sheetName val="DOCENTESprima vac"/>
      <sheetName val="Admon prim vac para imprimir"/>
      <sheetName val="DOC PV Firma"/>
      <sheetName val="HT-DOCENTE FIRMA"/>
      <sheetName val="HT-DOCENTE FIRMA estimulo "/>
      <sheetName val="HT-PTC FIRMAS"/>
      <sheetName val="Calculo ISR "/>
      <sheetName val="Calculo ISR  con prima. VAC."/>
      <sheetName val="E"/>
      <sheetName val="E."/>
      <sheetName val="E.."/>
      <sheetName val="descuentos"/>
      <sheetName val="DEL INTERINATO DE YERA"/>
      <sheetName val="Hoja2"/>
      <sheetName val="10 DIAS AGUINALDO"/>
      <sheetName val="DOCENTES AGUIN"/>
      <sheetName val="Hoja1"/>
      <sheetName val="IMPACTO PTC"/>
      <sheetName val="calculo IMPCAT.ADMVO"/>
      <sheetName val="CALCULO IMPAC. DOCENTES.VIEJAA"/>
      <sheetName val="CALCULO IMPAC. DOCENTES.NUEVAAA"/>
      <sheetName val="PV. INCREMETADA DOCENTES"/>
      <sheetName val="DOCENTE CALCULOS PRUEB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>
        <row r="45">
          <cell r="R45">
            <v>22533.81</v>
          </cell>
        </row>
      </sheetData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>
        <row r="34">
          <cell r="BC34">
            <v>2059.1278329863012</v>
          </cell>
          <cell r="BD34">
            <v>611.71915956164389</v>
          </cell>
          <cell r="BE34">
            <v>1779.1739028821917</v>
          </cell>
          <cell r="BF34">
            <v>1212.9023286575343</v>
          </cell>
          <cell r="BG34">
            <v>1764.2793731506852</v>
          </cell>
          <cell r="BH34">
            <v>1427.6042559452053</v>
          </cell>
          <cell r="BI34">
            <v>-124.91520547945203</v>
          </cell>
          <cell r="BJ34">
            <v>1518.5830356164383</v>
          </cell>
          <cell r="BL34">
            <v>1263.5158727671233</v>
          </cell>
          <cell r="BM34">
            <v>1348.2682855890412</v>
          </cell>
          <cell r="BN34">
            <v>1623.8108079452054</v>
          </cell>
          <cell r="BO34">
            <v>1412.6949759452052</v>
          </cell>
          <cell r="BP34">
            <v>1525.0114007671234</v>
          </cell>
          <cell r="BQ34">
            <v>557.72494191780811</v>
          </cell>
          <cell r="BR34">
            <v>1130.983685589041</v>
          </cell>
          <cell r="BS34">
            <v>1246.6463592328764</v>
          </cell>
          <cell r="BT34">
            <v>1196.4238640547946</v>
          </cell>
          <cell r="BU34">
            <v>505.95606378082192</v>
          </cell>
          <cell r="BV34">
            <v>629.19463873972597</v>
          </cell>
          <cell r="BW34">
            <v>136.19947506849311</v>
          </cell>
          <cell r="BX34">
            <v>392.04182728767114</v>
          </cell>
          <cell r="BY34">
            <v>1079.2084354520548</v>
          </cell>
          <cell r="BZ34">
            <v>996.20231967123277</v>
          </cell>
          <cell r="CA34">
            <v>-118.06024000000001</v>
          </cell>
          <cell r="CB34">
            <v>-128.04424</v>
          </cell>
          <cell r="CC34">
            <v>-128.04424</v>
          </cell>
          <cell r="CD34">
            <v>126.42971199999997</v>
          </cell>
          <cell r="CE34">
            <v>-107.12583999999998</v>
          </cell>
          <cell r="CF34">
            <v>673.88726399999996</v>
          </cell>
          <cell r="CJ34">
            <v>592.48216800000012</v>
          </cell>
        </row>
      </sheetData>
      <sheetData sheetId="151" refreshError="1"/>
      <sheetData sheetId="152" refreshError="1"/>
      <sheetData sheetId="153" refreshError="1"/>
      <sheetData sheetId="154" refreshError="1"/>
      <sheetData sheetId="155" refreshError="1">
        <row r="10">
          <cell r="D10">
            <v>305.5</v>
          </cell>
        </row>
        <row r="11">
          <cell r="D11">
            <v>305.5</v>
          </cell>
        </row>
        <row r="12">
          <cell r="D12">
            <v>305.5</v>
          </cell>
        </row>
      </sheetData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ERARDO"/>
      <sheetName val="MARIA CELI"/>
      <sheetName val="Maria del Rosario"/>
      <sheetName val="MIGUEL (2)"/>
      <sheetName val="CALCULO ISR-SUBS"/>
      <sheetName val="HT-ADMINISTRATIVOS"/>
      <sheetName val="FAUSTINO"/>
      <sheetName val="MARÍA AMELIA"/>
      <sheetName val="PEDRO ALONSO"/>
      <sheetName val="VICTOR MANUEL"/>
      <sheetName val="JOSÉ LUIS CEJA"/>
      <sheetName val="LUIS ENRIQUE"/>
      <sheetName val="JOSÉ RICARDO"/>
      <sheetName val="JORGE ISAAC"/>
      <sheetName val="MARCO VINICIO"/>
      <sheetName val="JUAN JOSÉ"/>
      <sheetName val="ELISEO FLORES"/>
      <sheetName val="GABRIEL RANGEL"/>
      <sheetName val="ROBERTO CONTRERAS"/>
      <sheetName val="BOTELLO"/>
      <sheetName val="GERARDO  LOPEZ"/>
      <sheetName val="SENEN"/>
      <sheetName val="VALDES"/>
      <sheetName val="KARINA LOPEZ"/>
      <sheetName val="CONTRERAS"/>
      <sheetName val="MEDRANO"/>
      <sheetName val="ERNESTO"/>
      <sheetName val="EVE"/>
      <sheetName val="GABRIEL"/>
      <sheetName val="MAIDA"/>
      <sheetName val="ERIKA"/>
      <sheetName val="ADRIANA"/>
      <sheetName val="J. BENJAMIN (2)"/>
      <sheetName val="JAIR (2)"/>
      <sheetName val="PEDRO (2)"/>
      <sheetName val="JOSE VICTORIANO  (2)"/>
      <sheetName val="FEDERICO (2)"/>
      <sheetName val="ARACELI (2)"/>
      <sheetName val="ALEJANDRA (2)"/>
      <sheetName val="KIMBERLY (2)"/>
      <sheetName val="MARICHY (3)"/>
      <sheetName val="EMA (3)"/>
      <sheetName val="LILIANA G. (3)"/>
      <sheetName val="YESENIA. (3)"/>
      <sheetName val="ROBERTO (3)"/>
      <sheetName val="FRANCISCO (3)"/>
      <sheetName val="YERANIA (3)"/>
      <sheetName val="ALTAGRACIA (3)"/>
      <sheetName val="LILIANA (3)"/>
      <sheetName val="ANDRES (3)"/>
      <sheetName val="JULIAN (3)"/>
      <sheetName val="LUIS ALBERTO  (3)"/>
      <sheetName val="JOSE EMANUEL (3)"/>
      <sheetName val="KARINA ROBLES (3)"/>
      <sheetName val="JAIME MEDINA (3)"/>
      <sheetName val="JESUS JERONIMO (3)"/>
      <sheetName val="JUAN DANIEL (3)"/>
      <sheetName val="RIGOBERTO (3)"/>
      <sheetName val="ROCIO (3)"/>
      <sheetName val="FELICIANO (3)"/>
      <sheetName val="Efrain (3)"/>
      <sheetName val="José de Jesús (3)"/>
      <sheetName val="Claudia  (3)"/>
      <sheetName val="Esteban (3)"/>
      <sheetName val="Ana Gabriela (3)"/>
      <sheetName val="Armando  (2)"/>
      <sheetName val="Lic. María Vidal  (2)"/>
      <sheetName val="PARA MODIFICAR FECHAS"/>
      <sheetName val="M.V.Z. GILDARO SANCHEZ"/>
      <sheetName val="HT-PTC FIRMAS (2)"/>
      <sheetName val="JUAN MANUEL"/>
      <sheetName val="MANUEL JESUS"/>
      <sheetName val="MARÍA VERONICA"/>
      <sheetName val="MARIA VICTORIA"/>
      <sheetName val="EDGAR"/>
      <sheetName val="SARAHI"/>
      <sheetName val="JOSÉ MANUEL"/>
      <sheetName val="FAUSTINO (2)"/>
      <sheetName val="MARÍA AMELIA (2)"/>
      <sheetName val="PEDRO ALONSO (2)"/>
      <sheetName val="VICTOR MANUEL (2)"/>
      <sheetName val="JOSÉ LUIS CEJA (2)"/>
      <sheetName val="LUIS ENRIQUE (2)"/>
      <sheetName val="JOSÉ RICARDO (2)"/>
      <sheetName val="JORGE ISAAC (2)"/>
      <sheetName val="MARCO VINICIO (2)"/>
      <sheetName val="JUAN JOSÉ (2)"/>
      <sheetName val="ELISEO FLORES (2)"/>
      <sheetName val="GABRIEL RANGEL (2)"/>
      <sheetName val="ROBERTO CONTRERAS (2)"/>
      <sheetName val="BOTELLO (2)"/>
      <sheetName val="GERARDO  LOPEZ (2)"/>
      <sheetName val="SENEN (2)"/>
      <sheetName val="VALDES (2)"/>
      <sheetName val="KARINA LOPEZ (2)"/>
      <sheetName val="CONTRERAS (2)"/>
      <sheetName val="MEDRANO (2)"/>
      <sheetName val="ERNESTO (2)"/>
      <sheetName val="EVE (2)"/>
      <sheetName val="GABRIEL (2)"/>
      <sheetName val="MAIDA (2)"/>
      <sheetName val="ERIKA (2)"/>
      <sheetName val="ADRIANA (2)"/>
      <sheetName val="J. BENJAMIN (3)"/>
      <sheetName val="JAIR (3)"/>
      <sheetName val="PEDRO (3)"/>
      <sheetName val="JOSE VICTORIANO  (3)"/>
      <sheetName val="FEDERICO (3)"/>
      <sheetName val="ARACELI (3)"/>
      <sheetName val="ALEJANDRA (3)"/>
      <sheetName val="KIMBERLY (3)"/>
      <sheetName val="MARICHY (4)"/>
      <sheetName val="EMA (5)"/>
      <sheetName val="EMA (4)"/>
      <sheetName val="LILIANA G. (4)"/>
      <sheetName val="YESENIA. (4)"/>
      <sheetName val="ROBERTO (4)"/>
      <sheetName val="FRANCISCO (4)"/>
      <sheetName val="YERANIA (4)"/>
      <sheetName val="ALTAGRACIA (4)"/>
      <sheetName val="LILIANA (5)"/>
      <sheetName val="LILIANA (4)"/>
      <sheetName val="ANDRES (4)"/>
      <sheetName val="JULIAN (4)"/>
      <sheetName val="LUIS ALBERTO  (4)"/>
      <sheetName val="JOSE EMANUEL (4)"/>
      <sheetName val="KARINA ROBLES (4)"/>
      <sheetName val="JAIME MEDINA (4)"/>
      <sheetName val="JESUS JERONIMO (4)"/>
      <sheetName val="JUAN DANIEL (4)"/>
      <sheetName val="RIGOBERTO (4)"/>
      <sheetName val="ROCIO (4)"/>
      <sheetName val="FELICIANO"/>
      <sheetName val="MODIFICA. DOCENTES"/>
      <sheetName val="Efrain (4)"/>
      <sheetName val="José de Jesús (4)"/>
      <sheetName val="Claudia  (4)"/>
      <sheetName val="Esteban (4)"/>
      <sheetName val="Ana Gabriela (4)"/>
      <sheetName val="Armando  (4)"/>
      <sheetName val="Armando  (3)"/>
      <sheetName val="Lic. María Vidal  (3)"/>
      <sheetName val="PARA MODIFICAR FECHAS (2)"/>
      <sheetName val="M.V.Z. GILDARO SANCHEZ (2)"/>
      <sheetName val="HT-ADMINISTRATIVOS FIRMA "/>
      <sheetName val="HT-DOCENTE"/>
      <sheetName val="Admon prim vac"/>
      <sheetName val="DOCENTESprima vac"/>
      <sheetName val="Admon prim vac para imprimir"/>
      <sheetName val="DOC PV Firma"/>
      <sheetName val="HT-DOCENTE FIRMA"/>
      <sheetName val="HT-DOCENTE FIRMA estimulo "/>
      <sheetName val="HT-PTC FIRMAS "/>
      <sheetName val="Calculo ISR "/>
      <sheetName val="Calculo ISR  con prima. VAC."/>
      <sheetName val="descuentos"/>
      <sheetName val="DEL INTERINATO DE YERA"/>
      <sheetName val="Hoja2"/>
      <sheetName val="10 DIAS AGUINALDO"/>
      <sheetName val="DOCENTES AGUIN"/>
      <sheetName val="Hoja1"/>
      <sheetName val="Hoja3"/>
      <sheetName val="DOCENTE CALCULOS PRUEB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>
        <row r="34">
          <cell r="BE34">
            <v>140.17767999999998</v>
          </cell>
          <cell r="BF34">
            <v>912.82844759999989</v>
          </cell>
          <cell r="BG34">
            <v>588.10860120000018</v>
          </cell>
          <cell r="BH34">
            <v>940.68968400000017</v>
          </cell>
          <cell r="BI34">
            <v>832.51196400000003</v>
          </cell>
          <cell r="BJ34">
            <v>-152.28583999999998</v>
          </cell>
          <cell r="BK34">
            <v>710.55704399999991</v>
          </cell>
          <cell r="BM34">
            <v>709.4837040000001</v>
          </cell>
          <cell r="BN34">
            <v>780.37220400000012</v>
          </cell>
          <cell r="BO34">
            <v>885.09494399999994</v>
          </cell>
          <cell r="BP34">
            <v>815.27978399999995</v>
          </cell>
          <cell r="BQ34">
            <v>940.68968400000017</v>
          </cell>
          <cell r="BR34">
            <v>179.69099199999991</v>
          </cell>
          <cell r="BS34">
            <v>569.85338399999978</v>
          </cell>
          <cell r="BT34">
            <v>709.4837040000001</v>
          </cell>
          <cell r="BU34">
            <v>674.57612400000005</v>
          </cell>
          <cell r="BV34">
            <v>126.42971199999997</v>
          </cell>
          <cell r="BW34">
            <v>144.21035199999997</v>
          </cell>
          <cell r="BX34">
            <v>-29.904128000000043</v>
          </cell>
          <cell r="BY34">
            <v>2.2765119999999968</v>
          </cell>
          <cell r="BZ34">
            <v>144.21035199999997</v>
          </cell>
          <cell r="CA34">
            <v>447.50676800000002</v>
          </cell>
          <cell r="CB34">
            <v>-128.04424</v>
          </cell>
          <cell r="CC34">
            <v>-128.04424</v>
          </cell>
          <cell r="CD34">
            <v>-128.04424</v>
          </cell>
          <cell r="CE34">
            <v>506.07828800000004</v>
          </cell>
          <cell r="CF34">
            <v>-107.12583999999998</v>
          </cell>
          <cell r="CG34">
            <v>126.42971199999997</v>
          </cell>
          <cell r="CH34">
            <v>447.50676800000002</v>
          </cell>
        </row>
      </sheetData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ERARDO"/>
      <sheetName val="MARIA CELI"/>
      <sheetName val="Maria del Rosario"/>
      <sheetName val="MIGUEL (2)"/>
      <sheetName val="CALCULO ISR-SUBS"/>
      <sheetName val="HT-ADMINISTRATIVOS"/>
      <sheetName val="FAUSTINO"/>
      <sheetName val="MARÍA AMELIA"/>
      <sheetName val="PEDRO ALONSO"/>
      <sheetName val="VICTOR MANUEL"/>
      <sheetName val="JOSÉ LUIS CEJA"/>
      <sheetName val="LUIS ENRIQUE"/>
      <sheetName val="JOSÉ RICARDO"/>
      <sheetName val="JORGE ISAAC"/>
      <sheetName val="MARCO VINICIO"/>
      <sheetName val="JUAN JOSÉ"/>
      <sheetName val="ELISEO FLORES"/>
      <sheetName val="GABRIEL RANGEL"/>
      <sheetName val="ROBERTO CONTRERAS"/>
      <sheetName val="BOTELLO"/>
      <sheetName val="GERARDO  LOPEZ"/>
      <sheetName val="SENEN"/>
      <sheetName val="VALDES"/>
      <sheetName val="KARINA LOPEZ"/>
      <sheetName val="CONTRERAS"/>
      <sheetName val="MEDRANO"/>
      <sheetName val="ERNESTO"/>
      <sheetName val="EVE"/>
      <sheetName val="GABRIEL"/>
      <sheetName val="MAIDA"/>
      <sheetName val="ERIKA"/>
      <sheetName val="ADRIANA"/>
      <sheetName val="J. BENJAMIN (2)"/>
      <sheetName val="JAIR (2)"/>
      <sheetName val="PEDRO (2)"/>
      <sheetName val="JOSE VICTORIANO  (2)"/>
      <sheetName val="FEDERICO (2)"/>
      <sheetName val="ARACELI (2)"/>
      <sheetName val="ALEJANDRA (2)"/>
      <sheetName val="KIMBERLY (2)"/>
      <sheetName val="MARICHY (3)"/>
      <sheetName val="EMA (3)"/>
      <sheetName val="LILIANA G. (3)"/>
      <sheetName val="YESENIA. (3)"/>
      <sheetName val="ROBERTO (3)"/>
      <sheetName val="FRANCISCO (3)"/>
      <sheetName val="YERANIA (3)"/>
      <sheetName val="ALTAGRACIA (3)"/>
      <sheetName val="LILIANA (3)"/>
      <sheetName val="ANDRES (3)"/>
      <sheetName val="JULIAN (3)"/>
      <sheetName val="LUIS ALBERTO  (3)"/>
      <sheetName val="JOSE EMANUEL (3)"/>
      <sheetName val="KARINA ROBLES (3)"/>
      <sheetName val="JAIME MEDINA (3)"/>
      <sheetName val="JESUS JERONIMO (3)"/>
      <sheetName val="JUAN DANIEL (3)"/>
      <sheetName val="RIGOBERTO (3)"/>
      <sheetName val="ROCIO (3)"/>
      <sheetName val="FELICIANO (3)"/>
      <sheetName val="Efrain (3)"/>
      <sheetName val="José de Jesús (3)"/>
      <sheetName val="Claudia  (3)"/>
      <sheetName val="Esteban (3)"/>
      <sheetName val="Ana Gabriela (3)"/>
      <sheetName val="Armando  (2)"/>
      <sheetName val="Lic. María Vidal  (2)"/>
      <sheetName val="PARA MODIFICAR FECHAS"/>
      <sheetName val="M.V.Z. GILDARO SANCHEZ"/>
      <sheetName val="HT-PTC FIRMAS (2)"/>
      <sheetName val="JUAN MANUEL"/>
      <sheetName val="MANUEL JESUS"/>
      <sheetName val="MARÍA VERONICA"/>
      <sheetName val="MARIA VICTORIA"/>
      <sheetName val="EDGAR"/>
      <sheetName val="SARAHI"/>
      <sheetName val="JOSÉ MANUEL"/>
      <sheetName val="FAUSTINO (2)"/>
      <sheetName val="MARÍA AMELIA (2)"/>
      <sheetName val="PEDRO ALONSO (2)"/>
      <sheetName val="VICTOR MANUEL (2)"/>
      <sheetName val="JOSÉ LUIS CEJA (2)"/>
      <sheetName val="LUIS ENRIQUE (2)"/>
      <sheetName val="JOSÉ RICARDO (2)"/>
      <sheetName val="JORGE ISAAC (2)"/>
      <sheetName val="MARCO VINICIO (2)"/>
      <sheetName val="JUAN JOSÉ (2)"/>
      <sheetName val="ELISEO FLORES (2)"/>
      <sheetName val="GABRIEL RANGEL (2)"/>
      <sheetName val="ROBERTO CONTRERAS (2)"/>
      <sheetName val="BOTELLO (2)"/>
      <sheetName val="GERARDO  LOPEZ (2)"/>
      <sheetName val="SENEN (2)"/>
      <sheetName val="VALDES (2)"/>
      <sheetName val="KARINA LOPEZ (2)"/>
      <sheetName val="CONTRERAS (2)"/>
      <sheetName val="MEDRANO (2)"/>
      <sheetName val="ERNESTO (2)"/>
      <sheetName val="EVE (2)"/>
      <sheetName val="GABRIEL (2)"/>
      <sheetName val="MAIDA (2)"/>
      <sheetName val="ERIKA (2)"/>
      <sheetName val="ADRIANA (2)"/>
      <sheetName val="J. BENJAMIN (3)"/>
      <sheetName val="JAIR (3)"/>
      <sheetName val="PEDRO (3)"/>
      <sheetName val="JOSE VICTORIANO  (3)"/>
      <sheetName val="FEDERICO (3)"/>
      <sheetName val="ARACELI (3)"/>
      <sheetName val="ALEJANDRA (3)"/>
      <sheetName val="KIMBERLY (3)"/>
      <sheetName val="MARICHY (4)"/>
      <sheetName val="EMA (5)"/>
      <sheetName val="EMA (4)"/>
      <sheetName val="LILIANA G. (4)"/>
      <sheetName val="YESENIA. (4)"/>
      <sheetName val="ROBERTO (4)"/>
      <sheetName val="FRANCISCO (4)"/>
      <sheetName val="YERANIA (4)"/>
      <sheetName val="ALTAGRACIA (4)"/>
      <sheetName val="LILIANA (5)"/>
      <sheetName val="LILIANA (4)"/>
      <sheetName val="ANDRES (4)"/>
      <sheetName val="JULIAN (4)"/>
      <sheetName val="LUIS ALBERTO  (4)"/>
      <sheetName val="JOSE EMANUEL (4)"/>
      <sheetName val="KARINA ROBLES (5)"/>
      <sheetName val="KARINA ROBLES (4)"/>
      <sheetName val="JAIME MEDINA (4)"/>
      <sheetName val="JESUS JERONIMO (4)"/>
      <sheetName val="JUAN DANIEL (4)"/>
      <sheetName val="RIGOBERTO (4)"/>
      <sheetName val="ROCIO (4)"/>
      <sheetName val="FELICIANO"/>
      <sheetName val="MODIFICA. DOCENTES"/>
      <sheetName val="Efrain (4)"/>
      <sheetName val="José de Jesús (4)"/>
      <sheetName val="Claudia  (4)"/>
      <sheetName val="Esteban (4)"/>
      <sheetName val="Ana Gabriela (4)"/>
      <sheetName val="Armando  (4)"/>
      <sheetName val="Armando  (3)"/>
      <sheetName val="Lic. María Vidal  (3)"/>
      <sheetName val="PARA MODIFICAR FECHAS (2)"/>
      <sheetName val="M.V.Z. GILDARO SANCHEZ (2)"/>
      <sheetName val="HT-ADMINISTRATIVOS FIRMA "/>
      <sheetName val="HT-DOCENTE"/>
      <sheetName val="Admon prim vac"/>
      <sheetName val="DOCENTESprima vac"/>
      <sheetName val="Admon prim vac para imprimir"/>
      <sheetName val="DOC PV Firma"/>
      <sheetName val="HT-DOCENTE FIRMA"/>
      <sheetName val="HT-DOCENTE FIRMA estimulo "/>
      <sheetName val="HT-PTC FIRMAS "/>
      <sheetName val="Calculo ISR "/>
      <sheetName val="Calculo ISR  con prima. VAC."/>
      <sheetName val="descuentos"/>
      <sheetName val="DEL INTERINATO DE YERA"/>
      <sheetName val="Hoja2"/>
      <sheetName val="10 DIAS AGUINALDO"/>
      <sheetName val="DOCENTES AGUIN"/>
      <sheetName val="CALCULOS RETRO ADMVOS."/>
      <sheetName val="Hoja1"/>
      <sheetName val="CALCULO RETRO DESPENSA DOCENTES"/>
      <sheetName val="CALCULO RETRO GUARDERIA DOCENTE"/>
      <sheetName val="CALCULO RETRO AYUDA PARA UTILES"/>
      <sheetName val="CALCULO DE RETRO MATERIAL DIDA"/>
      <sheetName val="PTC RETROACTIVOS"/>
      <sheetName val="DOCENTE CALCULOS PRUEB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 refreshError="1"/>
      <sheetData sheetId="148" refreshError="1"/>
      <sheetData sheetId="149" refreshError="1"/>
      <sheetData sheetId="150" refreshError="1"/>
      <sheetData sheetId="151"/>
      <sheetData sheetId="152" refreshError="1"/>
      <sheetData sheetId="153"/>
      <sheetData sheetId="154">
        <row r="34">
          <cell r="AT34">
            <v>1450.9512480000003</v>
          </cell>
          <cell r="BF34">
            <v>141.37447999999998</v>
          </cell>
          <cell r="BG34">
            <v>919.17236759999992</v>
          </cell>
          <cell r="BH34">
            <v>604.46395320000011</v>
          </cell>
          <cell r="BI34">
            <v>962.25687600000003</v>
          </cell>
          <cell r="BJ34">
            <v>851.79577199999994</v>
          </cell>
          <cell r="BL34">
            <v>716.31356400000004</v>
          </cell>
          <cell r="BN34">
            <v>713.71298400000001</v>
          </cell>
          <cell r="BO34">
            <v>786.36368399999992</v>
          </cell>
          <cell r="BP34">
            <v>891.43886399999997</v>
          </cell>
          <cell r="BQ34">
            <v>821.38874400000009</v>
          </cell>
          <cell r="BR34">
            <v>962.25687600000003</v>
          </cell>
          <cell r="BS34">
            <v>181.00747199999992</v>
          </cell>
          <cell r="BT34">
            <v>573.61274399999979</v>
          </cell>
          <cell r="BU34">
            <v>713.71298400000001</v>
          </cell>
          <cell r="BV34">
            <v>678.68792400000007</v>
          </cell>
          <cell r="BW34">
            <v>127.62651199999996</v>
          </cell>
          <cell r="BX34">
            <v>-117.26823999999999</v>
          </cell>
          <cell r="BY34">
            <v>-29.066368000000068</v>
          </cell>
          <cell r="BZ34">
            <v>3.1741119999999796</v>
          </cell>
          <cell r="CA34">
            <v>145.46699199999998</v>
          </cell>
          <cell r="CB34">
            <v>450.26644799999997</v>
          </cell>
          <cell r="CC34">
            <v>-127.76263999999999</v>
          </cell>
          <cell r="CD34">
            <v>-127.76263999999999</v>
          </cell>
          <cell r="CE34">
            <v>-106.77383999999998</v>
          </cell>
          <cell r="CF34">
            <v>509.03508800000009</v>
          </cell>
          <cell r="CG34">
            <v>-106.77383999999998</v>
          </cell>
          <cell r="CH34">
            <v>127.62651199999996</v>
          </cell>
          <cell r="CI34">
            <v>450.26644799999997</v>
          </cell>
        </row>
      </sheetData>
      <sheetData sheetId="155" refreshError="1"/>
      <sheetData sheetId="156">
        <row r="10">
          <cell r="D10">
            <v>0</v>
          </cell>
        </row>
        <row r="11">
          <cell r="D11">
            <v>0</v>
          </cell>
        </row>
        <row r="12">
          <cell r="D12">
            <v>315.89999999999998</v>
          </cell>
        </row>
      </sheetData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ERARDO"/>
      <sheetName val="MARIA CELI"/>
      <sheetName val="Maria del Rosario"/>
      <sheetName val="MIGUEL (2)"/>
      <sheetName val="CALCULO ISR-SUBS"/>
      <sheetName val="HT-ADMINISTRATIVOS"/>
      <sheetName val="FAUSTINO"/>
      <sheetName val="MARÍA AMELIA"/>
      <sheetName val="PEDRO ALONSO"/>
      <sheetName val="VICTOR MANUEL"/>
      <sheetName val="JOSÉ LUIS CEJA"/>
      <sheetName val="LUIS ENRIQUE"/>
      <sheetName val="JOSÉ RICARDO"/>
      <sheetName val="JORGE ISAAC"/>
      <sheetName val="MARCO VINICIO"/>
      <sheetName val="JUAN JOSÉ"/>
      <sheetName val="ELISEO FLORES"/>
      <sheetName val="GABRIEL RANGEL"/>
      <sheetName val="ROBERTO CONTRERAS"/>
      <sheetName val="BOTELLO"/>
      <sheetName val="GERARDO  LOPEZ"/>
      <sheetName val="SENEN"/>
      <sheetName val="VALDES"/>
      <sheetName val="KARINA LOPEZ"/>
      <sheetName val="CONTRERAS"/>
      <sheetName val="MEDRANO"/>
      <sheetName val="ERNESTO"/>
      <sheetName val="EVE"/>
      <sheetName val="GABRIEL"/>
      <sheetName val="MAIDA"/>
      <sheetName val="ERIKA"/>
      <sheetName val="ADRIANA"/>
      <sheetName val="J. BENJAMIN (2)"/>
      <sheetName val="JAIR (2)"/>
      <sheetName val="PEDRO (2)"/>
      <sheetName val="JOSE VICTORIANO  (2)"/>
      <sheetName val="FEDERICO (2)"/>
      <sheetName val="ARACELI (2)"/>
      <sheetName val="ALEJANDRA (2)"/>
      <sheetName val="KIMBERLY (2)"/>
      <sheetName val="MARICHY (3)"/>
      <sheetName val="EMA (3)"/>
      <sheetName val="LILIANA G. (3)"/>
      <sheetName val="YESENIA. (3)"/>
      <sheetName val="ROBERTO (3)"/>
      <sheetName val="FRANCISCO (3)"/>
      <sheetName val="YERANIA (3)"/>
      <sheetName val="ALTAGRACIA (3)"/>
      <sheetName val="LILIANA (3)"/>
      <sheetName val="ANDRES (3)"/>
      <sheetName val="JULIAN (3)"/>
      <sheetName val="LUIS ALBERTO  (3)"/>
      <sheetName val="JOSE EMANUEL (3)"/>
      <sheetName val="KARINA ROBLES (3)"/>
      <sheetName val="JAIME MEDINA (3)"/>
      <sheetName val="JESUS JERONIMO (3)"/>
      <sheetName val="JUAN DANIEL (3)"/>
      <sheetName val="RIGOBERTO (3)"/>
      <sheetName val="ROCIO (3)"/>
      <sheetName val="FELICIANO (3)"/>
      <sheetName val="Efrain (3)"/>
      <sheetName val="José de Jesús (3)"/>
      <sheetName val="Claudia  (3)"/>
      <sheetName val="Esteban (3)"/>
      <sheetName val="Ana Gabriela (3)"/>
      <sheetName val="Armando  (2)"/>
      <sheetName val="Lic. María Vidal  (2)"/>
      <sheetName val="PARA MODIFICAR FECHAS"/>
      <sheetName val="M.V.Z. GILDARO SANCHEZ"/>
      <sheetName val="HT-PTC FIRMAS (2)"/>
      <sheetName val="JUAN MANUEL"/>
      <sheetName val="MANUEL JESUS"/>
      <sheetName val="MARÍA VERONICA"/>
      <sheetName val="MARIA VICTORIA"/>
      <sheetName val="EDGAR"/>
      <sheetName val="SARAHI"/>
      <sheetName val="JOSÉ MANUEL"/>
      <sheetName val="FAUSTINO (2)"/>
      <sheetName val="MARÍA AMELIA (2)"/>
      <sheetName val="PEDRO ALONSO (2)"/>
      <sheetName val="VICTOR MANUEL (2)"/>
      <sheetName val="JOSÉ LUIS CEJA (2)"/>
      <sheetName val="LUIS ENRIQUE (2)"/>
      <sheetName val="JOSÉ RICARDO (2)"/>
      <sheetName val="JORGE ISAAC (2)"/>
      <sheetName val="MARCO VINICIO (2)"/>
      <sheetName val="JUAN JOSÉ (2)"/>
      <sheetName val="ELISEO FLORES (2)"/>
      <sheetName val="GABRIEL RANGEL (2)"/>
      <sheetName val="ROBERTO CONTRERAS (2)"/>
      <sheetName val="BOTELLO (2)"/>
      <sheetName val="GERARDO  LOPEZ (2)"/>
      <sheetName val="SENEN (2)"/>
      <sheetName val="VALDES (2)"/>
      <sheetName val="KARINA LOPEZ (2)"/>
      <sheetName val="CONTRERAS (2)"/>
      <sheetName val="MEDRANO (2)"/>
      <sheetName val="ERNESTO (2)"/>
      <sheetName val="EVE (2)"/>
      <sheetName val="GABRIEL (2)"/>
      <sheetName val="MAIDA (2)"/>
      <sheetName val="ERIKA (2)"/>
      <sheetName val="ADRIANA (2)"/>
      <sheetName val="J. BENJAMIN (3)"/>
      <sheetName val="JAIR (3)"/>
      <sheetName val="PEDRO (3)"/>
      <sheetName val="JOSE VICTORIANO  (3)"/>
      <sheetName val="FEDERICO (3)"/>
      <sheetName val="ARACELI (3)"/>
      <sheetName val="ALEJANDRA (3)"/>
      <sheetName val="KIMBERLY (3)"/>
      <sheetName val="MARICHY (4)"/>
      <sheetName val="EMA (5)"/>
      <sheetName val="EMA (4)"/>
      <sheetName val="LILIANA G. (4)"/>
      <sheetName val="YESENIA. (4)"/>
      <sheetName val="ROBERTO (4)"/>
      <sheetName val="FRANCISCO (4)"/>
      <sheetName val="YERANIA (4)"/>
      <sheetName val="ALTAGRACIA (4)"/>
      <sheetName val="LILIANA (5)"/>
      <sheetName val="LILIANA (4)"/>
      <sheetName val="ANDRES (4)"/>
      <sheetName val="JULIAN (4)"/>
      <sheetName val="LUIS ALBERTO  (4)"/>
      <sheetName val="JOSE EMANUEL (4)"/>
      <sheetName val="KARINA ROBLES (5)"/>
      <sheetName val="KARINA ROBLES (4)"/>
      <sheetName val="JAIME MEDINA (4)"/>
      <sheetName val="JESUS JERONIMO (4)"/>
      <sheetName val="JUAN DANIEL (4)"/>
      <sheetName val="RIGOBERTO (4)"/>
      <sheetName val="ROCIO (4)"/>
      <sheetName val="FELICIANO"/>
      <sheetName val="MODIFICA. DOCENTES"/>
      <sheetName val="Efrain (4)"/>
      <sheetName val="José de Jesús (4)"/>
      <sheetName val="Claudia  (4)"/>
      <sheetName val="Esteban (4)"/>
      <sheetName val="Ana Gabriela (4)"/>
      <sheetName val="Armando  (4)"/>
      <sheetName val="Armando  (3)"/>
      <sheetName val="Lic. María Vidal  (3)"/>
      <sheetName val="PARA MODIFICAR FECHAS (2)"/>
      <sheetName val="M.V.Z. GILDARO SANCHEZ (2)"/>
      <sheetName val="HT-ADMINISTRATIVOS FIRMA "/>
      <sheetName val="HT-DOCENTE"/>
      <sheetName val="Admon prim vac"/>
      <sheetName val="DOCENTESprima vac"/>
      <sheetName val="Admon prim vac para imprimir"/>
      <sheetName val="DOC PV Firma"/>
      <sheetName val="HT-DOCENTE FIRMA"/>
      <sheetName val="HT-DOCENTE FIRMA estimulo "/>
      <sheetName val="HT-PTC FIRMAS "/>
      <sheetName val="Calculo ISR "/>
      <sheetName val="Calculo ISR  con prima. VAC."/>
      <sheetName val="descuentos"/>
      <sheetName val="DEL INTERINATO DE YERA"/>
      <sheetName val="Hoja2"/>
      <sheetName val="10 DIAS AGUINALDO"/>
      <sheetName val="DOCENTES AGUIN"/>
      <sheetName val="CALCULOS RETRO ADMVOS."/>
      <sheetName val="Hoja1"/>
      <sheetName val="CALCULO RETRO DESPENSA DOCENTES"/>
      <sheetName val="CALCULO RETRO GUARDERIA DOCENTE"/>
      <sheetName val="CALCULO RETRO AYUDA PARA UTILES"/>
      <sheetName val="CALCULO DE RETRO MATERIAL DIDA"/>
      <sheetName val="PTC RETROACTIVOS"/>
      <sheetName val="DOCENTE CALCULOS PRUEB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 refreshError="1"/>
      <sheetData sheetId="148" refreshError="1"/>
      <sheetData sheetId="149" refreshError="1"/>
      <sheetData sheetId="150" refreshError="1"/>
      <sheetData sheetId="151"/>
      <sheetData sheetId="152" refreshError="1"/>
      <sheetData sheetId="153" refreshError="1"/>
      <sheetData sheetId="154">
        <row r="34">
          <cell r="BF34">
            <v>714.30251999999996</v>
          </cell>
          <cell r="BG34">
            <v>919.17236759999992</v>
          </cell>
          <cell r="BH34">
            <v>5599.3723499999996</v>
          </cell>
          <cell r="BI34">
            <v>5351.8904999999995</v>
          </cell>
          <cell r="BJ34">
            <v>1385.7957720000002</v>
          </cell>
          <cell r="BL34">
            <v>716.31356400000004</v>
          </cell>
          <cell r="BN34">
            <v>713.71298400000001</v>
          </cell>
          <cell r="BO34">
            <v>786.36368399999992</v>
          </cell>
          <cell r="BP34">
            <v>6002.4270000000006</v>
          </cell>
          <cell r="BQ34">
            <v>821.38874400000009</v>
          </cell>
          <cell r="BR34">
            <v>1496.2568759999999</v>
          </cell>
          <cell r="BS34">
            <v>757.36214400000006</v>
          </cell>
          <cell r="BT34">
            <v>573.61274399999979</v>
          </cell>
          <cell r="BU34">
            <v>1247.7129839999998</v>
          </cell>
          <cell r="BV34">
            <v>678.68792400000007</v>
          </cell>
          <cell r="BW34">
            <v>127.62651199999996</v>
          </cell>
          <cell r="BX34">
            <v>-117.26823999999999</v>
          </cell>
          <cell r="BY34">
            <v>-29.066368000000068</v>
          </cell>
          <cell r="BZ34">
            <v>3.1741119999999796</v>
          </cell>
          <cell r="CA34">
            <v>722.33708400000023</v>
          </cell>
          <cell r="CB34">
            <v>450.26644799999997</v>
          </cell>
          <cell r="CC34">
            <v>-127.76263999999999</v>
          </cell>
          <cell r="CD34">
            <v>-127.76263999999999</v>
          </cell>
          <cell r="CE34">
            <v>-106.77383999999998</v>
          </cell>
          <cell r="CF34">
            <v>509.03508800000009</v>
          </cell>
          <cell r="CG34">
            <v>-106.77383999999998</v>
          </cell>
          <cell r="CH34">
            <v>127.62651199999996</v>
          </cell>
          <cell r="CI34">
            <v>967.51250399999992</v>
          </cell>
        </row>
      </sheetData>
      <sheetData sheetId="155" refreshError="1"/>
      <sheetData sheetId="156">
        <row r="10">
          <cell r="D10">
            <v>0</v>
          </cell>
        </row>
        <row r="11">
          <cell r="D11">
            <v>0</v>
          </cell>
        </row>
        <row r="12">
          <cell r="D12">
            <v>315.89999999999998</v>
          </cell>
        </row>
      </sheetData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RARDO"/>
      <sheetName val="MARIA CELI"/>
      <sheetName val="Maria del Rosario"/>
      <sheetName val="MIGUEL (2)"/>
      <sheetName val="CALCULO ISR-SUBS"/>
      <sheetName val="HT-ADMINISTRATIVOS"/>
      <sheetName val="FAUSTINO"/>
      <sheetName val="MARÍA AMELIA"/>
      <sheetName val="PEDRO ALONSO"/>
      <sheetName val="VICTOR MANUEL"/>
      <sheetName val="JOSÉ LUIS CEJA"/>
      <sheetName val="LUIS ENRIQUE"/>
      <sheetName val="JOSÉ RICARDO"/>
      <sheetName val="JORGE ISAAC"/>
      <sheetName val="MARCO VINICIO"/>
      <sheetName val="JUAN JOSÉ"/>
      <sheetName val="ELISEO FLORES"/>
      <sheetName val="GABRIEL RANGEL"/>
      <sheetName val="ROBERTO CONTRERAS"/>
      <sheetName val="BOTELLO"/>
      <sheetName val="GERARDO  LOPEZ"/>
      <sheetName val="SENEN"/>
      <sheetName val="VALDES"/>
      <sheetName val="KARINA LOPEZ"/>
      <sheetName val="CONTRERAS"/>
      <sheetName val="MEDRANO"/>
      <sheetName val="ERNESTO"/>
      <sheetName val="EVE"/>
      <sheetName val="GABRIEL"/>
      <sheetName val="MAIDA"/>
      <sheetName val="ERIKA"/>
      <sheetName val="ADRIANA"/>
      <sheetName val="J. BENJAMIN (2)"/>
      <sheetName val="JAIR (2)"/>
      <sheetName val="PEDRO (2)"/>
      <sheetName val="JOSE VICTORIANO  (2)"/>
      <sheetName val="FEDERICO (2)"/>
      <sheetName val="ARACELI (2)"/>
      <sheetName val="ALEJANDRA (2)"/>
      <sheetName val="KIMBERLY (2)"/>
      <sheetName val="MARICHY (3)"/>
      <sheetName val="EMA (3)"/>
      <sheetName val="LILIANA G. (3)"/>
      <sheetName val="YESENIA. (3)"/>
      <sheetName val="ROBERTO (3)"/>
      <sheetName val="FRANCISCO (3)"/>
      <sheetName val="YERANIA (3)"/>
      <sheetName val="MICAELA (3)"/>
      <sheetName val="HILDA (3)"/>
      <sheetName val="ALTAGRACIA (3)"/>
      <sheetName val="LILIANA (3)"/>
      <sheetName val="ANDRES (3)"/>
      <sheetName val="JULIAN (3)"/>
      <sheetName val="LUIS ALBERTO  (3)"/>
      <sheetName val="JOSE EMANUEL (3)"/>
      <sheetName val="KARINA ROBLES (3)"/>
      <sheetName val="JAIME MEDINA (3)"/>
      <sheetName val="JESUS JERONIMO (3)"/>
      <sheetName val="JUAN DANIEL (3)"/>
      <sheetName val="RIGOBERTO (3)"/>
      <sheetName val="ROCIO (3)"/>
      <sheetName val="FELICIANO (3)"/>
      <sheetName val="Efrain (3)"/>
      <sheetName val="José de Jesús (3)"/>
      <sheetName val="Claudia  (3)"/>
      <sheetName val="Esteban (3)"/>
      <sheetName val="Ana Gabriela (3)"/>
      <sheetName val="Armando  (2)"/>
      <sheetName val="Lic. María Vidal  (2)"/>
      <sheetName val="Lic. Aida  (2)"/>
      <sheetName val="M.V.Z. GILDARO SANCHEZ"/>
      <sheetName val="HT-ADMINISTRATIVOS FIRMA "/>
      <sheetName val="HT-DOCENTE"/>
      <sheetName val="Admon prim vac"/>
      <sheetName val="DOCENTESprima vac"/>
      <sheetName val="Admon prim vac para imprimir"/>
      <sheetName val="DOC PV Firma"/>
      <sheetName val="HT-DOCENTE FIRMA"/>
      <sheetName val="HT-DOCENTE FIRMA estimulo "/>
      <sheetName val="Calculo ISR "/>
      <sheetName val="Calculo ISR  con prima. VAC."/>
      <sheetName val="descuentos"/>
      <sheetName val="NOTAS"/>
      <sheetName val="DEL INTERINATO DE YERA"/>
      <sheetName val="Hoja2"/>
      <sheetName val="10 DIAS AGUINALDO"/>
      <sheetName val="DOCENTES AGU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12">
          <cell r="C12">
            <v>19.5</v>
          </cell>
        </row>
        <row r="14">
          <cell r="C14">
            <v>19.5</v>
          </cell>
        </row>
        <row r="15">
          <cell r="C15">
            <v>19.5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>
        <row r="34">
          <cell r="AZ34">
            <v>-84.025999999999982</v>
          </cell>
          <cell r="BA34">
            <v>821.78710799999999</v>
          </cell>
          <cell r="BB34">
            <v>72.400576000000001</v>
          </cell>
          <cell r="BC34">
            <v>796.33773600000018</v>
          </cell>
          <cell r="BD34">
            <v>332.38839999999999</v>
          </cell>
          <cell r="BE34">
            <v>863.77232400000003</v>
          </cell>
          <cell r="BF34">
            <v>863.77232400000003</v>
          </cell>
          <cell r="BG34">
            <v>-188.76064</v>
          </cell>
          <cell r="BH34">
            <v>703.29464400000006</v>
          </cell>
          <cell r="BI34">
            <v>184.45915199999999</v>
          </cell>
          <cell r="BJ34">
            <v>770.88836400000002</v>
          </cell>
          <cell r="BK34">
            <v>770.88836400000002</v>
          </cell>
          <cell r="BL34">
            <v>770.88836400000002</v>
          </cell>
          <cell r="BM34">
            <v>770.88836400000002</v>
          </cell>
          <cell r="BN34">
            <v>863.77232400000003</v>
          </cell>
          <cell r="BO34">
            <v>149.54427199999995</v>
          </cell>
          <cell r="BP34">
            <v>770.88836400000002</v>
          </cell>
          <cell r="BQ34">
            <v>601.90406400000006</v>
          </cell>
          <cell r="BR34">
            <v>60.434752000000003</v>
          </cell>
          <cell r="BS34">
            <v>11.00499199999993</v>
          </cell>
          <cell r="BT34">
            <v>-120.58023999999997</v>
          </cell>
          <cell r="BU34">
            <v>-68.07463999999996</v>
          </cell>
          <cell r="BV34">
            <v>-37.824768000000006</v>
          </cell>
        </row>
      </sheetData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GERARDO"/>
      <sheetName val="MARIA CELI"/>
      <sheetName val="Maria del Rosario"/>
      <sheetName val="MIGUEL (2)"/>
      <sheetName val="CALCULO ISR-SUBS"/>
      <sheetName val="HT-ADMINISTRATIVOS"/>
      <sheetName val="FAUSTINO"/>
      <sheetName val="MARÍA AMELIA"/>
      <sheetName val="PEDRO ALONSO"/>
      <sheetName val="VICTOR MANUEL"/>
      <sheetName val="JOSÉ LUIS CEJA"/>
      <sheetName val="LUIS ENRIQUE"/>
      <sheetName val="JOSÉ RICARDO"/>
      <sheetName val="JORGE ISAAC"/>
      <sheetName val="MARCO VINICIO"/>
      <sheetName val="JUAN JOSÉ"/>
      <sheetName val="ELISEO FLORES"/>
      <sheetName val="GABRIEL RANGEL"/>
      <sheetName val="ROBERTO CONTRERAS"/>
      <sheetName val="BOTELLO"/>
      <sheetName val="GERARDO  LOPEZ"/>
      <sheetName val="SENEN"/>
      <sheetName val="VALDES"/>
      <sheetName val="KARINA LOPEZ"/>
      <sheetName val="CONTRERAS"/>
      <sheetName val="MEDRANO"/>
      <sheetName val="ERNESTO"/>
      <sheetName val="EVE"/>
      <sheetName val="GABRIEL"/>
      <sheetName val="MAIDA"/>
      <sheetName val="ERIKA"/>
      <sheetName val="ADRIANA"/>
      <sheetName val="J. BENJAMIN (2)"/>
      <sheetName val="JAIR (2)"/>
      <sheetName val="PEDRO (2)"/>
      <sheetName val="JOSE VICTORIANO  (2)"/>
      <sheetName val="FEDERICO (2)"/>
      <sheetName val="ARACELI (2)"/>
      <sheetName val="ALEJANDRA (2)"/>
      <sheetName val="KIMBERLY (2)"/>
      <sheetName val="MARICHY (3)"/>
      <sheetName val="EMA (3)"/>
      <sheetName val="LILIANA G. (3)"/>
      <sheetName val="YESENIA. (3)"/>
      <sheetName val="ROBERTO (3)"/>
      <sheetName val="FRANCISCO (3)"/>
      <sheetName val="YERANIA (3)"/>
      <sheetName val="ALTAGRACIA (3)"/>
      <sheetName val="LILIANA (3)"/>
      <sheetName val="ANDRES (3)"/>
      <sheetName val="JULIAN (3)"/>
      <sheetName val="LUIS ALBERTO  (3)"/>
      <sheetName val="JOSE EMANUEL (3)"/>
      <sheetName val="KARINA ROBLES (3)"/>
      <sheetName val="JAIME MEDINA (3)"/>
      <sheetName val="JESUS JERONIMO (3)"/>
      <sheetName val="JUAN DANIEL (3)"/>
      <sheetName val="RIGOBERTO (3)"/>
      <sheetName val="ROCIO (3)"/>
      <sheetName val="FELICIANO (3)"/>
      <sheetName val="Efrain (3)"/>
      <sheetName val="José de Jesús (3)"/>
      <sheetName val="Claudia  (3)"/>
      <sheetName val="Esteban (3)"/>
      <sheetName val="Ana Gabriela (3)"/>
      <sheetName val="Armando  (2)"/>
      <sheetName val="Lic. María Vidal  (2)"/>
      <sheetName val="PARA MODIFICAR FECHAS"/>
      <sheetName val="M.V.Z. GILDARO SANCHEZ"/>
      <sheetName val="HT-PTC FIRMAS (2)"/>
      <sheetName val="JUAN MANUEL"/>
      <sheetName val="MANUEL JESUS"/>
      <sheetName val="MARÍA VERONICA"/>
      <sheetName val="MARIA VICTORIA"/>
      <sheetName val="EDGAR"/>
      <sheetName val="SARAHI"/>
      <sheetName val="JOSÉ MANUEL"/>
      <sheetName val="FAUSTINO (2)"/>
      <sheetName val="MARÍA AMELIA (2)"/>
      <sheetName val="PEDRO ALONSO (2)"/>
      <sheetName val="VICTOR MANUEL (2)"/>
      <sheetName val="JOSÉ LUIS CEJA (2)"/>
      <sheetName val="LUIS ENRIQUE (2)"/>
      <sheetName val="JOSÉ RICARDO (2)"/>
      <sheetName val="JORGE ISAAC (2)"/>
      <sheetName val="MARCO VINICIO (2)"/>
      <sheetName val="JUAN JOSÉ (2)"/>
      <sheetName val="ELISEO FLORES (2)"/>
      <sheetName val="GABRIEL RANGEL (2)"/>
      <sheetName val="ROBERTO CONTRERAS (2)"/>
      <sheetName val="BOTELLO (2)"/>
      <sheetName val="GERARDO  LOPEZ (2)"/>
      <sheetName val="SENEN (2)"/>
      <sheetName val="VALDES (2)"/>
      <sheetName val="KARINA LOPEZ (2)"/>
      <sheetName val="CONTRERAS (2)"/>
      <sheetName val="MEDRANO (2)"/>
      <sheetName val="ERNESTO (2)"/>
      <sheetName val="EVE (2)"/>
      <sheetName val="GABRIEL (2)"/>
      <sheetName val="MAIDA (2)"/>
      <sheetName val="ERIKA (2)"/>
      <sheetName val="ADRIANA (2)"/>
      <sheetName val="J. BENJAMIN (3)"/>
      <sheetName val="JAIR (3)"/>
      <sheetName val="PEDRO (3)"/>
      <sheetName val="JOSE VICTORIANO  (3)"/>
      <sheetName val="FEDERICO (3)"/>
      <sheetName val="ARACELI (3)"/>
      <sheetName val="ALEJANDRA (3)"/>
      <sheetName val="KIMBERLY (3)"/>
      <sheetName val="MARICHY (4)"/>
      <sheetName val="EMA (4)"/>
      <sheetName val="LILIANA G. (4)"/>
      <sheetName val="YESENIA. (4)"/>
      <sheetName val="ROBERTO (4)"/>
      <sheetName val="FRANCISCO (4)"/>
      <sheetName val="YERANIA (4)"/>
      <sheetName val="ALTAGRACIA (4)"/>
      <sheetName val="LILIANA (4)"/>
      <sheetName val="ANDRES (4)"/>
      <sheetName val="JULIAN (4)"/>
      <sheetName val="LUIS ALBERTO  (4)"/>
      <sheetName val="JOSE EMANUEL (4)"/>
      <sheetName val="KARINA ROBLES (4)"/>
      <sheetName val="JAIME MEDINA (4)"/>
      <sheetName val="JESUS JERONIMO (4)"/>
      <sheetName val="JUAN DANIEL (4)"/>
      <sheetName val="RIGOBERTO (4)"/>
      <sheetName val="ROCIO (4)"/>
      <sheetName val="FELICIANO"/>
      <sheetName val="MODIFICA. DOCENTES"/>
      <sheetName val="Efrain (4)"/>
      <sheetName val="José de Jesús (4)"/>
      <sheetName val="Claudia  (4)"/>
      <sheetName val="Esteban (4)"/>
      <sheetName val="Ana Gabriela (4)"/>
      <sheetName val="Armando  (4)"/>
      <sheetName val="Armando  (3)"/>
      <sheetName val="Lic. María Vidal  (3)"/>
      <sheetName val="PARA MODIFICAR FECHAS (2)"/>
      <sheetName val="M.V.Z. GILDARO SANCHEZ (2)"/>
      <sheetName val="HT-ADMINISTRATIVOS FIRMA "/>
      <sheetName val="HT-DOCENTE"/>
      <sheetName val="Admon prim vac"/>
      <sheetName val="DOCENTESprima vac"/>
      <sheetName val="Admon prim vac para imprimir"/>
      <sheetName val="DOC PV Firma"/>
      <sheetName val="HT-DOCENTE FIRMA"/>
      <sheetName val="HT-DOCENTE FIRMA estimulo "/>
      <sheetName val="HT-PTC FIRMAS "/>
      <sheetName val="NOMINA DE BONO SERV. DOCENTES"/>
      <sheetName val="NOMINA BONO SERV. PTC"/>
      <sheetName val=" ISR DEL BONO DOCENT. Y PTC "/>
      <sheetName val="PROY. BONO DEL SERV. ADMVOV"/>
      <sheetName val="proyecto bono del ser. DOCENTES"/>
      <sheetName val="PROYECTO DE BONO. PROPORCIONAL"/>
      <sheetName val="Calculo ISR "/>
      <sheetName val="Calculo ISR  con prima. VAC."/>
      <sheetName val="descuentos"/>
      <sheetName val="DEL INTERINATO DE YERA"/>
      <sheetName val="Hoja2"/>
      <sheetName val="10 DIAS AGUINALDO"/>
      <sheetName val="DOCENTES AGUIN"/>
      <sheetName val="Hoja1"/>
      <sheetName val="DOCENTE CALCULOS PRUEB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>
        <row r="34">
          <cell r="BE34">
            <v>140.17767999999998</v>
          </cell>
          <cell r="BF34">
            <v>912.82844759999989</v>
          </cell>
          <cell r="BG34">
            <v>588.10860120000018</v>
          </cell>
          <cell r="BH34">
            <v>940.68968400000017</v>
          </cell>
          <cell r="BI34">
            <v>832.51196400000003</v>
          </cell>
          <cell r="BJ34">
            <v>-152.28583999999998</v>
          </cell>
          <cell r="BK34">
            <v>710.55704399999991</v>
          </cell>
          <cell r="BM34">
            <v>709.4837040000001</v>
          </cell>
          <cell r="BN34">
            <v>780.37220400000012</v>
          </cell>
          <cell r="BO34">
            <v>885.09494399999994</v>
          </cell>
          <cell r="BP34">
            <v>882.75602399999991</v>
          </cell>
          <cell r="BQ34">
            <v>940.68968400000017</v>
          </cell>
          <cell r="BR34">
            <v>179.69099199999991</v>
          </cell>
          <cell r="BS34">
            <v>569.85338399999978</v>
          </cell>
          <cell r="BT34">
            <v>709.4837040000001</v>
          </cell>
          <cell r="BU34">
            <v>674.57612400000005</v>
          </cell>
          <cell r="BV34">
            <v>126.42971199999997</v>
          </cell>
          <cell r="BW34">
            <v>144.21035199999997</v>
          </cell>
          <cell r="BX34">
            <v>-29.904128000000043</v>
          </cell>
          <cell r="BY34">
            <v>2.2765119999999968</v>
          </cell>
          <cell r="BZ34">
            <v>144.21035199999997</v>
          </cell>
          <cell r="CA34">
            <v>447.50676800000002</v>
          </cell>
          <cell r="CB34">
            <v>-128.04424</v>
          </cell>
          <cell r="CC34">
            <v>-128.04424</v>
          </cell>
          <cell r="CD34">
            <v>-32.286848000000049</v>
          </cell>
          <cell r="CE34">
            <v>506.07828800000004</v>
          </cell>
          <cell r="CF34">
            <v>-107.12583999999998</v>
          </cell>
          <cell r="CG34">
            <v>126.42971199999997</v>
          </cell>
          <cell r="CH34">
            <v>447.50676800000002</v>
          </cell>
        </row>
      </sheetData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GERARDO"/>
      <sheetName val="MARIA CELI"/>
      <sheetName val="Maria del Rosario"/>
      <sheetName val="MIGUEL (2)"/>
      <sheetName val="CALCULO ISR-SUBS"/>
      <sheetName val="HT-ADMINISTRATIVOS"/>
      <sheetName val="FAUSTINO"/>
      <sheetName val="MARÍA AMELIA"/>
      <sheetName val="PEDRO ALONSO"/>
      <sheetName val="VICTOR MANUEL"/>
      <sheetName val="JOSÉ LUIS CEJA"/>
      <sheetName val="LUIS ENRIQUE"/>
      <sheetName val="JOSÉ RICARDO"/>
      <sheetName val="JORGE ISAAC"/>
      <sheetName val="MARCO VINICIO"/>
      <sheetName val="JUAN JOSÉ"/>
      <sheetName val="ELISEO FLORES"/>
      <sheetName val="GABRIEL RANGEL"/>
      <sheetName val="ROBERTO CONTRERAS"/>
      <sheetName val="BOTELLO"/>
      <sheetName val="GERARDO  LOPEZ"/>
      <sheetName val="SENEN"/>
      <sheetName val="VALDES"/>
      <sheetName val="KARINA LOPEZ"/>
      <sheetName val="CONTRERAS"/>
      <sheetName val="MEDRANO"/>
      <sheetName val="ERNESTO"/>
      <sheetName val="EVE"/>
      <sheetName val="GABRIEL"/>
      <sheetName val="MAIDA"/>
      <sheetName val="ERIKA"/>
      <sheetName val="ADRIANA"/>
      <sheetName val="J. BENJAMIN (2)"/>
      <sheetName val="JAIR (2)"/>
      <sheetName val="PEDRO (2)"/>
      <sheetName val="JOSE VICTORIANO  (2)"/>
      <sheetName val="FEDERICO (2)"/>
      <sheetName val="ARACELI (2)"/>
      <sheetName val="ALEJANDRA (2)"/>
      <sheetName val="KIMBERLY (2)"/>
      <sheetName val="MARICHY (3)"/>
      <sheetName val="EMA (3)"/>
      <sheetName val="LILIANA G. (3)"/>
      <sheetName val="YESENIA. (3)"/>
      <sheetName val="ROBERTO (3)"/>
      <sheetName val="FRANCISCO (3)"/>
      <sheetName val="YERANIA (3)"/>
      <sheetName val="ALTAGRACIA (3)"/>
      <sheetName val="LILIANA (3)"/>
      <sheetName val="ANDRES (3)"/>
      <sheetName val="JULIAN (3)"/>
      <sheetName val="LUIS ALBERTO  (3)"/>
      <sheetName val="JOSE EMANUEL (3)"/>
      <sheetName val="KARINA ROBLES (3)"/>
      <sheetName val="JAIME MEDINA (3)"/>
      <sheetName val="JESUS JERONIMO (3)"/>
      <sheetName val="JUAN DANIEL (3)"/>
      <sheetName val="RIGOBERTO (3)"/>
      <sheetName val="ROCIO (3)"/>
      <sheetName val="FELICIANO (3)"/>
      <sheetName val="Efrain (3)"/>
      <sheetName val="José de Jesús (3)"/>
      <sheetName val="Claudia  (3)"/>
      <sheetName val="Esteban (3)"/>
      <sheetName val="Ana Gabriela (3)"/>
      <sheetName val="Armando  (2)"/>
      <sheetName val="Lic. María Vidal  (2)"/>
      <sheetName val="PARA MODIFICAR FECHAS"/>
      <sheetName val="M.V.Z. GILDARO SANCHEZ"/>
      <sheetName val="HT-PTC FIRMAS (2)"/>
      <sheetName val="JUAN MANUEL"/>
      <sheetName val="MANUEL JESUS"/>
      <sheetName val="MARÍA VERONICA"/>
      <sheetName val="MARIA VICTORIA"/>
      <sheetName val="EDGAR"/>
      <sheetName val="SARAHI"/>
      <sheetName val="JOSÉ MANUEL"/>
      <sheetName val="FAUSTINO (2)"/>
      <sheetName val="MARÍA AMELIA (2)"/>
      <sheetName val="PEDRO ALONSO (2)"/>
      <sheetName val="VICTOR MANUEL (2)"/>
      <sheetName val="JOSÉ LUIS CEJA (2)"/>
      <sheetName val="LUIS ENRIQUE (2)"/>
      <sheetName val="JOSÉ RICARDO (2)"/>
      <sheetName val="JORGE ISAAC (2)"/>
      <sheetName val="MARCO VINICIO (2)"/>
      <sheetName val="JUAN JOSÉ (2)"/>
      <sheetName val="ELISEO FLORES (2)"/>
      <sheetName val="GABRIEL RANGEL (2)"/>
      <sheetName val="ROBERTO CONTRERAS (2)"/>
      <sheetName val="BOTELLO (2)"/>
      <sheetName val="GERARDO  LOPEZ (2)"/>
      <sheetName val="SENEN (2)"/>
      <sheetName val="VALDES (2)"/>
      <sheetName val="KARINA LOPEZ (2)"/>
      <sheetName val="CONTRERAS (2)"/>
      <sheetName val="MEDRANO (2)"/>
      <sheetName val="ERNESTO (2)"/>
      <sheetName val="EVE (2)"/>
      <sheetName val="GABRIEL (2)"/>
      <sheetName val="MAIDA (2)"/>
      <sheetName val="ERIKA (2)"/>
      <sheetName val="ADRIANA (2)"/>
      <sheetName val="J. BENJAMIN (3)"/>
      <sheetName val="JAIR (3)"/>
      <sheetName val="PEDRO (3)"/>
      <sheetName val="JOSE VICTORIANO  (3)"/>
      <sheetName val="FEDERICO (3)"/>
      <sheetName val="ARACELI (3)"/>
      <sheetName val="ALEJANDRA (3)"/>
      <sheetName val="KIMBERLY (3)"/>
      <sheetName val="MARICHY (4)"/>
      <sheetName val="EMA (5)"/>
      <sheetName val="EMA (4)"/>
      <sheetName val="LILIANA G. (4)"/>
      <sheetName val="YESENIA. (4)"/>
      <sheetName val="ROBERTO (4)"/>
      <sheetName val="FRANCISCO (4)"/>
      <sheetName val="YERANIA (4)"/>
      <sheetName val="ALTAGRACIA (4)"/>
      <sheetName val="LILIANA (5)"/>
      <sheetName val="LILIANA (4)"/>
      <sheetName val="ANDRES (4)"/>
      <sheetName val="JULIAN (4)"/>
      <sheetName val="LUIS ALBERTO  (4)"/>
      <sheetName val="JOSE EMANUEL (4)"/>
      <sheetName val="KARINA ROBLES (5)"/>
      <sheetName val="KARINA ROBLES (4)"/>
      <sheetName val="JAIME MEDINA (4)"/>
      <sheetName val="JESUS JERONIMO (4)"/>
      <sheetName val="JUAN DANIEL (4)"/>
      <sheetName val="RIGOBERTO (4)"/>
      <sheetName val="ROCIO (4)"/>
      <sheetName val="FELICIANO"/>
      <sheetName val="MODIFICA. DOCENTES"/>
      <sheetName val="Efrain (4)"/>
      <sheetName val="José de Jesús (4)"/>
      <sheetName val="Claudia  (4)"/>
      <sheetName val="Esteban (4)"/>
      <sheetName val="Ana Gabriela (4)"/>
      <sheetName val="Armando  (4)"/>
      <sheetName val="Armando  (3)"/>
      <sheetName val="Lic. María Vidal  (3)"/>
      <sheetName val="PARA MODIFICAR FECHAS (2)"/>
      <sheetName val="M.V.Z. GILDARO SANCHEZ (2)"/>
      <sheetName val="HT-ADMINISTRATIVOS FIRMA "/>
      <sheetName val="HT-DOCENTE"/>
      <sheetName val="Admon prim vac"/>
      <sheetName val="DOCENTESprima vac"/>
      <sheetName val="Admon prim vac para imprimir"/>
      <sheetName val="DOC PV Firma"/>
      <sheetName val="HT-DOCENTE FIRMA"/>
      <sheetName val="HT-DOCENTE FIRMA estimulo "/>
      <sheetName val="HT-PTC FIRMAS "/>
      <sheetName val="Calculo ISR "/>
      <sheetName val="Calculo ISR  con prima. VAC."/>
      <sheetName val="descuentos"/>
      <sheetName val="DEL INTERINATO DE YERA"/>
      <sheetName val="Hoja2"/>
      <sheetName val="10 DIAS AGUINALDO"/>
      <sheetName val="DOCENTES AGUIN"/>
      <sheetName val="CALCULOS RETRO ADMVOS."/>
      <sheetName val="Hoja1"/>
      <sheetName val="CALCULO RETRO DESPENSA DOCENTES"/>
      <sheetName val="CALCULO RETRO GUARDERIA DOCENTE"/>
      <sheetName val="CALCULO RETRO AYUDA PARA UTILES"/>
      <sheetName val="CALCULO DE RETRO MATERIAL DIDA"/>
      <sheetName val="PTC RETROACTIVOS"/>
      <sheetName val="DOCENTE CALCULOS PRUEB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 refreshError="1"/>
      <sheetData sheetId="148" refreshError="1"/>
      <sheetData sheetId="149" refreshError="1"/>
      <sheetData sheetId="150" refreshError="1"/>
      <sheetData sheetId="151"/>
      <sheetData sheetId="152" refreshError="1"/>
      <sheetData sheetId="153" refreshError="1"/>
      <sheetData sheetId="154">
        <row r="34">
          <cell r="BE34">
            <v>393.68583999999998</v>
          </cell>
          <cell r="BF34">
            <v>1261.6158876000002</v>
          </cell>
          <cell r="BG34">
            <v>1009.1419691999999</v>
          </cell>
          <cell r="BH34">
            <v>1530.0569399999999</v>
          </cell>
          <cell r="BI34">
            <v>1436.0003160000001</v>
          </cell>
          <cell r="BJ34">
            <v>-122.49287999999999</v>
          </cell>
          <cell r="BK34">
            <v>1034.791164</v>
          </cell>
          <cell r="BM34">
            <v>1047.0571440000001</v>
          </cell>
          <cell r="BN34">
            <v>1107.2763239999999</v>
          </cell>
          <cell r="BO34">
            <v>1320.1575599999996</v>
          </cell>
          <cell r="BP34">
            <v>1157.552424</v>
          </cell>
          <cell r="BQ34">
            <v>1539.5151480000002</v>
          </cell>
          <cell r="BR34">
            <v>434.81044800000012</v>
          </cell>
          <cell r="BS34">
            <v>885.16970399999991</v>
          </cell>
          <cell r="BT34">
            <v>1020.9125039999999</v>
          </cell>
          <cell r="BU34">
            <v>977.17256399999997</v>
          </cell>
          <cell r="BV34">
            <v>379.0564</v>
          </cell>
          <cell r="BW34">
            <v>408.21896000000004</v>
          </cell>
          <cell r="BX34">
            <v>76.254271999999958</v>
          </cell>
          <cell r="BY34">
            <v>126.03803200000002</v>
          </cell>
          <cell r="BZ34">
            <v>418.97364799999991</v>
          </cell>
          <cell r="CA34">
            <v>592.55906400000003</v>
          </cell>
          <cell r="CB34">
            <v>-107.52583999999997</v>
          </cell>
          <cell r="CC34">
            <v>-107.52583999999997</v>
          </cell>
          <cell r="CD34">
            <v>-76.169039999999981</v>
          </cell>
          <cell r="CE34">
            <v>586.12970400000017</v>
          </cell>
          <cell r="CF34">
            <v>-94.97784</v>
          </cell>
          <cell r="CG34">
            <v>144.27291199999999</v>
          </cell>
          <cell r="CH34">
            <v>502.12334399999997</v>
          </cell>
        </row>
      </sheetData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RARDO"/>
      <sheetName val="MARIA CELI"/>
      <sheetName val="Maria del Rosario"/>
      <sheetName val="MIGUEL (2)"/>
      <sheetName val="CALCULO ISR-SUBS"/>
      <sheetName val="HT-ADMINISTRATIVOS"/>
      <sheetName val="FAUSTINO"/>
      <sheetName val="MARÍA AMELIA"/>
      <sheetName val="PEDRO ALONSO"/>
      <sheetName val="VICTOR MANUEL"/>
      <sheetName val="JOSÉ LUIS CEJA"/>
      <sheetName val="LUIS ENRIQUE"/>
      <sheetName val="JOSÉ RICARDO"/>
      <sheetName val="JORGE ISAAC"/>
      <sheetName val="MARCO VINICIO"/>
      <sheetName val="JUAN JOSÉ"/>
      <sheetName val="ELISEO FLORES"/>
      <sheetName val="GABRIEL RANGEL"/>
      <sheetName val="ROBERTO CONTRERAS"/>
      <sheetName val="BOTELLO"/>
      <sheetName val="GERARDO  LOPEZ"/>
      <sheetName val="SENEN"/>
      <sheetName val="VALDES"/>
      <sheetName val="KARINA LOPEZ"/>
      <sheetName val="CONTRERAS"/>
      <sheetName val="MEDRANO"/>
      <sheetName val="ERNESTO"/>
      <sheetName val="EVE"/>
      <sheetName val="GABRIEL"/>
      <sheetName val="MAIDA"/>
      <sheetName val="ERIKA"/>
      <sheetName val="ADRIANA"/>
      <sheetName val="J. BENJAMIN (2)"/>
      <sheetName val="JAIR (2)"/>
      <sheetName val="PEDRO (2)"/>
      <sheetName val="JOSE VICTORIANO  (2)"/>
      <sheetName val="FEDERICO (2)"/>
      <sheetName val="ARACELI (2)"/>
      <sheetName val="ALEJANDRA (2)"/>
      <sheetName val="KIMBERLY (2)"/>
      <sheetName val="MARICHY (3)"/>
      <sheetName val="EMA (3)"/>
      <sheetName val="LILIANA G. (3)"/>
      <sheetName val="YESENIA. (3)"/>
      <sheetName val="ROBERTO (3)"/>
      <sheetName val="FRANCISCO (3)"/>
      <sheetName val="YERANIA (3)"/>
      <sheetName val="ALTAGRACIA (3)"/>
      <sheetName val="LILIANA (3)"/>
      <sheetName val="ANDRES (3)"/>
      <sheetName val="JULIAN (3)"/>
      <sheetName val="LUIS ALBERTO  (3)"/>
      <sheetName val="JOSE EMANUEL (3)"/>
      <sheetName val="KARINA ROBLES (3)"/>
      <sheetName val="JAIME MEDINA (3)"/>
      <sheetName val="JESUS JERONIMO (3)"/>
      <sheetName val="JUAN DANIEL (3)"/>
      <sheetName val="RIGOBERTO (3)"/>
      <sheetName val="ROCIO (3)"/>
      <sheetName val="FELICIANO (3)"/>
      <sheetName val="Efrain (3)"/>
      <sheetName val="José de Jesús (3)"/>
      <sheetName val="Claudia  (3)"/>
      <sheetName val="Esteban (3)"/>
      <sheetName val="Ana Gabriela (3)"/>
      <sheetName val="Armando  (2)"/>
      <sheetName val="Lic. María Vidal  (2)"/>
      <sheetName val="PARA MODIFICAR FECHAS"/>
      <sheetName val="M.V.Z. GILDARO SANCHEZ"/>
      <sheetName val="HT-PTC FIRMAS (2)"/>
      <sheetName val="JUAN MANUEL"/>
      <sheetName val="MANUEL JESUS"/>
      <sheetName val="MARÍA VERONICA"/>
      <sheetName val="MARIA VICTORIA"/>
      <sheetName val="EDGAR"/>
      <sheetName val="SARAHI"/>
      <sheetName val="JOSÉ MANUEL"/>
      <sheetName val="FAUSTINO (2)"/>
      <sheetName val="MARÍA AMELIA (2)"/>
      <sheetName val="PEDRO ALONSO (2)"/>
      <sheetName val="VICTOR MANUEL (2)"/>
      <sheetName val="JOSÉ LUIS CEJA (2)"/>
      <sheetName val="LUIS ENRIQUE (2)"/>
      <sheetName val="JOSÉ RICARDO (2)"/>
      <sheetName val="JORGE ISAAC (2)"/>
      <sheetName val="MARCO VINICIO (2)"/>
      <sheetName val="JUAN JOSÉ (2)"/>
      <sheetName val="ELISEO FLORES (2)"/>
      <sheetName val="GABRIEL RANGEL (2)"/>
      <sheetName val="ROBERTO CONTRERAS (2)"/>
      <sheetName val="BOTELLO (2)"/>
      <sheetName val="GERARDO  LOPEZ (2)"/>
      <sheetName val="SENEN (2)"/>
      <sheetName val="VALDES (2)"/>
      <sheetName val="KARINA LOPEZ (2)"/>
      <sheetName val="CONTRERAS (2)"/>
      <sheetName val="MEDRANO (2)"/>
      <sheetName val="ERNESTO (2)"/>
      <sheetName val="EVE (2)"/>
      <sheetName val="GABRIEL (2)"/>
      <sheetName val="MAIDA (2)"/>
      <sheetName val="ERIKA (2)"/>
      <sheetName val="ADRIANA (2)"/>
      <sheetName val="J. BENJAMIN (3)"/>
      <sheetName val="JAIR (3)"/>
      <sheetName val="PEDRO (3)"/>
      <sheetName val="JOSE VICTORIANO  (3)"/>
      <sheetName val="FEDERICO (3)"/>
      <sheetName val="ARACELI (3)"/>
      <sheetName val="ALEJANDRA (3)"/>
      <sheetName val="KIMBERLY (3)"/>
      <sheetName val="MARICHY (4)"/>
      <sheetName val="EMA (5)"/>
      <sheetName val="EMA (4)"/>
      <sheetName val="LILIANA G. (4)"/>
      <sheetName val="YESENIA. (4)"/>
      <sheetName val="ROBERTO (4)"/>
      <sheetName val="FRANCISCO (4)"/>
      <sheetName val="YERANIA (4)"/>
      <sheetName val="ALTAGRACIA (4)"/>
      <sheetName val="LILIANA (5)"/>
      <sheetName val="LILIANA (4)"/>
      <sheetName val="ANDRES (4)"/>
      <sheetName val="JULIAN (4)"/>
      <sheetName val="LUIS ALBERTO  (4)"/>
      <sheetName val="JOSE EMANUEL (4)"/>
      <sheetName val="KARINA ROBLES (5)"/>
      <sheetName val="KARINA ROBLES (4)"/>
      <sheetName val="JAIME MEDINA (4)"/>
      <sheetName val="JESUS JERONIMO (4)"/>
      <sheetName val="JUAN DANIEL (4)"/>
      <sheetName val="RIGOBERTO (4)"/>
      <sheetName val="ROCIO (4)"/>
      <sheetName val="FELICIANO"/>
      <sheetName val="MODIFICA. DOCENTES"/>
      <sheetName val="Efrain (4)"/>
      <sheetName val="José de Jesús (4)"/>
      <sheetName val="Claudia  (4)"/>
      <sheetName val="Esteban (4)"/>
      <sheetName val="Ana Gabriela (4)"/>
      <sheetName val="Armando  (4)"/>
      <sheetName val="Armando  (3)"/>
      <sheetName val="Lic. María Vidal  (3)"/>
      <sheetName val="PARA MODIFICAR FECHAS (2)"/>
      <sheetName val="M.V.Z. GILDARO SANCHEZ (2)"/>
      <sheetName val="HT-ADMINISTRATIVOS FIRMA "/>
      <sheetName val="HT-DOCENTE"/>
      <sheetName val="Admon prim vac"/>
      <sheetName val="DOCENTESprima vac"/>
      <sheetName val="Admon prim vac para imprimir"/>
      <sheetName val="DOC PV Firma"/>
      <sheetName val="HT-DOCENTE FIRMA"/>
      <sheetName val="HT-DOCENTE FIRMA estimulo "/>
      <sheetName val="HT-PTC FIRMAS "/>
      <sheetName val="Calculo ISR "/>
      <sheetName val="Calculo ISR  con prima. VAC."/>
      <sheetName val="descuentos"/>
      <sheetName val="DEL INTERINATO DE YERA"/>
      <sheetName val="Hoja2"/>
      <sheetName val="10 DIAS AGUINALDO"/>
      <sheetName val="DOCENTES AGUIN"/>
      <sheetName val="CALCULOS RETRO ADMVOS."/>
      <sheetName val="Hoja1"/>
      <sheetName val="CALCULO RETRO DESPENSA DOCENTES"/>
      <sheetName val="CALCULO RETRO GUARDERIA DOCENTE"/>
      <sheetName val="CALCULO RETRO AYUDA PARA UTILES"/>
      <sheetName val="CALCULO DE RETRO MATERIAL DIDA"/>
      <sheetName val="PTC RETROACTIVOS"/>
      <sheetName val="DOCENTE CALCULOS PRUEB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 refreshError="1"/>
      <sheetData sheetId="148" refreshError="1"/>
      <sheetData sheetId="149" refreshError="1"/>
      <sheetData sheetId="150" refreshError="1"/>
      <sheetData sheetId="151"/>
      <sheetData sheetId="152" refreshError="1"/>
      <sheetData sheetId="153" refreshError="1"/>
      <sheetData sheetId="154">
        <row r="34">
          <cell r="BF34">
            <v>141.37447999999998</v>
          </cell>
          <cell r="BG34">
            <v>919.17236759999992</v>
          </cell>
          <cell r="BH34">
            <v>604.46395320000011</v>
          </cell>
          <cell r="BI34">
            <v>962.25687600000003</v>
          </cell>
          <cell r="BJ34">
            <v>851.79577199999994</v>
          </cell>
          <cell r="BL34">
            <v>716.31356400000004</v>
          </cell>
          <cell r="BN34">
            <v>713.71298400000001</v>
          </cell>
          <cell r="BO34">
            <v>786.36368399999992</v>
          </cell>
          <cell r="BP34">
            <v>891.43886399999997</v>
          </cell>
          <cell r="BQ34">
            <v>821.38874400000009</v>
          </cell>
          <cell r="BR34">
            <v>962.25687600000003</v>
          </cell>
          <cell r="BS34">
            <v>181.00747199999992</v>
          </cell>
          <cell r="BT34">
            <v>573.61274399999979</v>
          </cell>
          <cell r="BU34">
            <v>713.71298400000001</v>
          </cell>
          <cell r="BV34">
            <v>678.68792400000007</v>
          </cell>
          <cell r="BW34">
            <v>127.62651199999996</v>
          </cell>
          <cell r="BX34">
            <v>-117.26823999999999</v>
          </cell>
          <cell r="BY34">
            <v>-29.066368000000068</v>
          </cell>
          <cell r="BZ34">
            <v>3.1741119999999796</v>
          </cell>
          <cell r="CA34">
            <v>145.46699199999998</v>
          </cell>
          <cell r="CB34">
            <v>450.26644799999997</v>
          </cell>
          <cell r="CC34">
            <v>-127.76263999999999</v>
          </cell>
          <cell r="CD34">
            <v>-127.76263999999999</v>
          </cell>
          <cell r="CE34">
            <v>-106.77383999999998</v>
          </cell>
          <cell r="CF34">
            <v>509.03508800000009</v>
          </cell>
          <cell r="CG34">
            <v>-106.77383999999998</v>
          </cell>
          <cell r="CH34">
            <v>127.62651199999996</v>
          </cell>
          <cell r="CI34">
            <v>450.26644799999997</v>
          </cell>
        </row>
      </sheetData>
      <sheetData sheetId="155" refreshError="1"/>
      <sheetData sheetId="156">
        <row r="10">
          <cell r="D10">
            <v>394.875</v>
          </cell>
        </row>
        <row r="11">
          <cell r="D11">
            <v>78.974999999999994</v>
          </cell>
        </row>
      </sheetData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ERARDO"/>
      <sheetName val="MARIA CELI"/>
      <sheetName val="Maria del Rosario"/>
      <sheetName val="MIGUEL (2)"/>
      <sheetName val="CALCULO ISR-SUBS"/>
      <sheetName val="HT-ADMINISTRATIVOS"/>
      <sheetName val="FAUSTINO"/>
      <sheetName val="MARÍA AMELIA"/>
      <sheetName val="PEDRO ALONSO"/>
      <sheetName val="VICTOR MANUEL"/>
      <sheetName val="JOSÉ LUIS CEJA"/>
      <sheetName val="LUIS ENRIQUE"/>
      <sheetName val="JOSÉ RICARDO"/>
      <sheetName val="JORGE ISAAC"/>
      <sheetName val="MARCO VINICIO"/>
      <sheetName val="JUAN JOSÉ"/>
      <sheetName val="ELISEO FLORES"/>
      <sheetName val="GABRIEL RANGEL"/>
      <sheetName val="ROBERTO CONTRERAS"/>
      <sheetName val="BOTELLO"/>
      <sheetName val="GERARDO  LOPEZ"/>
      <sheetName val="SENEN"/>
      <sheetName val="VALDES"/>
      <sheetName val="KARINA LOPEZ"/>
      <sheetName val="CONTRERAS"/>
      <sheetName val="MEDRANO"/>
      <sheetName val="ERNESTO"/>
      <sheetName val="EVE"/>
      <sheetName val="GABRIEL"/>
      <sheetName val="MAIDA"/>
      <sheetName val="ERIKA"/>
      <sheetName val="ADRIANA"/>
      <sheetName val="J. BENJAMIN (2)"/>
      <sheetName val="JAIR (2)"/>
      <sheetName val="PEDRO (2)"/>
      <sheetName val="JOSE VICTORIANO  (2)"/>
      <sheetName val="FEDERICO (2)"/>
      <sheetName val="ARACELI (2)"/>
      <sheetName val="ALEJANDRA (2)"/>
      <sheetName val="KIMBERLY (2)"/>
      <sheetName val="MARICHY (3)"/>
      <sheetName val="EMA (3)"/>
      <sheetName val="LILIANA G. (3)"/>
      <sheetName val="YESENIA. (3)"/>
      <sheetName val="ROBERTO (3)"/>
      <sheetName val="FRANCISCO (3)"/>
      <sheetName val="YERANIA (3)"/>
      <sheetName val="ALTAGRACIA (3)"/>
      <sheetName val="LILIANA (3)"/>
      <sheetName val="ANDRES (3)"/>
      <sheetName val="JULIAN (3)"/>
      <sheetName val="LUIS ALBERTO  (3)"/>
      <sheetName val="JOSE EMANUEL (3)"/>
      <sheetName val="KARINA ROBLES (3)"/>
      <sheetName val="JAIME MEDINA (3)"/>
      <sheetName val="JESUS JERONIMO (3)"/>
      <sheetName val="JUAN DANIEL (3)"/>
      <sheetName val="RIGOBERTO (3)"/>
      <sheetName val="ROCIO (3)"/>
      <sheetName val="FELICIANO (3)"/>
      <sheetName val="Efrain (3)"/>
      <sheetName val="José de Jesús (3)"/>
      <sheetName val="Claudia  (3)"/>
      <sheetName val="Esteban (3)"/>
      <sheetName val="Ana Gabriela (3)"/>
      <sheetName val="Armando  (2)"/>
      <sheetName val="Lic. María Vidal  (2)"/>
      <sheetName val="PARA MODIFICAR FECHAS"/>
      <sheetName val="M.V.Z. GILDARO SANCHEZ"/>
      <sheetName val="HT-PTC FIRMAS (2)"/>
      <sheetName val="JUAN MANUEL"/>
      <sheetName val="MANUEL JESUS"/>
      <sheetName val="MARÍA VERONICA"/>
      <sheetName val="MARIA VICTORIA"/>
      <sheetName val="EDGAR"/>
      <sheetName val="SARAHI"/>
      <sheetName val="JOSÉ MANUEL"/>
      <sheetName val="FAUSTINO (2)"/>
      <sheetName val="MARÍA AMELIA (2)"/>
      <sheetName val="PEDRO ALONSO (2)"/>
      <sheetName val="VICTOR MANUEL (2)"/>
      <sheetName val="JOSÉ LUIS CEJA (2)"/>
      <sheetName val="LUIS ENRIQUE (2)"/>
      <sheetName val="JOSÉ RICARDO (2)"/>
      <sheetName val="JORGE ISAAC (2)"/>
      <sheetName val="MARCO VINICIO (2)"/>
      <sheetName val="JUAN JOSÉ (2)"/>
      <sheetName val="ELISEO FLORES (2)"/>
      <sheetName val="GABRIEL RANGEL (2)"/>
      <sheetName val="ROBERTO CONTRERAS (2)"/>
      <sheetName val="BOTELLO (2)"/>
      <sheetName val="GERARDO  LOPEZ (2)"/>
      <sheetName val="SENEN (2)"/>
      <sheetName val="VALDES (2)"/>
      <sheetName val="KARINA LOPEZ (2)"/>
      <sheetName val="CONTRERAS (2)"/>
      <sheetName val="MEDRANO (2)"/>
      <sheetName val="ERNESTO (2)"/>
      <sheetName val="EVE (2)"/>
      <sheetName val="GABRIEL (2)"/>
      <sheetName val="MAIDA (2)"/>
      <sheetName val="ERIKA (2)"/>
      <sheetName val="ADRIANA (2)"/>
      <sheetName val="J. BENJAMIN (3)"/>
      <sheetName val="JAIR (3)"/>
      <sheetName val="PEDRO (3)"/>
      <sheetName val="JOSE VICTORIANO  (3)"/>
      <sheetName val="FEDERICO (3)"/>
      <sheetName val="ARACELI (3)"/>
      <sheetName val="ALEJANDRA (3)"/>
      <sheetName val="KIMBERLY (3)"/>
      <sheetName val="MARICHY (4)"/>
      <sheetName val="EMA (5)"/>
      <sheetName val="EMA (4)"/>
      <sheetName val="LILIANA G. (4)"/>
      <sheetName val="YESENIA. (4)"/>
      <sheetName val="ROBERTO (4)"/>
      <sheetName val="FRANCISCO (4)"/>
      <sheetName val="YERANIA (4)"/>
      <sheetName val="ALTAGRACIA (4)"/>
      <sheetName val="LILIANA (5)"/>
      <sheetName val="LILIANA (4)"/>
      <sheetName val="ANDRES (4)"/>
      <sheetName val="JULIAN (4)"/>
      <sheetName val="LUIS ALBERTO  (4)"/>
      <sheetName val="JOSE EMANUEL (4)"/>
      <sheetName val="KARINA ROBLES (5)"/>
      <sheetName val="KARINA ROBLES (4)"/>
      <sheetName val="JAIME MEDINA (4)"/>
      <sheetName val="JESUS JERONIMO (4)"/>
      <sheetName val="JUAN DANIEL (4)"/>
      <sheetName val="RIGOBERTO (4)"/>
      <sheetName val="ROCIO (4)"/>
      <sheetName val="FELICIANO"/>
      <sheetName val="MODIFICA. DOCENTES"/>
      <sheetName val="Efrain (4)"/>
      <sheetName val="José de Jesús (4)"/>
      <sheetName val="Claudia  (4)"/>
      <sheetName val="Esteban (4)"/>
      <sheetName val="Ana Gabriela (4)"/>
      <sheetName val="Armando  (4)"/>
      <sheetName val="Armando  (3)"/>
      <sheetName val="Lic. María Vidal  (3)"/>
      <sheetName val="PARA MODIFICAR FECHAS (2)"/>
      <sheetName val="M.V.Z. GILDARO SANCHEZ (2)"/>
      <sheetName val="HT-ADMINISTRATIVOS FIRMA "/>
      <sheetName val="HT-DOCENTE"/>
      <sheetName val="Admon prim vac"/>
      <sheetName val="DOCENTESprima vac"/>
      <sheetName val="Admon prim vac para imprimir"/>
      <sheetName val="DOC PV Firma"/>
      <sheetName val="Admon aguinaldo FIRMAS "/>
      <sheetName val="HT-DOCENTE FIRMA"/>
      <sheetName val="HT-DOCENTE FIRMA estimulo "/>
      <sheetName val="Docentes aguinaldo FIRMAS"/>
      <sheetName val="HT-PTC FIRMAS "/>
      <sheetName val="PTC aguinaldo FIRMAS"/>
      <sheetName val="Calculo ISR "/>
      <sheetName val="Calculo ISR  con prima. VAC."/>
      <sheetName val="descuentos"/>
      <sheetName val="DEL INTERINATO DE YERA"/>
      <sheetName val="Hoja2"/>
      <sheetName val="10 DIAS AGUINALDO"/>
      <sheetName val="DOCENTES AGUIN"/>
      <sheetName val="CALCULOS RETRO ADMVOS."/>
      <sheetName val="Hoja1"/>
      <sheetName val="CALCULO RETRO DESPENSA DOCENTES"/>
      <sheetName val="CALCULO RETRO GUARDERIA DOCENTE"/>
      <sheetName val="CALCULO RETRO AYUDA PARA UTILES"/>
      <sheetName val="CALCULO DE RETRO MATERIAL DIDA"/>
      <sheetName val="PTC RETROACTIVOS"/>
      <sheetName val="PROYECTO.50 DIAS DE AGUI"/>
      <sheetName val="Admon aguinaldo CALCULOS"/>
      <sheetName val="Admon aguinaldo CALCULO RESUME "/>
      <sheetName val=" aguinaldo DOCENTES "/>
      <sheetName val="HT-DOCENTE TODOS LOS CALCULOSS"/>
      <sheetName val="CALCULOSS AGUINALDO PTC"/>
      <sheetName val="Calculo ISR  CON AGUINALDOSSS"/>
      <sheetName val="DOCENTE CALCULOS PRUEBA"/>
      <sheetName val="calculo. PRIMA VAC. ADMVOS"/>
      <sheetName val="FIRMAS PV. ADMVOS"/>
      <sheetName val="CALCULO PV DOCENTES"/>
      <sheetName val="FIRMAS PV. DOCENTES"/>
      <sheetName val="calculo. PRIMA VAC. PTC"/>
      <sheetName val="FIRMAS PV. PTC"/>
      <sheetName val="Calculo ISR P. VACACIONAL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/>
      <sheetData sheetId="153" refreshError="1"/>
      <sheetData sheetId="154" refreshError="1"/>
      <sheetData sheetId="155"/>
      <sheetData sheetId="156" refreshError="1"/>
      <sheetData sheetId="157">
        <row r="34">
          <cell r="BF34">
            <v>141.37447999999998</v>
          </cell>
          <cell r="BG34">
            <v>919.17236759999992</v>
          </cell>
          <cell r="BH34">
            <v>604.46395320000011</v>
          </cell>
          <cell r="BI34">
            <v>962.25687600000003</v>
          </cell>
          <cell r="BJ34">
            <v>851.79577199999994</v>
          </cell>
          <cell r="BL34">
            <v>716.31356400000004</v>
          </cell>
          <cell r="BN34">
            <v>713.71298400000001</v>
          </cell>
          <cell r="BO34">
            <v>786.36368399999992</v>
          </cell>
          <cell r="BP34">
            <v>891.43886399999997</v>
          </cell>
          <cell r="BQ34">
            <v>821.38874400000009</v>
          </cell>
          <cell r="BR34">
            <v>962.25687600000003</v>
          </cell>
          <cell r="BS34">
            <v>181.00747199999992</v>
          </cell>
          <cell r="BT34">
            <v>573.61274399999979</v>
          </cell>
          <cell r="BU34">
            <v>713.71298400000001</v>
          </cell>
          <cell r="BV34">
            <v>678.68792400000007</v>
          </cell>
          <cell r="BW34">
            <v>127.62651199999996</v>
          </cell>
          <cell r="BX34">
            <v>-117.26823999999999</v>
          </cell>
          <cell r="BY34">
            <v>-29.066368000000068</v>
          </cell>
          <cell r="BZ34">
            <v>3.1741119999999796</v>
          </cell>
          <cell r="CA34">
            <v>145.46699199999998</v>
          </cell>
          <cell r="CB34">
            <v>450.26644799999997</v>
          </cell>
          <cell r="CC34">
            <v>-127.76263999999999</v>
          </cell>
          <cell r="CD34">
            <v>-127.76263999999999</v>
          </cell>
          <cell r="CE34">
            <v>-106.77383999999998</v>
          </cell>
          <cell r="CF34">
            <v>509.03508800000009</v>
          </cell>
          <cell r="CG34">
            <v>-106.77383999999998</v>
          </cell>
          <cell r="CH34">
            <v>127.62651199999996</v>
          </cell>
          <cell r="CI34">
            <v>450.26644799999997</v>
          </cell>
        </row>
      </sheetData>
      <sheetData sheetId="158" refreshError="1"/>
      <sheetData sheetId="159">
        <row r="10">
          <cell r="D10">
            <v>0</v>
          </cell>
        </row>
        <row r="11">
          <cell r="D11">
            <v>0</v>
          </cell>
        </row>
        <row r="13">
          <cell r="D13">
            <v>78.974999999999994</v>
          </cell>
        </row>
      </sheetData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ERARDO"/>
      <sheetName val="MARIA CELI"/>
      <sheetName val="Maria del Rosario"/>
      <sheetName val="MIGUEL (2)"/>
      <sheetName val="CALCULO ISR-SUBS"/>
      <sheetName val="HT-ADMINISTRATIVOS"/>
      <sheetName val="FAUSTINO"/>
      <sheetName val="MARÍA AMELIA"/>
      <sheetName val="PEDRO ALONSO"/>
      <sheetName val="VICTOR MANUEL"/>
      <sheetName val="JOSÉ LUIS CEJA"/>
      <sheetName val="LUIS ENRIQUE"/>
      <sheetName val="JOSÉ RICARDO"/>
      <sheetName val="JORGE ISAAC"/>
      <sheetName val="MARCO VINICIO"/>
      <sheetName val="JUAN JOSÉ"/>
      <sheetName val="ELISEO FLORES"/>
      <sheetName val="GABRIEL RANGEL"/>
      <sheetName val="ROBERTO CONTRERAS"/>
      <sheetName val="BOTELLO"/>
      <sheetName val="GERARDO  LOPEZ"/>
      <sheetName val="SENEN"/>
      <sheetName val="VALDES"/>
      <sheetName val="KARINA LOPEZ"/>
      <sheetName val="CONTRERAS"/>
      <sheetName val="MEDRANO"/>
      <sheetName val="ERNESTO"/>
      <sheetName val="EVE"/>
      <sheetName val="GABRIEL"/>
      <sheetName val="MAIDA"/>
      <sheetName val="ERIKA"/>
      <sheetName val="ADRIANA"/>
      <sheetName val="J. BENJAMIN (2)"/>
      <sheetName val="JAIR (2)"/>
      <sheetName val="PEDRO (2)"/>
      <sheetName val="JOSE VICTORIANO  (2)"/>
      <sheetName val="FEDERICO (2)"/>
      <sheetName val="ARACELI (2)"/>
      <sheetName val="ALEJANDRA (2)"/>
      <sheetName val="KIMBERLY (2)"/>
      <sheetName val="MARICHY (3)"/>
      <sheetName val="EMA (3)"/>
      <sheetName val="LILIANA G. (3)"/>
      <sheetName val="YESENIA. (3)"/>
      <sheetName val="ROBERTO (3)"/>
      <sheetName val="FRANCISCO (3)"/>
      <sheetName val="YERANIA (3)"/>
      <sheetName val="ALTAGRACIA (3)"/>
      <sheetName val="LILIANA (3)"/>
      <sheetName val="ANDRES (3)"/>
      <sheetName val="JULIAN (3)"/>
      <sheetName val="LUIS ALBERTO  (3)"/>
      <sheetName val="JOSE EMANUEL (3)"/>
      <sheetName val="KARINA ROBLES (3)"/>
      <sheetName val="JAIME MEDINA (3)"/>
      <sheetName val="JESUS JERONIMO (3)"/>
      <sheetName val="JUAN DANIEL (3)"/>
      <sheetName val="RIGOBERTO (3)"/>
      <sheetName val="ROCIO (3)"/>
      <sheetName val="FELICIANO (3)"/>
      <sheetName val="Efrain (3)"/>
      <sheetName val="José de Jesús (3)"/>
      <sheetName val="Claudia  (3)"/>
      <sheetName val="Esteban (3)"/>
      <sheetName val="Ana Gabriela (3)"/>
      <sheetName val="Armando  (2)"/>
      <sheetName val="Lic. María Vidal  (2)"/>
      <sheetName val="PARA MODIFICAR FECHAS"/>
      <sheetName val="M.V.Z. GILDARO SANCHEZ"/>
      <sheetName val="HT-PTC FIRMAS (2)"/>
      <sheetName val="JUAN MANUEL"/>
      <sheetName val="MANUEL JESUS"/>
      <sheetName val="MARÍA VERONICA"/>
      <sheetName val="MARIA VICTORIA"/>
      <sheetName val="EDGAR"/>
      <sheetName val="SARAHI"/>
      <sheetName val="JOSÉ MANUEL"/>
      <sheetName val="FAUSTINO (2)"/>
      <sheetName val="MARÍA AMELIA (2)"/>
      <sheetName val="PEDRO ALONSO (2)"/>
      <sheetName val="VICTOR MANUEL (2)"/>
      <sheetName val="JOSÉ LUIS CEJA (2)"/>
      <sheetName val="LUIS ENRIQUE (2)"/>
      <sheetName val="JOSÉ RICARDO (2)"/>
      <sheetName val="JORGE ISAAC (2)"/>
      <sheetName val="MARCO VINICIO (2)"/>
      <sheetName val="JUAN JOSÉ (2)"/>
      <sheetName val="ELISEO FLORES (2)"/>
      <sheetName val="GABRIEL RANGEL (2)"/>
      <sheetName val="ROBERTO CONTRERAS (2)"/>
      <sheetName val="BOTELLO (2)"/>
      <sheetName val="GERARDO  LOPEZ (2)"/>
      <sheetName val="SENEN (2)"/>
      <sheetName val="VALDES (2)"/>
      <sheetName val="KARINA LOPEZ (2)"/>
      <sheetName val="CONTRERAS (2)"/>
      <sheetName val="MEDRANO (2)"/>
      <sheetName val="ERNESTO (2)"/>
      <sheetName val="EVE (2)"/>
      <sheetName val="GABRIEL (2)"/>
      <sheetName val="MAIDA (2)"/>
      <sheetName val="ERIKA (2)"/>
      <sheetName val="ADRIANA (2)"/>
      <sheetName val="J. BENJAMIN (3)"/>
      <sheetName val="JAIR (3)"/>
      <sheetName val="PEDRO (3)"/>
      <sheetName val="JOSE VICTORIANO  (3)"/>
      <sheetName val="FEDERICO (3)"/>
      <sheetName val="ARACELI (3)"/>
      <sheetName val="ALEJANDRA (3)"/>
      <sheetName val="KIMBERLY (3)"/>
      <sheetName val="MARICHY (4)"/>
      <sheetName val="EMA (5)"/>
      <sheetName val="EMA (4)"/>
      <sheetName val="LILIANA G. (4)"/>
      <sheetName val="YESENIA. (4)"/>
      <sheetName val="ROBERTO (4)"/>
      <sheetName val="FRANCISCO (4)"/>
      <sheetName val="YERANIA (4)"/>
      <sheetName val="ALTAGRACIA (4)"/>
      <sheetName val="LILIANA (5)"/>
      <sheetName val="LILIANA (4)"/>
      <sheetName val="ANDRES (4)"/>
      <sheetName val="JULIAN (4)"/>
      <sheetName val="LUIS ALBERTO  (4)"/>
      <sheetName val="JOSE EMANUEL (4)"/>
      <sheetName val="KARINA ROBLES (5)"/>
      <sheetName val="KARINA ROBLES (4)"/>
      <sheetName val="JAIME MEDINA (4)"/>
      <sheetName val="JESUS JERONIMO (4)"/>
      <sheetName val="JUAN DANIEL (4)"/>
      <sheetName val="RIGOBERTO (4)"/>
      <sheetName val="ROCIO (4)"/>
      <sheetName val="FELICIANO"/>
      <sheetName val="MODIFICA. DOCENTES"/>
      <sheetName val="Efrain (4)"/>
      <sheetName val="José de Jesús (4)"/>
      <sheetName val="Claudia  (4)"/>
      <sheetName val="Esteban (4)"/>
      <sheetName val="Ana Gabriela (4)"/>
      <sheetName val="Armando  (4)"/>
      <sheetName val="Armando  (3)"/>
      <sheetName val="Lic. María Vidal  (3)"/>
      <sheetName val="PARA MODIFICAR FECHAS (2)"/>
      <sheetName val="M.V.Z. GILDARO SANCHEZ (2)"/>
      <sheetName val="HT-ADMINISTRATIVOS FIRMA "/>
      <sheetName val="HT-DOCENTE"/>
      <sheetName val="Admon prim vac"/>
      <sheetName val="DOCENTESprima vac"/>
      <sheetName val="Admon prim vac para imprimir"/>
      <sheetName val="DOC PV Firma"/>
      <sheetName val="Admon aguinaldo FIRMAS "/>
      <sheetName val="HT-DOCENTE FIRMA"/>
      <sheetName val="HT-DOCENTE FIRMA estimulo "/>
      <sheetName val="Docentes aguinaldo FIRMAS"/>
      <sheetName val="HT-PTC FIRMAS "/>
      <sheetName val="PTC aguinaldo FIRMAS"/>
      <sheetName val="Calculo ISR "/>
      <sheetName val="Calculo ISR  con prima. VAC."/>
      <sheetName val="descuentos"/>
      <sheetName val="DEL INTERINATO DE YERA"/>
      <sheetName val="Hoja2"/>
      <sheetName val="10 DIAS AGUINALDO"/>
      <sheetName val="DOCENTES AGUIN"/>
      <sheetName val="CALCULOS RETRO ADMVOS."/>
      <sheetName val="Hoja1"/>
      <sheetName val="CALCULO RETRO DESPENSA DOCENTES"/>
      <sheetName val="CALCULO RETRO GUARDERIA DOCENTE"/>
      <sheetName val="CALCULO RETRO AYUDA PARA UTILES"/>
      <sheetName val="CALCULO DE RETRO MATERIAL DIDA"/>
      <sheetName val="PTC RETROACTIVOS"/>
      <sheetName val="PROYECTO.50 DIAS DE AGUI"/>
      <sheetName val="Admon aguinaldo CALCULOS"/>
      <sheetName val="Admon aguinaldo CALCULO RESUME "/>
      <sheetName val=" aguinaldo DOCENTES "/>
      <sheetName val="HT-DOCENTE TODOS LOS CALCULOSS"/>
      <sheetName val="CALCULOSS AGUINALDO PTC"/>
      <sheetName val="Calculo ISR  CON AGUINALDOSSS"/>
      <sheetName val="DOCENTE CALCULOS PRUEBA"/>
      <sheetName val="calculo. PRIMA VAC. ADMVOS"/>
      <sheetName val="FIRMAS PV. ADMVOS"/>
      <sheetName val="CALCULO PV DOCENTES"/>
      <sheetName val="FIRMAS PV. DOCENTES"/>
      <sheetName val="calculo. PRIMA VAC. PTC"/>
      <sheetName val="FIRMAS PV. PTC"/>
      <sheetName val="Calculo ISR P. VACACIONAL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/>
      <sheetData sheetId="153" refreshError="1"/>
      <sheetData sheetId="154" refreshError="1"/>
      <sheetData sheetId="155" refreshError="1"/>
      <sheetData sheetId="156" refreshError="1"/>
      <sheetData sheetId="157">
        <row r="34">
          <cell r="BH34">
            <v>141.37447999999998</v>
          </cell>
          <cell r="BI34">
            <v>919.17236759999992</v>
          </cell>
          <cell r="BJ34">
            <v>1053.6647532000002</v>
          </cell>
          <cell r="BK34">
            <v>1411.457676</v>
          </cell>
          <cell r="BL34">
            <v>851.79577199999994</v>
          </cell>
          <cell r="BN34">
            <v>716.31356400000004</v>
          </cell>
          <cell r="BP34">
            <v>713.71298400000001</v>
          </cell>
          <cell r="BQ34">
            <v>786.36368399999992</v>
          </cell>
          <cell r="BR34">
            <v>1340.6396640000003</v>
          </cell>
          <cell r="BS34">
            <v>821.38874400000009</v>
          </cell>
          <cell r="BT34">
            <v>962.25687600000003</v>
          </cell>
          <cell r="BU34">
            <v>181.00747199999992</v>
          </cell>
          <cell r="BV34">
            <v>573.61274399999979</v>
          </cell>
          <cell r="BW34">
            <v>713.71298400000001</v>
          </cell>
          <cell r="BX34">
            <v>678.68792400000007</v>
          </cell>
          <cell r="BY34">
            <v>127.62651199999996</v>
          </cell>
          <cell r="BZ34">
            <v>-117.26823999999999</v>
          </cell>
          <cell r="CA34">
            <v>-29.066368000000068</v>
          </cell>
          <cell r="CB34">
            <v>3.1741119999999796</v>
          </cell>
          <cell r="CC34">
            <v>145.46699199999998</v>
          </cell>
          <cell r="CD34">
            <v>450.26644799999997</v>
          </cell>
          <cell r="CE34">
            <v>-127.76263999999999</v>
          </cell>
          <cell r="CF34">
            <v>-127.76263999999999</v>
          </cell>
          <cell r="CG34">
            <v>-106.77383999999998</v>
          </cell>
          <cell r="CH34">
            <v>509.03508800000009</v>
          </cell>
          <cell r="CI34">
            <v>-106.77383999999998</v>
          </cell>
          <cell r="CJ34">
            <v>127.62651199999996</v>
          </cell>
          <cell r="CK34">
            <v>450.26644799999997</v>
          </cell>
        </row>
      </sheetData>
      <sheetData sheetId="158" refreshError="1"/>
      <sheetData sheetId="159">
        <row r="10">
          <cell r="D10">
            <v>0</v>
          </cell>
        </row>
        <row r="11">
          <cell r="D11">
            <v>0</v>
          </cell>
        </row>
        <row r="13">
          <cell r="D13">
            <v>0</v>
          </cell>
        </row>
      </sheetData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RARDO"/>
      <sheetName val="MARIA CELI"/>
      <sheetName val="Maria del Rosario"/>
      <sheetName val="MIGUEL (2)"/>
      <sheetName val="CALCULO ISR-SUBS"/>
      <sheetName val="HT-ADMINISTRATIVOS"/>
      <sheetName val="FAUSTINO"/>
      <sheetName val="MARÍA AMELIA"/>
      <sheetName val="PEDRO ALONSO"/>
      <sheetName val="VICTOR MANUEL"/>
      <sheetName val="JOSÉ LUIS CEJA"/>
      <sheetName val="LUIS ENRIQUE"/>
      <sheetName val="JOSÉ RICARDO"/>
      <sheetName val="JORGE ISAAC"/>
      <sheetName val="MARCO VINICIO"/>
      <sheetName val="JUAN JOSÉ"/>
      <sheetName val="ELISEO FLORES"/>
      <sheetName val="GABRIEL RANGEL"/>
      <sheetName val="ROBERTO CONTRERAS"/>
      <sheetName val="BOTELLO"/>
      <sheetName val="GERARDO  LOPEZ"/>
      <sheetName val="SENEN"/>
      <sheetName val="VALDES"/>
      <sheetName val="KARINA LOPEZ"/>
      <sheetName val="CONTRERAS"/>
      <sheetName val="MEDRANO"/>
      <sheetName val="ERNESTO"/>
      <sheetName val="EVE"/>
      <sheetName val="GABRIEL"/>
      <sheetName val="MAIDA"/>
      <sheetName val="ERIKA"/>
      <sheetName val="ADRIANA"/>
      <sheetName val="J. BENJAMIN (2)"/>
      <sheetName val="JAIR (2)"/>
      <sheetName val="PEDRO (2)"/>
      <sheetName val="JOSE VICTORIANO  (2)"/>
      <sheetName val="FEDERICO (2)"/>
      <sheetName val="ARACELI (2)"/>
      <sheetName val="ALEJANDRA (2)"/>
      <sheetName val="KIMBERLY (2)"/>
      <sheetName val="MARICHY (3)"/>
      <sheetName val="EMA (3)"/>
      <sheetName val="LILIANA G. (3)"/>
      <sheetName val="YESENIA. (3)"/>
      <sheetName val="ROBERTO (3)"/>
      <sheetName val="FRANCISCO (3)"/>
      <sheetName val="YERANIA (3)"/>
      <sheetName val="ALTAGRACIA (3)"/>
      <sheetName val="LILIANA (3)"/>
      <sheetName val="ANDRES (3)"/>
      <sheetName val="JULIAN (3)"/>
      <sheetName val="LUIS ALBERTO  (3)"/>
      <sheetName val="JOSE EMANUEL (3)"/>
      <sheetName val="KARINA ROBLES (3)"/>
      <sheetName val="JAIME MEDINA (3)"/>
      <sheetName val="JESUS JERONIMO (3)"/>
      <sheetName val="JUAN DANIEL (3)"/>
      <sheetName val="RIGOBERTO (3)"/>
      <sheetName val="ROCIO (3)"/>
      <sheetName val="FELICIANO (3)"/>
      <sheetName val="Efrain (3)"/>
      <sheetName val="José de Jesús (3)"/>
      <sheetName val="Claudia  (3)"/>
      <sheetName val="Esteban (3)"/>
      <sheetName val="Ana Gabriela (3)"/>
      <sheetName val="Armando  (2)"/>
      <sheetName val="Lic. María Vidal  (2)"/>
      <sheetName val="PARA MODIFICAR FECHAS"/>
      <sheetName val="M.V.Z. GILDARO SANCHEZ"/>
      <sheetName val="HT-ADMINISTRATIVOS FIRMA "/>
      <sheetName val="HT-DOCENTE"/>
      <sheetName val="Admon prim vac"/>
      <sheetName val="DOCENTESprima vac"/>
      <sheetName val="Admon prim vac para imprimir"/>
      <sheetName val="DOC PV Firma"/>
      <sheetName val="HT-DOCENTE FIRMA"/>
      <sheetName val="HT-DOCENTE FIRMA estimulo "/>
      <sheetName val="Calculo ISR "/>
      <sheetName val="Calculo ISR  con prima. VAC."/>
      <sheetName val="descuentos"/>
      <sheetName val="NOTAS"/>
      <sheetName val="DEL INTERINATO DE YERA"/>
      <sheetName val="Hoja2"/>
      <sheetName val="10 DIAS AGUINALDO"/>
      <sheetName val="DOCENTES AGU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>
        <row r="46">
          <cell r="E46">
            <v>201857.52437726824</v>
          </cell>
        </row>
      </sheetData>
      <sheetData sheetId="70">
        <row r="15">
          <cell r="C15">
            <v>19.5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>
        <row r="34">
          <cell r="AZ34">
            <v>3.7616319999999916</v>
          </cell>
          <cell r="BA34">
            <v>1007.1884904000001</v>
          </cell>
          <cell r="BB34">
            <v>128.40987199999998</v>
          </cell>
          <cell r="BC34">
            <v>978.17370720000019</v>
          </cell>
          <cell r="BD34">
            <v>516.36436800000001</v>
          </cell>
          <cell r="BE34">
            <v>960.54380400000014</v>
          </cell>
          <cell r="BF34">
            <v>863.77232400000003</v>
          </cell>
          <cell r="BG34">
            <v>-165.65343999999999</v>
          </cell>
          <cell r="BH34">
            <v>872.42312400000014</v>
          </cell>
          <cell r="BI34">
            <v>-68.07463999999996</v>
          </cell>
          <cell r="BJ34">
            <v>770.88836400000002</v>
          </cell>
          <cell r="BK34">
            <v>703.29464400000006</v>
          </cell>
          <cell r="BL34">
            <v>770.88836400000002</v>
          </cell>
          <cell r="BM34">
            <v>770.88836400000002</v>
          </cell>
          <cell r="BN34">
            <v>827.59382400000004</v>
          </cell>
          <cell r="BO34">
            <v>149.54427199999995</v>
          </cell>
          <cell r="BP34">
            <v>703.29464400000006</v>
          </cell>
          <cell r="BQ34">
            <v>635.7009240000001</v>
          </cell>
          <cell r="BR34">
            <v>601.90406400000006</v>
          </cell>
          <cell r="BS34">
            <v>184.45915199999999</v>
          </cell>
          <cell r="BT34">
            <v>132.32939199999996</v>
          </cell>
          <cell r="BU34">
            <v>-6.2098880000000065</v>
          </cell>
          <cell r="BV34">
            <v>115.11451199999996</v>
          </cell>
        </row>
      </sheetData>
      <sheetData sheetId="78" refreshError="1"/>
      <sheetData sheetId="79">
        <row r="5">
          <cell r="D5">
            <v>611</v>
          </cell>
        </row>
      </sheetData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RARDO"/>
      <sheetName val="MARIA CELI"/>
      <sheetName val="Maria del Rosario"/>
      <sheetName val="MIGUEL (2)"/>
      <sheetName val="CALCULO ISR-SUBS"/>
      <sheetName val="HT-ADMINISTRATIVOS"/>
      <sheetName val="FAUSTINO"/>
      <sheetName val="MARÍA AMELIA"/>
      <sheetName val="PEDRO ALONSO"/>
      <sheetName val="VICTOR MANUEL"/>
      <sheetName val="JOSÉ LUIS CEJA"/>
      <sheetName val="LUIS ENRIQUE"/>
      <sheetName val="JOSÉ RICARDO"/>
      <sheetName val="JORGE ISAAC"/>
      <sheetName val="MARCO VINICIO"/>
      <sheetName val="JUAN JOSÉ"/>
      <sheetName val="ELISEO FLORES"/>
      <sheetName val="GABRIEL RANGEL"/>
      <sheetName val="ROBERTO CONTRERAS"/>
      <sheetName val="BOTELLO"/>
      <sheetName val="GERARDO  LOPEZ"/>
      <sheetName val="SENEN"/>
      <sheetName val="VALDES"/>
      <sheetName val="KARINA LOPEZ"/>
      <sheetName val="CONTRERAS"/>
      <sheetName val="MEDRANO"/>
      <sheetName val="ERNESTO"/>
      <sheetName val="EVE"/>
      <sheetName val="GABRIEL"/>
      <sheetName val="MAIDA"/>
      <sheetName val="ERIKA"/>
      <sheetName val="ADRIANA"/>
      <sheetName val="J. BENJAMIN (2)"/>
      <sheetName val="JAIR (2)"/>
      <sheetName val="PEDRO (2)"/>
      <sheetName val="JOSE VICTORIANO  (2)"/>
      <sheetName val="FEDERICO (2)"/>
      <sheetName val="ARACELI (2)"/>
      <sheetName val="ALEJANDRA (2)"/>
      <sheetName val="KIMBERLY (2)"/>
      <sheetName val="MARICHY (3)"/>
      <sheetName val="EMA (3)"/>
      <sheetName val="LILIANA G. (3)"/>
      <sheetName val="YESENIA. (3)"/>
      <sheetName val="ROBERTO (3)"/>
      <sheetName val="FRANCISCO (3)"/>
      <sheetName val="YERANIA (3)"/>
      <sheetName val="ALTAGRACIA (3)"/>
      <sheetName val="LILIANA (3)"/>
      <sheetName val="ANDRES (3)"/>
      <sheetName val="JULIAN (3)"/>
      <sheetName val="LUIS ALBERTO  (3)"/>
      <sheetName val="JOSE EMANUEL (3)"/>
      <sheetName val="KARINA ROBLES (3)"/>
      <sheetName val="JAIME MEDINA (3)"/>
      <sheetName val="JESUS JERONIMO (3)"/>
      <sheetName val="JUAN DANIEL (3)"/>
      <sheetName val="RIGOBERTO (3)"/>
      <sheetName val="ROCIO (3)"/>
      <sheetName val="FELICIANO (3)"/>
      <sheetName val="Efrain (3)"/>
      <sheetName val="José de Jesús (3)"/>
      <sheetName val="Claudia  (3)"/>
      <sheetName val="Esteban (3)"/>
      <sheetName val="Ana Gabriela (3)"/>
      <sheetName val="Armando  (2)"/>
      <sheetName val="Lic. María Vidal  (2)"/>
      <sheetName val="PARA MODIFICAR FECHAS"/>
      <sheetName val="M.V.Z. GILDARO SANCHEZ"/>
      <sheetName val="HT-ADMINISTRATIVOS FIRMA "/>
      <sheetName val="HT-DOCENTE"/>
      <sheetName val="Admon prim vac"/>
      <sheetName val="DOCENTESprima vac"/>
      <sheetName val="Admon prim vac para imprimir"/>
      <sheetName val="DOC PV Firma"/>
      <sheetName val="HT-DOCENTE FIRMA"/>
      <sheetName val="HT-DOCENTE FIRMA estimulo "/>
      <sheetName val="Calculo ISR "/>
      <sheetName val="Calculo ISR  con prima. VAC."/>
      <sheetName val="descuentos"/>
      <sheetName val="NOTAS"/>
      <sheetName val="DEL INTERINATO DE YERA"/>
      <sheetName val="Hoja2"/>
      <sheetName val="10 DIAS AGUINALDO"/>
      <sheetName val="DOCENTES AGU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>
        <row r="46">
          <cell r="E46">
            <v>201857.52437726824</v>
          </cell>
        </row>
      </sheetData>
      <sheetData sheetId="70">
        <row r="15">
          <cell r="C15">
            <v>19.5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>
        <row r="34">
          <cell r="AZ34">
            <v>3.7616319999999916</v>
          </cell>
          <cell r="BA34">
            <v>893.0953320000001</v>
          </cell>
          <cell r="BB34">
            <v>128.40987199999998</v>
          </cell>
          <cell r="BC34">
            <v>866.27464799999996</v>
          </cell>
          <cell r="BD34">
            <v>474.18068800000009</v>
          </cell>
          <cell r="BE34">
            <v>859.98092400000007</v>
          </cell>
          <cell r="BF34">
            <v>863.77232400000003</v>
          </cell>
          <cell r="BG34">
            <v>-165.65343999999999</v>
          </cell>
          <cell r="BH34">
            <v>771.86024400000008</v>
          </cell>
          <cell r="BI34">
            <v>-68.07463999999996</v>
          </cell>
          <cell r="BJ34">
            <v>770.88836400000002</v>
          </cell>
          <cell r="BK34">
            <v>703.29464400000006</v>
          </cell>
          <cell r="BL34">
            <v>770.88836400000002</v>
          </cell>
          <cell r="BM34">
            <v>770.88836400000002</v>
          </cell>
          <cell r="BN34">
            <v>827.59382400000004</v>
          </cell>
          <cell r="BO34">
            <v>149.54427199999995</v>
          </cell>
          <cell r="BP34">
            <v>703.29464400000006</v>
          </cell>
          <cell r="BQ34">
            <v>635.7009240000001</v>
          </cell>
          <cell r="BR34">
            <v>601.90406400000006</v>
          </cell>
          <cell r="BS34">
            <v>184.45915199999999</v>
          </cell>
          <cell r="BT34">
            <v>132.32939199999996</v>
          </cell>
          <cell r="BU34">
            <v>-6.2098880000000065</v>
          </cell>
          <cell r="BV34">
            <v>115.11451199999996</v>
          </cell>
          <cell r="BW34">
            <v>341.98839999999996</v>
          </cell>
          <cell r="BX34">
            <v>-135.76983999999999</v>
          </cell>
        </row>
      </sheetData>
      <sheetData sheetId="78" refreshError="1"/>
      <sheetData sheetId="79">
        <row r="5">
          <cell r="D5">
            <v>840.125</v>
          </cell>
        </row>
      </sheetData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ERARDO"/>
      <sheetName val="MARIA CELI"/>
      <sheetName val="Maria del Rosario"/>
      <sheetName val="MIGUEL (2)"/>
      <sheetName val="CALCULO ISR-SUBS"/>
      <sheetName val="HT-ADMINISTRATIVOS"/>
      <sheetName val="FAUSTINO"/>
      <sheetName val="MARÍA AMELIA"/>
      <sheetName val="PEDRO ALONSO"/>
      <sheetName val="VICTOR MANUEL"/>
      <sheetName val="JOSÉ LUIS CEJA"/>
      <sheetName val="LUIS ENRIQUE"/>
      <sheetName val="JOSÉ RICARDO"/>
      <sheetName val="JORGE ISAAC"/>
      <sheetName val="MARCO VINICIO"/>
      <sheetName val="JUAN JOSÉ"/>
      <sheetName val="ELISEO FLORES"/>
      <sheetName val="GABRIEL RANGEL"/>
      <sheetName val="ROBERTO CONTRERAS"/>
      <sheetName val="BOTELLO"/>
      <sheetName val="GERARDO  LOPEZ"/>
      <sheetName val="SENEN"/>
      <sheetName val="VALDES"/>
      <sheetName val="KARINA LOPEZ"/>
      <sheetName val="CONTRERAS"/>
      <sheetName val="MEDRANO"/>
      <sheetName val="ERNESTO"/>
      <sheetName val="EVE"/>
      <sheetName val="GABRIEL"/>
      <sheetName val="MAIDA"/>
      <sheetName val="ERIKA"/>
      <sheetName val="ADRIANA"/>
      <sheetName val="J. BENJAMIN (2)"/>
      <sheetName val="JAIR (2)"/>
      <sheetName val="PEDRO (2)"/>
      <sheetName val="JOSE VICTORIANO  (2)"/>
      <sheetName val="FEDERICO (2)"/>
      <sheetName val="ARACELI (2)"/>
      <sheetName val="ALEJANDRA (2)"/>
      <sheetName val="KIMBERLY (2)"/>
      <sheetName val="MARICHY (3)"/>
      <sheetName val="EMA (3)"/>
      <sheetName val="LILIANA G. (3)"/>
      <sheetName val="YESENIA. (3)"/>
      <sheetName val="ROBERTO (3)"/>
      <sheetName val="FRANCISCO (3)"/>
      <sheetName val="YERANIA (3)"/>
      <sheetName val="ALTAGRACIA (3)"/>
      <sheetName val="LILIANA (3)"/>
      <sheetName val="ANDRES (3)"/>
      <sheetName val="JULIAN (3)"/>
      <sheetName val="LUIS ALBERTO  (3)"/>
      <sheetName val="JOSE EMANUEL (3)"/>
      <sheetName val="KARINA ROBLES (3)"/>
      <sheetName val="JAIME MEDINA (3)"/>
      <sheetName val="JESUS JERONIMO (3)"/>
      <sheetName val="JUAN DANIEL (3)"/>
      <sheetName val="RIGOBERTO (3)"/>
      <sheetName val="ROCIO (3)"/>
      <sheetName val="FELICIANO (3)"/>
      <sheetName val="Efrain (3)"/>
      <sheetName val="José de Jesús (3)"/>
      <sheetName val="Claudia  (3)"/>
      <sheetName val="Esteban (3)"/>
      <sheetName val="Ana Gabriela (3)"/>
      <sheetName val="Armando  (2)"/>
      <sheetName val="Lic. María Vidal  (2)"/>
      <sheetName val="PARA MODIFICAR FECHAS"/>
      <sheetName val="M.V.Z. GILDARO SANCHEZ"/>
      <sheetName val="HT-ADMINISTRATIVOS FIRMA "/>
      <sheetName val="HT-DOCENTE"/>
      <sheetName val="Admon prim vac"/>
      <sheetName val="DOCENTESprima vac"/>
      <sheetName val="Admon prim vac para imprimir"/>
      <sheetName val="DOC PV Firma"/>
      <sheetName val="HT-DOCENTE FIRMA"/>
      <sheetName val="HT-DOCENTE FIRMA estimulo "/>
      <sheetName val="Calculo ISR "/>
      <sheetName val="Calculo ISR  con prima. VAC."/>
      <sheetName val="descuentos"/>
      <sheetName val="NOTAS"/>
      <sheetName val="DEL INTERINATO DE YERA"/>
      <sheetName val="Hoja2"/>
      <sheetName val="10 DIAS AGUINALDO"/>
      <sheetName val="DOCENTES AGU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>
        <row r="46">
          <cell r="E46">
            <v>201857.52437726824</v>
          </cell>
        </row>
      </sheetData>
      <sheetData sheetId="70">
        <row r="15">
          <cell r="C15">
            <v>19.5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>
        <row r="34">
          <cell r="AZ34">
            <v>3.7616319999999916</v>
          </cell>
          <cell r="BA34">
            <v>893.0953320000001</v>
          </cell>
          <cell r="BB34">
            <v>128.40987199999998</v>
          </cell>
          <cell r="BC34">
            <v>866.27464799999996</v>
          </cell>
          <cell r="BD34">
            <v>474.18068800000009</v>
          </cell>
          <cell r="BE34">
            <v>859.98092400000007</v>
          </cell>
          <cell r="BF34">
            <v>863.77232400000003</v>
          </cell>
          <cell r="BG34">
            <v>-165.65343999999999</v>
          </cell>
          <cell r="BH34">
            <v>771.86024400000008</v>
          </cell>
          <cell r="BI34">
            <v>-68.07463999999996</v>
          </cell>
          <cell r="BJ34">
            <v>770.88836400000002</v>
          </cell>
          <cell r="BK34">
            <v>703.29464400000006</v>
          </cell>
          <cell r="BL34">
            <v>770.88836400000002</v>
          </cell>
          <cell r="BM34">
            <v>770.88836400000002</v>
          </cell>
          <cell r="BN34">
            <v>827.59382400000004</v>
          </cell>
          <cell r="BO34">
            <v>149.54427199999995</v>
          </cell>
          <cell r="BP34">
            <v>703.29464400000006</v>
          </cell>
          <cell r="BQ34">
            <v>635.7009240000001</v>
          </cell>
          <cell r="BR34">
            <v>601.90406400000006</v>
          </cell>
          <cell r="BS34">
            <v>184.45915199999999</v>
          </cell>
          <cell r="BT34">
            <v>132.32939199999996</v>
          </cell>
          <cell r="BU34">
            <v>-6.2098880000000065</v>
          </cell>
          <cell r="BV34">
            <v>115.11451199999996</v>
          </cell>
          <cell r="BW34">
            <v>115.11451199999996</v>
          </cell>
          <cell r="BX34">
            <v>-6.2098880000000065</v>
          </cell>
          <cell r="BY34">
            <v>-110.45383999999997</v>
          </cell>
          <cell r="BZ34">
            <v>-110.45383999999997</v>
          </cell>
        </row>
      </sheetData>
      <sheetData sheetId="78" refreshError="1"/>
      <sheetData sheetId="79">
        <row r="5">
          <cell r="D5">
            <v>305.5</v>
          </cell>
        </row>
      </sheetData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ERARDO"/>
      <sheetName val="MARIA CELI"/>
      <sheetName val="Maria del Rosario"/>
      <sheetName val="MIGUEL (2)"/>
      <sheetName val="CALCULO ISR-SUBS"/>
      <sheetName val="HT-ADMINISTRATIVOS"/>
      <sheetName val="FAUSTINO"/>
      <sheetName val="MARÍA AMELIA"/>
      <sheetName val="PEDRO ALONSO"/>
      <sheetName val="VICTOR MANUEL"/>
      <sheetName val="JOSÉ LUIS CEJA"/>
      <sheetName val="LUIS ENRIQUE"/>
      <sheetName val="JOSÉ RICARDO"/>
      <sheetName val="JORGE ISAAC"/>
      <sheetName val="MARCO VINICIO"/>
      <sheetName val="JUAN JOSÉ"/>
      <sheetName val="ELISEO FLORES"/>
      <sheetName val="GABRIEL RANGEL"/>
      <sheetName val="ROBERTO CONTRERAS"/>
      <sheetName val="BOTELLO"/>
      <sheetName val="GERARDO  LOPEZ"/>
      <sheetName val="SENEN"/>
      <sheetName val="VALDES"/>
      <sheetName val="KARINA LOPEZ"/>
      <sheetName val="CONTRERAS"/>
      <sheetName val="MEDRANO"/>
      <sheetName val="ERNESTO"/>
      <sheetName val="EVE"/>
      <sheetName val="GABRIEL"/>
      <sheetName val="MAIDA"/>
      <sheetName val="ERIKA"/>
      <sheetName val="ADRIANA"/>
      <sheetName val="J. BENJAMIN (2)"/>
      <sheetName val="JAIR (2)"/>
      <sheetName val="PEDRO (2)"/>
      <sheetName val="JOSE VICTORIANO  (2)"/>
      <sheetName val="FEDERICO (2)"/>
      <sheetName val="ARACELI (2)"/>
      <sheetName val="ALEJANDRA (2)"/>
      <sheetName val="KIMBERLY (2)"/>
      <sheetName val="MARICHY (3)"/>
      <sheetName val="EMA (3)"/>
      <sheetName val="LILIANA G. (3)"/>
      <sheetName val="YESENIA. (3)"/>
      <sheetName val="ROBERTO (3)"/>
      <sheetName val="FRANCISCO (3)"/>
      <sheetName val="YERANIA (3)"/>
      <sheetName val="ALTAGRACIA (3)"/>
      <sheetName val="LILIANA (3)"/>
      <sheetName val="ANDRES (3)"/>
      <sheetName val="JULIAN (3)"/>
      <sheetName val="LUIS ALBERTO  (3)"/>
      <sheetName val="JOSE EMANUEL (3)"/>
      <sheetName val="KARINA ROBLES (3)"/>
      <sheetName val="JAIME MEDINA (3)"/>
      <sheetName val="JESUS JERONIMO (3)"/>
      <sheetName val="JUAN DANIEL (3)"/>
      <sheetName val="RIGOBERTO (3)"/>
      <sheetName val="ROCIO (3)"/>
      <sheetName val="FELICIANO (3)"/>
      <sheetName val="Efrain (3)"/>
      <sheetName val="José de Jesús (3)"/>
      <sheetName val="Claudia  (3)"/>
      <sheetName val="Esteban (3)"/>
      <sheetName val="Ana Gabriela (3)"/>
      <sheetName val="Armando  (2)"/>
      <sheetName val="Lic. María Vidal  (2)"/>
      <sheetName val="PARA MODIFICAR FECHAS"/>
      <sheetName val="M.V.Z. GILDARO SANCHEZ"/>
      <sheetName val="HT-ADMINISTRATIVOS FIRMA "/>
      <sheetName val="HT-DOCENTE"/>
      <sheetName val="Admon prim vac"/>
      <sheetName val="DOCENTESprima vac"/>
      <sheetName val="Admon prim vac para imprimir"/>
      <sheetName val="DOC PV Firma"/>
      <sheetName val="HT-DOCENTE FIRMA"/>
      <sheetName val="HT-DOCENTE FIRMA estimulo "/>
      <sheetName val="PV ADMVOS MARZO 2015"/>
      <sheetName val="PV ADMVOS MARZO 2015 FIRMA"/>
      <sheetName val="PV ADMVOS MARZO 2015imprimir"/>
      <sheetName val="DOCENTESprima vacMARZO 2015"/>
      <sheetName val="DOC PV Firma  IMPRIMIR"/>
      <sheetName val="DOC PV Firma "/>
      <sheetName val="Calculo ISR "/>
      <sheetName val="Calculo ISR  con prima. VAC."/>
      <sheetName val="ISR PRIMA"/>
      <sheetName val="descuentos"/>
      <sheetName val="DEL INTERINATO DE YERA"/>
      <sheetName val="Hoja2"/>
      <sheetName val="10 DIAS AGUINALDO"/>
      <sheetName val="DOCENTES AGU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>
        <row r="46">
          <cell r="E46">
            <v>201857.52437726824</v>
          </cell>
        </row>
      </sheetData>
      <sheetData sheetId="70">
        <row r="15">
          <cell r="C15">
            <v>19.5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>
        <row r="34">
          <cell r="AZ34">
            <v>3.7616319999999916</v>
          </cell>
          <cell r="BA34">
            <v>893.0953320000001</v>
          </cell>
          <cell r="BB34">
            <v>128.40987199999998</v>
          </cell>
          <cell r="BC34">
            <v>866.27464799999996</v>
          </cell>
          <cell r="BD34">
            <v>474.18068800000009</v>
          </cell>
          <cell r="BE34">
            <v>859.98092400000007</v>
          </cell>
          <cell r="BF34">
            <v>863.77232400000003</v>
          </cell>
          <cell r="BG34">
            <v>-165.65343999999999</v>
          </cell>
          <cell r="BH34">
            <v>771.86024400000008</v>
          </cell>
          <cell r="BI34">
            <v>-68.07463999999996</v>
          </cell>
          <cell r="BJ34">
            <v>770.88836400000002</v>
          </cell>
          <cell r="BK34">
            <v>703.29464400000006</v>
          </cell>
          <cell r="BL34">
            <v>770.88836400000002</v>
          </cell>
          <cell r="BM34">
            <v>770.88836400000002</v>
          </cell>
          <cell r="BN34">
            <v>827.59382400000004</v>
          </cell>
          <cell r="BO34">
            <v>149.54427199999995</v>
          </cell>
          <cell r="BP34">
            <v>703.29464400000006</v>
          </cell>
          <cell r="BQ34">
            <v>635.7009240000001</v>
          </cell>
          <cell r="BR34">
            <v>601.90406400000006</v>
          </cell>
          <cell r="BS34">
            <v>184.45915199999999</v>
          </cell>
          <cell r="BT34">
            <v>132.32939199999996</v>
          </cell>
          <cell r="BU34">
            <v>-6.2098880000000065</v>
          </cell>
          <cell r="BV34">
            <v>115.11451199999996</v>
          </cell>
          <cell r="BW34">
            <v>115.11451199999996</v>
          </cell>
          <cell r="BX34">
            <v>-6.2098880000000065</v>
          </cell>
          <cell r="BY34">
            <v>-110.45383999999997</v>
          </cell>
          <cell r="BZ34">
            <v>-110.45383999999997</v>
          </cell>
          <cell r="CA34">
            <v>-6.2098880000000065</v>
          </cell>
          <cell r="CB34">
            <v>-110.45383999999997</v>
          </cell>
          <cell r="CC34">
            <v>-110.45383999999997</v>
          </cell>
        </row>
      </sheetData>
      <sheetData sheetId="84" refreshError="1"/>
      <sheetData sheetId="85" refreshError="1"/>
      <sheetData sheetId="86">
        <row r="5">
          <cell r="D5">
            <v>611</v>
          </cell>
        </row>
      </sheetData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ERARDO"/>
      <sheetName val="MARIA CELI"/>
      <sheetName val="Maria del Rosario"/>
      <sheetName val="MIGUEL (2)"/>
      <sheetName val="CALCULO ISR-SUBS"/>
      <sheetName val="HT-ADMINISTRATIVOS"/>
      <sheetName val="FAUSTINO"/>
      <sheetName val="MARÍA AMELIA"/>
      <sheetName val="PEDRO ALONSO"/>
      <sheetName val="VICTOR MANUEL"/>
      <sheetName val="JOSÉ LUIS CEJA"/>
      <sheetName val="LUIS ENRIQUE"/>
      <sheetName val="JOSÉ RICARDO"/>
      <sheetName val="JORGE ISAAC"/>
      <sheetName val="MARCO VINICIO"/>
      <sheetName val="JUAN JOSÉ"/>
      <sheetName val="ELISEO FLORES"/>
      <sheetName val="GABRIEL RANGEL"/>
      <sheetName val="ROBERTO CONTRERAS"/>
      <sheetName val="BOTELLO"/>
      <sheetName val="GERARDO  LOPEZ"/>
      <sheetName val="SENEN"/>
      <sheetName val="VALDES"/>
      <sheetName val="KARINA LOPEZ"/>
      <sheetName val="CONTRERAS"/>
      <sheetName val="MEDRANO"/>
      <sheetName val="ERNESTO"/>
      <sheetName val="EVE"/>
      <sheetName val="GABRIEL"/>
      <sheetName val="MAIDA"/>
      <sheetName val="ERIKA"/>
      <sheetName val="ADRIANA"/>
      <sheetName val="J. BENJAMIN (2)"/>
      <sheetName val="JAIR (2)"/>
      <sheetName val="PEDRO (2)"/>
      <sheetName val="JOSE VICTORIANO  (2)"/>
      <sheetName val="FEDERICO (2)"/>
      <sheetName val="ARACELI (2)"/>
      <sheetName val="ALEJANDRA (2)"/>
      <sheetName val="KIMBERLY (2)"/>
      <sheetName val="MARICHY (3)"/>
      <sheetName val="EMA (3)"/>
      <sheetName val="LILIANA G. (3)"/>
      <sheetName val="YESENIA. (3)"/>
      <sheetName val="ROBERTO (3)"/>
      <sheetName val="FRANCISCO (3)"/>
      <sheetName val="YERANIA (3)"/>
      <sheetName val="ALTAGRACIA (3)"/>
      <sheetName val="LILIANA (3)"/>
      <sheetName val="ANDRES (3)"/>
      <sheetName val="JULIAN (3)"/>
      <sheetName val="LUIS ALBERTO  (3)"/>
      <sheetName val="JOSE EMANUEL (3)"/>
      <sheetName val="KARINA ROBLES (3)"/>
      <sheetName val="JAIME MEDINA (3)"/>
      <sheetName val="JESUS JERONIMO (3)"/>
      <sheetName val="JUAN DANIEL (3)"/>
      <sheetName val="RIGOBERTO (3)"/>
      <sheetName val="ROCIO (3)"/>
      <sheetName val="FELICIANO (3)"/>
      <sheetName val="Efrain (3)"/>
      <sheetName val="José de Jesús (3)"/>
      <sheetName val="Claudia  (3)"/>
      <sheetName val="Esteban (3)"/>
      <sheetName val="Ana Gabriela (3)"/>
      <sheetName val="Armando  (2)"/>
      <sheetName val="Lic. María Vidal  (2)"/>
      <sheetName val="PARA MODIFICAR FECHAS"/>
      <sheetName val="M.V.Z. GILDARO SANCHEZ"/>
      <sheetName val="HT-ADMINISTRATIVOS FIRMA "/>
      <sheetName val="HT-DOCENTE"/>
      <sheetName val="Admon prim vac"/>
      <sheetName val="DOCENTESprima vac"/>
      <sheetName val="Admon prim vac para imprimir"/>
      <sheetName val="DOC PV Firma"/>
      <sheetName val="HT-DOCENTE FIRMA"/>
      <sheetName val="HT-DOCENTE FIRMA estimulo "/>
      <sheetName val="Calculo ISR "/>
      <sheetName val="Calculo ISR  con prima. VAC."/>
      <sheetName val="descuentos"/>
      <sheetName val="DEL INTERINATO DE YERA"/>
      <sheetName val="Hoja2"/>
      <sheetName val="10 DIAS AGUINALDO"/>
      <sheetName val="DOCENTES AGUIN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>
        <row r="46">
          <cell r="E46">
            <v>195082.79437726823</v>
          </cell>
        </row>
      </sheetData>
      <sheetData sheetId="70">
        <row r="15">
          <cell r="C15">
            <v>19.5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>
        <row r="34">
          <cell r="AZ34">
            <v>3.7616319999999916</v>
          </cell>
          <cell r="BA34">
            <v>893.0953320000001</v>
          </cell>
          <cell r="BB34">
            <v>128.40987199999998</v>
          </cell>
          <cell r="BC34">
            <v>866.27464799999996</v>
          </cell>
          <cell r="BD34">
            <v>474.18068800000009</v>
          </cell>
          <cell r="BE34">
            <v>859.98092400000007</v>
          </cell>
          <cell r="BF34">
            <v>863.77232400000003</v>
          </cell>
          <cell r="BG34">
            <v>-165.65343999999999</v>
          </cell>
          <cell r="BH34">
            <v>771.86024400000008</v>
          </cell>
          <cell r="BI34">
            <v>-68.07463999999996</v>
          </cell>
          <cell r="BJ34">
            <v>770.88836400000002</v>
          </cell>
          <cell r="BK34">
            <v>703.29464400000006</v>
          </cell>
          <cell r="BL34">
            <v>770.88836400000002</v>
          </cell>
          <cell r="BM34">
            <v>770.88836400000002</v>
          </cell>
          <cell r="BN34">
            <v>827.59382400000004</v>
          </cell>
          <cell r="BO34">
            <v>149.54427199999995</v>
          </cell>
          <cell r="BP34">
            <v>703.29464400000006</v>
          </cell>
          <cell r="BQ34">
            <v>635.7009240000001</v>
          </cell>
          <cell r="BR34">
            <v>601.90406400000006</v>
          </cell>
          <cell r="BS34">
            <v>184.45915199999999</v>
          </cell>
          <cell r="BT34">
            <v>132.32939199999996</v>
          </cell>
          <cell r="BU34">
            <v>-6.2098880000000065</v>
          </cell>
          <cell r="BV34">
            <v>115.11451199999996</v>
          </cell>
          <cell r="BW34">
            <v>115.11451199999996</v>
          </cell>
          <cell r="BX34">
            <v>-6.2098880000000065</v>
          </cell>
          <cell r="BY34">
            <v>-110.45383999999997</v>
          </cell>
          <cell r="BZ34">
            <v>-110.45383999999997</v>
          </cell>
          <cell r="CA34">
            <v>-110.45383999999997</v>
          </cell>
          <cell r="CB34">
            <v>-110.45383999999997</v>
          </cell>
          <cell r="CC34">
            <v>-110.45383999999997</v>
          </cell>
        </row>
      </sheetData>
      <sheetData sheetId="78" refreshError="1"/>
      <sheetData sheetId="79">
        <row r="6">
          <cell r="D6">
            <v>763.75</v>
          </cell>
        </row>
        <row r="7">
          <cell r="D7">
            <v>152.75</v>
          </cell>
        </row>
        <row r="8">
          <cell r="D8">
            <v>152.75</v>
          </cell>
        </row>
      </sheetData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RARDO"/>
      <sheetName val="MARIA CELI"/>
      <sheetName val="Maria del Rosario"/>
      <sheetName val="MIGUEL (2)"/>
      <sheetName val="CALCULO ISR-SUBS"/>
      <sheetName val="HT-ADMINISTRATIVOS"/>
      <sheetName val="FAUSTINO"/>
      <sheetName val="MARÍA AMELIA"/>
      <sheetName val="PEDRO ALONSO"/>
      <sheetName val="VICTOR MANUEL"/>
      <sheetName val="JOSÉ LUIS CEJA"/>
      <sheetName val="LUIS ENRIQUE"/>
      <sheetName val="JOSÉ RICARDO"/>
      <sheetName val="JORGE ISAAC"/>
      <sheetName val="MARCO VINICIO"/>
      <sheetName val="JUAN JOSÉ"/>
      <sheetName val="ELISEO FLORES"/>
      <sheetName val="GABRIEL RANGEL"/>
      <sheetName val="ROBERTO CONTRERAS"/>
      <sheetName val="BOTELLO"/>
      <sheetName val="GERARDO  LOPEZ"/>
      <sheetName val="SENEN"/>
      <sheetName val="VALDES"/>
      <sheetName val="KARINA LOPEZ"/>
      <sheetName val="CONTRERAS"/>
      <sheetName val="MEDRANO"/>
      <sheetName val="ERNESTO"/>
      <sheetName val="EVE"/>
      <sheetName val="GABRIEL"/>
      <sheetName val="MAIDA"/>
      <sheetName val="ERIKA"/>
      <sheetName val="ADRIANA"/>
      <sheetName val="J. BENJAMIN (2)"/>
      <sheetName val="JAIR (2)"/>
      <sheetName val="PEDRO (2)"/>
      <sheetName val="JOSE VICTORIANO  (2)"/>
      <sheetName val="FEDERICO (2)"/>
      <sheetName val="ARACELI (2)"/>
      <sheetName val="ALEJANDRA (2)"/>
      <sheetName val="KIMBERLY (2)"/>
      <sheetName val="MARICHY (3)"/>
      <sheetName val="EMA (3)"/>
      <sheetName val="LILIANA G. (3)"/>
      <sheetName val="YESENIA. (3)"/>
      <sheetName val="ROBERTO (3)"/>
      <sheetName val="FRANCISCO (3)"/>
      <sheetName val="YERANIA (3)"/>
      <sheetName val="ALTAGRACIA (3)"/>
      <sheetName val="LILIANA (3)"/>
      <sheetName val="ANDRES (3)"/>
      <sheetName val="JULIAN (3)"/>
      <sheetName val="LUIS ALBERTO  (3)"/>
      <sheetName val="JOSE EMANUEL (3)"/>
      <sheetName val="KARINA ROBLES (3)"/>
      <sheetName val="JAIME MEDINA (3)"/>
      <sheetName val="JESUS JERONIMO (3)"/>
      <sheetName val="JUAN DANIEL (3)"/>
      <sheetName val="RIGOBERTO (3)"/>
      <sheetName val="ROCIO (3)"/>
      <sheetName val="FELICIANO (3)"/>
      <sheetName val="Efrain (3)"/>
      <sheetName val="José de Jesús (3)"/>
      <sheetName val="Claudia  (3)"/>
      <sheetName val="Esteban (3)"/>
      <sheetName val="Ana Gabriela (3)"/>
      <sheetName val="Armando  (2)"/>
      <sheetName val="Lic. María Vidal  (2)"/>
      <sheetName val="PARA MODIFICAR FECHAS"/>
      <sheetName val="M.V.Z. GILDARO SANCHEZ"/>
      <sheetName val="JUAN MANUEL"/>
      <sheetName val="MANUEL JESUS"/>
      <sheetName val="MARÍA VERONICA"/>
      <sheetName val="MARIA VICTORIA"/>
      <sheetName val="EDGAR"/>
      <sheetName val="SARAHI"/>
      <sheetName val="JOSÉ MANUEL"/>
      <sheetName val="FAUSTINO (2)"/>
      <sheetName val="MARÍA AMELIA (2)"/>
      <sheetName val="PEDRO ALONSO (2)"/>
      <sheetName val="VICTOR MANUEL (2)"/>
      <sheetName val="JOSÉ LUIS CEJA (2)"/>
      <sheetName val="LUIS ENRIQUE (2)"/>
      <sheetName val="JOSÉ RICARDO (2)"/>
      <sheetName val="JORGE ISAAC (2)"/>
      <sheetName val="MARCO VINICIO (2)"/>
      <sheetName val="JUAN JOSÉ (2)"/>
      <sheetName val="ELISEO FLORES (2)"/>
      <sheetName val="GABRIEL RANGEL (2)"/>
      <sheetName val="ROBERTO CONTRERAS (2)"/>
      <sheetName val="BOTELLO (2)"/>
      <sheetName val="GERARDO  LOPEZ (2)"/>
      <sheetName val="SENEN (2)"/>
      <sheetName val="VALDES (2)"/>
      <sheetName val="KARINA LOPEZ (2)"/>
      <sheetName val="CONTRERAS (2)"/>
      <sheetName val="MEDRANO (2)"/>
      <sheetName val="ERNESTO (2)"/>
      <sheetName val="EVE (2)"/>
      <sheetName val="GABRIEL (2)"/>
      <sheetName val="MAIDA (2)"/>
      <sheetName val="ERIKA (2)"/>
      <sheetName val="ADRIANA (2)"/>
      <sheetName val="J. BENJAMIN (3)"/>
      <sheetName val="JAIR (3)"/>
      <sheetName val="PEDRO (3)"/>
      <sheetName val="JOSE VICTORIANO  (3)"/>
      <sheetName val="FEDERICO (3)"/>
      <sheetName val="ARACELI (3)"/>
      <sheetName val="ALEJANDRA (3)"/>
      <sheetName val="KIMBERLY (3)"/>
      <sheetName val="MARICHY (4)"/>
      <sheetName val="EMA (4)"/>
      <sheetName val="LILIANA G. (4)"/>
      <sheetName val="YESENIA. (4)"/>
      <sheetName val="ROBERTO (4)"/>
      <sheetName val="FRANCISCO (4)"/>
      <sheetName val="YERANIA (4)"/>
      <sheetName val="ALTAGRACIA (4)"/>
      <sheetName val="LILIANA (4)"/>
      <sheetName val="ANDRES (4)"/>
      <sheetName val="JULIAN (4)"/>
      <sheetName val="LUIS ALBERTO  (4)"/>
      <sheetName val="JOSE EMANUEL (4)"/>
      <sheetName val="KARINA ROBLES (4)"/>
      <sheetName val="JAIME MEDINA (4)"/>
      <sheetName val="JESUS JERONIMO (4)"/>
      <sheetName val="JUAN DANIEL (4)"/>
      <sheetName val="RIGOBERTO (4)"/>
      <sheetName val="ROCIO (4)"/>
      <sheetName val="FELICIANO"/>
      <sheetName val="MODIFICA. DOCENTES"/>
      <sheetName val="Efrain (4)"/>
      <sheetName val="José de Jesús (4)"/>
      <sheetName val="Claudia  (4)"/>
      <sheetName val="Esteban (4)"/>
      <sheetName val="Ana Gabriela (4)"/>
      <sheetName val="Armando  (3)"/>
      <sheetName val="Lic. María Vidal  (3)"/>
      <sheetName val="PARA MODIFICAR FECHAS (2)"/>
      <sheetName val="M.V.Z. GILDARO SANCHEZ (2)"/>
      <sheetName val="HT-ADMINISTRATIVOS FIRMA "/>
      <sheetName val="HT-DOCENTE"/>
      <sheetName val="Admon prim vac"/>
      <sheetName val="DOCENTESprima vac"/>
      <sheetName val="Admon prim vac para imprimir"/>
      <sheetName val="DOC PV Firma"/>
      <sheetName val="HT-DOCENTE FIRMA"/>
      <sheetName val="HT-DOCENTE FIRMA estimulo "/>
      <sheetName val="Calculo ISR "/>
      <sheetName val="Calculo ISR  con prima. VAC."/>
      <sheetName val="descuentos"/>
      <sheetName val="DEL INTERINATO DE YERA"/>
      <sheetName val="Hoja2"/>
      <sheetName val="10 DIAS AGUINALDO"/>
      <sheetName val="DOCENTES AGUIN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>
        <row r="46">
          <cell r="E46">
            <v>184920.80437726821</v>
          </cell>
        </row>
      </sheetData>
      <sheetData sheetId="141">
        <row r="15">
          <cell r="C15">
            <v>19.5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/>
      <sheetData sheetId="147" refreshError="1"/>
      <sheetData sheetId="148">
        <row r="34">
          <cell r="AZ34">
            <v>3.7616319999999916</v>
          </cell>
          <cell r="BA34">
            <v>893.0953320000001</v>
          </cell>
          <cell r="BB34">
            <v>128.40987199999998</v>
          </cell>
          <cell r="BC34">
            <v>866.27464799999996</v>
          </cell>
          <cell r="BD34">
            <v>443.82868800000006</v>
          </cell>
          <cell r="BE34">
            <v>859.98092400000007</v>
          </cell>
          <cell r="BF34">
            <v>863.77232400000003</v>
          </cell>
          <cell r="BG34">
            <v>-165.65343999999999</v>
          </cell>
          <cell r="BH34">
            <v>771.86024400000008</v>
          </cell>
          <cell r="BI34">
            <v>-68.07463999999996</v>
          </cell>
          <cell r="BJ34">
            <v>770.88836400000002</v>
          </cell>
          <cell r="BK34">
            <v>703.29464400000006</v>
          </cell>
          <cell r="BL34">
            <v>770.88836400000002</v>
          </cell>
          <cell r="BM34">
            <v>770.88836400000002</v>
          </cell>
          <cell r="BN34">
            <v>827.59382400000004</v>
          </cell>
          <cell r="BO34">
            <v>149.54427199999995</v>
          </cell>
          <cell r="BP34">
            <v>703.29464400000006</v>
          </cell>
          <cell r="BQ34">
            <v>635.7009240000001</v>
          </cell>
          <cell r="BR34">
            <v>601.90406400000006</v>
          </cell>
          <cell r="BS34">
            <v>184.45915199999999</v>
          </cell>
          <cell r="BT34">
            <v>132.32939199999996</v>
          </cell>
          <cell r="BU34">
            <v>-6.2098880000000065</v>
          </cell>
          <cell r="BV34">
            <v>115.11451199999996</v>
          </cell>
          <cell r="BW34">
            <v>115.11451199999996</v>
          </cell>
          <cell r="BX34">
            <v>-6.2098880000000065</v>
          </cell>
          <cell r="BY34">
            <v>-110.45383999999997</v>
          </cell>
          <cell r="BZ34">
            <v>-110.45383999999997</v>
          </cell>
          <cell r="CA34">
            <v>-110.45383999999997</v>
          </cell>
          <cell r="CB34">
            <v>-110.45383999999997</v>
          </cell>
          <cell r="CC34">
            <v>-110.45383999999997</v>
          </cell>
        </row>
      </sheetData>
      <sheetData sheetId="149" refreshError="1"/>
      <sheetData sheetId="150">
        <row r="6">
          <cell r="D6">
            <v>763.75</v>
          </cell>
        </row>
        <row r="7">
          <cell r="D7">
            <v>0</v>
          </cell>
        </row>
        <row r="8">
          <cell r="D8">
            <v>76.375</v>
          </cell>
        </row>
      </sheetData>
      <sheetData sheetId="151" refreshError="1"/>
      <sheetData sheetId="152" refreshError="1"/>
      <sheetData sheetId="153" refreshError="1"/>
      <sheetData sheetId="154" refreshError="1"/>
      <sheetData sheetId="15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ERARDO"/>
      <sheetName val="MARIA CELI"/>
      <sheetName val="Maria del Rosario"/>
      <sheetName val="MIGUEL (2)"/>
      <sheetName val="CALCULO ISR-SUBS"/>
      <sheetName val="HT-ADMINISTRATIVOS"/>
      <sheetName val="FAUSTINO"/>
      <sheetName val="MARÍA AMELIA"/>
      <sheetName val="PEDRO ALONSO"/>
      <sheetName val="VICTOR MANUEL"/>
      <sheetName val="JOSÉ LUIS CEJA"/>
      <sheetName val="LUIS ENRIQUE"/>
      <sheetName val="JOSÉ RICARDO"/>
      <sheetName val="JORGE ISAAC"/>
      <sheetName val="MARCO VINICIO"/>
      <sheetName val="JUAN JOSÉ"/>
      <sheetName val="ELISEO FLORES"/>
      <sheetName val="GABRIEL RANGEL"/>
      <sheetName val="ROBERTO CONTRERAS"/>
      <sheetName val="BOTELLO"/>
      <sheetName val="GERARDO  LOPEZ"/>
      <sheetName val="SENEN"/>
      <sheetName val="VALDES"/>
      <sheetName val="KARINA LOPEZ"/>
      <sheetName val="CONTRERAS"/>
      <sheetName val="MEDRANO"/>
      <sheetName val="ERNESTO"/>
      <sheetName val="EVE"/>
      <sheetName val="GABRIEL"/>
      <sheetName val="MAIDA"/>
      <sheetName val="ERIKA"/>
      <sheetName val="ADRIANA"/>
      <sheetName val="J. BENJAMIN (2)"/>
      <sheetName val="JAIR (2)"/>
      <sheetName val="PEDRO (2)"/>
      <sheetName val="JOSE VICTORIANO  (2)"/>
      <sheetName val="FEDERICO (2)"/>
      <sheetName val="ARACELI (2)"/>
      <sheetName val="ALEJANDRA (2)"/>
      <sheetName val="KIMBERLY (2)"/>
      <sheetName val="MARICHY (3)"/>
      <sheetName val="EMA (3)"/>
      <sheetName val="LILIANA G. (3)"/>
      <sheetName val="YESENIA. (3)"/>
      <sheetName val="ROBERTO (3)"/>
      <sheetName val="FRANCISCO (3)"/>
      <sheetName val="YERANIA (3)"/>
      <sheetName val="ALTAGRACIA (3)"/>
      <sheetName val="LILIANA (3)"/>
      <sheetName val="ANDRES (3)"/>
      <sheetName val="JULIAN (3)"/>
      <sheetName val="LUIS ALBERTO  (3)"/>
      <sheetName val="JOSE EMANUEL (3)"/>
      <sheetName val="KARINA ROBLES (3)"/>
      <sheetName val="JAIME MEDINA (3)"/>
      <sheetName val="JESUS JERONIMO (3)"/>
      <sheetName val="JUAN DANIEL (3)"/>
      <sheetName val="RIGOBERTO (3)"/>
      <sheetName val="ROCIO (3)"/>
      <sheetName val="FELICIANO (3)"/>
      <sheetName val="Efrain (3)"/>
      <sheetName val="José de Jesús (3)"/>
      <sheetName val="Claudia  (3)"/>
      <sheetName val="Esteban (3)"/>
      <sheetName val="Ana Gabriela (3)"/>
      <sheetName val="Armando  (2)"/>
      <sheetName val="Lic. María Vidal  (2)"/>
      <sheetName val="PARA MODIFICAR FECHAS"/>
      <sheetName val="M.V.Z. GILDARO SANCHEZ"/>
      <sheetName val="JUAN MANUEL"/>
      <sheetName val="MANUEL JESUS"/>
      <sheetName val="MARÍA VERONICA"/>
      <sheetName val="MARIA VICTORIA"/>
      <sheetName val="EDGAR"/>
      <sheetName val="SARAHI"/>
      <sheetName val="JOSÉ MANUEL"/>
      <sheetName val="FAUSTINO (2)"/>
      <sheetName val="MARÍA AMELIA (2)"/>
      <sheetName val="PEDRO ALONSO (2)"/>
      <sheetName val="VICTOR MANUEL (2)"/>
      <sheetName val="JOSÉ LUIS CEJA (2)"/>
      <sheetName val="LUIS ENRIQUE (2)"/>
      <sheetName val="JOSÉ RICARDO (2)"/>
      <sheetName val="JORGE ISAAC (2)"/>
      <sheetName val="MARCO VINICIO (2)"/>
      <sheetName val="JUAN JOSÉ (2)"/>
      <sheetName val="ELISEO FLORES (2)"/>
      <sheetName val="GABRIEL RANGEL (2)"/>
      <sheetName val="ROBERTO CONTRERAS (2)"/>
      <sheetName val="BOTELLO (2)"/>
      <sheetName val="GERARDO  LOPEZ (2)"/>
      <sheetName val="SENEN (2)"/>
      <sheetName val="VALDES (2)"/>
      <sheetName val="KARINA LOPEZ (2)"/>
      <sheetName val="CONTRERAS (2)"/>
      <sheetName val="MEDRANO (2)"/>
      <sheetName val="ERNESTO (2)"/>
      <sheetName val="EVE (2)"/>
      <sheetName val="GABRIEL (2)"/>
      <sheetName val="MAIDA (2)"/>
      <sheetName val="ERIKA (2)"/>
      <sheetName val="ADRIANA (2)"/>
      <sheetName val="J. BENJAMIN (3)"/>
      <sheetName val="JAIR (3)"/>
      <sheetName val="PEDRO (3)"/>
      <sheetName val="JOSE VICTORIANO  (3)"/>
      <sheetName val="FEDERICO (3)"/>
      <sheetName val="ARACELI (3)"/>
      <sheetName val="ALEJANDRA (3)"/>
      <sheetName val="KIMBERLY (3)"/>
      <sheetName val="MARICHY (4)"/>
      <sheetName val="EMA (4)"/>
      <sheetName val="LILIANA G. (4)"/>
      <sheetName val="YESENIA. (4)"/>
      <sheetName val="ROBERTO (4)"/>
      <sheetName val="FRANCISCO (4)"/>
      <sheetName val="YERANIA (4)"/>
      <sheetName val="ALTAGRACIA (4)"/>
      <sheetName val="LILIANA (4)"/>
      <sheetName val="ANDRES (4)"/>
      <sheetName val="JULIAN (4)"/>
      <sheetName val="LUIS ALBERTO  (4)"/>
      <sheetName val="JOSE EMANUEL (4)"/>
      <sheetName val="KARINA ROBLES (4)"/>
      <sheetName val="JAIME MEDINA (4)"/>
      <sheetName val="JESUS JERONIMO (4)"/>
      <sheetName val="JUAN DANIEL (4)"/>
      <sheetName val="RIGOBERTO (4)"/>
      <sheetName val="ROCIO (4)"/>
      <sheetName val="FELICIANO"/>
      <sheetName val="MODIFICA. DOCENTES"/>
      <sheetName val="Efrain (4)"/>
      <sheetName val="José de Jesús (4)"/>
      <sheetName val="Claudia  (4)"/>
      <sheetName val="Esteban (4)"/>
      <sheetName val="Ana Gabriela (4)"/>
      <sheetName val="Armando  (3)"/>
      <sheetName val="Lic. María Vidal  (3)"/>
      <sheetName val="PARA MODIFICAR FECHAS (2)"/>
      <sheetName val="M.V.Z. GILDARO SANCHEZ (2)"/>
      <sheetName val="HT-ADMINISTRATIVOS FIRMA "/>
      <sheetName val="HT-DOCENTE"/>
      <sheetName val="Admon prim vac"/>
      <sheetName val="DOCENTESprima vac"/>
      <sheetName val="Admon prim vac para imprimir"/>
      <sheetName val="DOC PV Firma"/>
      <sheetName val="HT-DOCENTE FIRMA"/>
      <sheetName val="HT-DOCENTE FIRMA estimulo "/>
      <sheetName val="Calculo ISR "/>
      <sheetName val="Calculo ISR  con prima. VAC."/>
      <sheetName val="descuentos"/>
      <sheetName val="DEL INTERINATO DE YERA"/>
      <sheetName val="Hoja2"/>
      <sheetName val="10 DIAS AGUINALDO"/>
      <sheetName val="DOCENTES AGUIN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>
        <row r="46">
          <cell r="E46">
            <v>184920.80437726821</v>
          </cell>
        </row>
      </sheetData>
      <sheetData sheetId="141">
        <row r="15">
          <cell r="C15">
            <v>19.5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/>
      <sheetData sheetId="147" refreshError="1"/>
      <sheetData sheetId="148">
        <row r="34">
          <cell r="AZ34">
            <v>3.7616319999999916</v>
          </cell>
          <cell r="BA34">
            <v>893.0953320000001</v>
          </cell>
          <cell r="BB34">
            <v>128.40987199999998</v>
          </cell>
          <cell r="BC34">
            <v>866.27464799999996</v>
          </cell>
          <cell r="BD34">
            <v>474.18068800000009</v>
          </cell>
          <cell r="BE34">
            <v>859.98092400000007</v>
          </cell>
          <cell r="BF34">
            <v>863.77232400000003</v>
          </cell>
          <cell r="BG34">
            <v>-165.65343999999999</v>
          </cell>
          <cell r="BH34">
            <v>771.86024400000008</v>
          </cell>
          <cell r="BI34">
            <v>-68.07463999999996</v>
          </cell>
          <cell r="BJ34">
            <v>770.88836400000002</v>
          </cell>
          <cell r="BK34">
            <v>703.29464400000006</v>
          </cell>
          <cell r="BL34">
            <v>770.88836400000002</v>
          </cell>
          <cell r="BM34">
            <v>770.88836400000002</v>
          </cell>
          <cell r="BN34">
            <v>827.59382400000004</v>
          </cell>
          <cell r="BO34">
            <v>149.54427199999995</v>
          </cell>
          <cell r="BP34">
            <v>703.29464400000006</v>
          </cell>
          <cell r="BQ34">
            <v>635.7009240000001</v>
          </cell>
          <cell r="BR34">
            <v>601.90406400000006</v>
          </cell>
          <cell r="BS34">
            <v>184.45915199999999</v>
          </cell>
          <cell r="BT34">
            <v>132.32939199999996</v>
          </cell>
          <cell r="BU34">
            <v>-6.2098880000000065</v>
          </cell>
          <cell r="BV34">
            <v>115.11451199999996</v>
          </cell>
          <cell r="BW34">
            <v>115.11451199999996</v>
          </cell>
          <cell r="BX34">
            <v>-6.2098880000000065</v>
          </cell>
          <cell r="BY34">
            <v>-110.45383999999997</v>
          </cell>
          <cell r="BZ34">
            <v>-110.45383999999997</v>
          </cell>
          <cell r="CA34">
            <v>-110.45383999999997</v>
          </cell>
          <cell r="CB34">
            <v>-110.45383999999997</v>
          </cell>
          <cell r="CC34">
            <v>-110.45383999999997</v>
          </cell>
        </row>
      </sheetData>
      <sheetData sheetId="149" refreshError="1"/>
      <sheetData sheetId="150"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</sheetData>
      <sheetData sheetId="151" refreshError="1"/>
      <sheetData sheetId="152" refreshError="1"/>
      <sheetData sheetId="153" refreshError="1"/>
      <sheetData sheetId="154" refreshError="1"/>
      <sheetData sheetId="15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2"/>
  <sheetViews>
    <sheetView topLeftCell="A3" zoomScale="80" zoomScaleNormal="80" zoomScaleSheetLayoutView="100" workbookViewId="0">
      <pane xSplit="2" ySplit="7" topLeftCell="C30" activePane="bottomRight" state="frozen"/>
      <selection activeCell="A3" sqref="A3"/>
      <selection pane="topRight" activeCell="C3" sqref="C3"/>
      <selection pane="bottomLeft" activeCell="A10" sqref="A10"/>
      <selection pane="bottomRight" activeCell="S45" sqref="S45"/>
    </sheetView>
  </sheetViews>
  <sheetFormatPr baseColWidth="10" defaultRowHeight="12.75"/>
  <cols>
    <col min="1" max="1" width="12.7109375" style="1" customWidth="1"/>
    <col min="2" max="2" width="35.5703125" style="1" customWidth="1"/>
    <col min="3" max="3" width="7.140625" style="1" customWidth="1"/>
    <col min="4" max="4" width="10.42578125" style="1" customWidth="1"/>
    <col min="5" max="5" width="11.85546875" style="1" customWidth="1"/>
    <col min="6" max="6" width="10.7109375" style="1" customWidth="1"/>
    <col min="7" max="7" width="10" style="1" customWidth="1"/>
    <col min="8" max="8" width="10.140625" style="1" customWidth="1"/>
    <col min="9" max="9" width="10.85546875" style="1" customWidth="1"/>
    <col min="10" max="10" width="7.140625" style="1" customWidth="1"/>
    <col min="11" max="11" width="12.42578125" style="1" customWidth="1"/>
    <col min="12" max="12" width="10.85546875" style="1" hidden="1" customWidth="1"/>
    <col min="13" max="13" width="11.7109375" style="1" hidden="1" customWidth="1"/>
    <col min="14" max="14" width="12.140625" style="1" hidden="1" customWidth="1"/>
    <col min="15" max="15" width="12" style="1" hidden="1" customWidth="1"/>
    <col min="16" max="16" width="6.7109375" style="1" hidden="1" customWidth="1"/>
    <col min="17" max="17" width="10.5703125" style="1" hidden="1" customWidth="1"/>
    <col min="18" max="18" width="11.7109375" style="1" customWidth="1"/>
    <col min="19" max="19" width="8.28515625" style="1" customWidth="1"/>
    <col min="20" max="20" width="13.28515625" style="1" customWidth="1"/>
    <col min="21" max="21" width="10.5703125" style="1" hidden="1" customWidth="1"/>
    <col min="22" max="22" width="37.5703125" style="1" hidden="1" customWidth="1"/>
    <col min="23" max="23" width="12.28515625" style="1" hidden="1" customWidth="1"/>
    <col min="24" max="16384" width="11.42578125" style="1"/>
  </cols>
  <sheetData>
    <row r="2" spans="1:23">
      <c r="B2" s="2" t="s">
        <v>0</v>
      </c>
    </row>
    <row r="3" spans="1:23">
      <c r="B3" s="2"/>
    </row>
    <row r="4" spans="1:23">
      <c r="B4" s="2"/>
    </row>
    <row r="5" spans="1:23">
      <c r="D5" s="2"/>
      <c r="E5" s="2"/>
      <c r="F5" s="2"/>
      <c r="K5" s="3"/>
      <c r="O5" s="2"/>
      <c r="P5" s="2"/>
      <c r="Q5" s="2"/>
    </row>
    <row r="6" spans="1:23">
      <c r="B6" s="2"/>
      <c r="D6" s="4">
        <v>19.28</v>
      </c>
      <c r="E6" s="4">
        <v>10.95</v>
      </c>
      <c r="F6" s="4"/>
      <c r="J6" s="58">
        <v>0.105</v>
      </c>
      <c r="O6" s="2"/>
      <c r="P6" s="5">
        <v>0.01</v>
      </c>
      <c r="Q6" s="2"/>
    </row>
    <row r="7" spans="1:23" ht="13.5" thickBot="1">
      <c r="A7" s="6" t="s">
        <v>0</v>
      </c>
      <c r="D7" s="4">
        <v>22.3</v>
      </c>
      <c r="E7" s="7">
        <v>0.02</v>
      </c>
      <c r="F7" s="8">
        <v>0.04</v>
      </c>
      <c r="G7" s="6" t="s">
        <v>1</v>
      </c>
      <c r="O7" s="2"/>
      <c r="P7" s="2"/>
      <c r="Q7" s="2"/>
    </row>
    <row r="8" spans="1:23" ht="15.75" customHeight="1" thickBot="1">
      <c r="A8" s="164" t="s">
        <v>2</v>
      </c>
      <c r="B8" s="166" t="s">
        <v>3</v>
      </c>
      <c r="C8" s="168" t="s">
        <v>4</v>
      </c>
      <c r="D8" s="169"/>
      <c r="E8" s="170"/>
      <c r="F8" s="171" t="s">
        <v>5</v>
      </c>
      <c r="G8" s="172"/>
      <c r="H8" s="172"/>
      <c r="I8" s="173"/>
      <c r="J8" s="173"/>
      <c r="K8" s="174"/>
      <c r="L8" s="175" t="s">
        <v>6</v>
      </c>
      <c r="M8" s="176"/>
      <c r="N8" s="176"/>
      <c r="O8" s="176"/>
      <c r="P8" s="176"/>
      <c r="Q8" s="176"/>
      <c r="R8" s="176"/>
      <c r="S8" s="177" t="s">
        <v>7</v>
      </c>
      <c r="T8" s="177"/>
      <c r="U8" s="177"/>
    </row>
    <row r="9" spans="1:23" s="20" customFormat="1" ht="60">
      <c r="A9" s="165"/>
      <c r="B9" s="167"/>
      <c r="C9" s="9" t="s">
        <v>8</v>
      </c>
      <c r="D9" s="9" t="s">
        <v>9</v>
      </c>
      <c r="E9" s="10" t="s">
        <v>10</v>
      </c>
      <c r="F9" s="11" t="s">
        <v>11</v>
      </c>
      <c r="G9" s="11" t="s">
        <v>12</v>
      </c>
      <c r="H9" s="12" t="s">
        <v>13</v>
      </c>
      <c r="I9" s="13" t="s">
        <v>14</v>
      </c>
      <c r="J9" s="14" t="s">
        <v>15</v>
      </c>
      <c r="K9" s="14" t="s">
        <v>16</v>
      </c>
      <c r="L9" s="15" t="s">
        <v>17</v>
      </c>
      <c r="M9" s="16" t="s">
        <v>18</v>
      </c>
      <c r="N9" s="16" t="s">
        <v>19</v>
      </c>
      <c r="O9" s="16" t="s">
        <v>20</v>
      </c>
      <c r="P9" s="16" t="s">
        <v>21</v>
      </c>
      <c r="Q9" s="16" t="s">
        <v>22</v>
      </c>
      <c r="R9" s="16" t="s">
        <v>23</v>
      </c>
      <c r="S9" s="17" t="s">
        <v>24</v>
      </c>
      <c r="T9" s="18" t="s">
        <v>25</v>
      </c>
      <c r="U9" s="19" t="s">
        <v>26</v>
      </c>
      <c r="V9" s="178" t="s">
        <v>27</v>
      </c>
      <c r="W9" s="178"/>
    </row>
    <row r="10" spans="1:23" ht="45" customHeight="1">
      <c r="A10" s="21" t="s">
        <v>28</v>
      </c>
      <c r="B10" s="22" t="s">
        <v>29</v>
      </c>
      <c r="C10" s="23">
        <v>5.5</v>
      </c>
      <c r="D10" s="24">
        <v>305.5</v>
      </c>
      <c r="E10" s="25">
        <f>C10*D10</f>
        <v>1680.25</v>
      </c>
      <c r="F10" s="25">
        <f>C10*19.28</f>
        <v>106.04</v>
      </c>
      <c r="G10" s="25">
        <f>C10*E6</f>
        <v>60.224999999999994</v>
      </c>
      <c r="H10" s="25"/>
      <c r="I10" s="25">
        <f>E10*F7</f>
        <v>67.210000000000008</v>
      </c>
      <c r="J10" s="26">
        <v>0</v>
      </c>
      <c r="K10" s="25">
        <f>SUM(E10:J10)</f>
        <v>1913.7249999999999</v>
      </c>
      <c r="L10" s="27">
        <f>IF('[1]Calculo ISR '!$AZ$34&lt;0,0,'[1]Calculo ISR '!$AZ$34)</f>
        <v>0</v>
      </c>
      <c r="M10" s="28">
        <f>E10*J6</f>
        <v>176.42624999999998</v>
      </c>
      <c r="N10" s="29">
        <v>450.66</v>
      </c>
      <c r="O10" s="28">
        <f>E10*P6</f>
        <v>16.802500000000002</v>
      </c>
      <c r="P10" s="28"/>
      <c r="Q10" s="30">
        <f>[1]descuentos!D5</f>
        <v>458.25</v>
      </c>
      <c r="R10" s="25">
        <f t="shared" ref="R10:R24" si="0">L10+M10+N10+O10+Q10+P10</f>
        <v>1102.1387500000001</v>
      </c>
      <c r="S10" s="28">
        <f>IF('[1]Calculo ISR '!$AZ$34&gt;0,0,('[1]Calculo ISR '!$AZ$34)*-1)</f>
        <v>84.025999999999982</v>
      </c>
      <c r="T10" s="25">
        <f>K10-R10-U10+S10</f>
        <v>789.57224999999983</v>
      </c>
      <c r="U10" s="25">
        <f t="shared" ref="U10:U32" si="1">F10</f>
        <v>106.04</v>
      </c>
      <c r="V10" s="179"/>
      <c r="W10" s="180"/>
    </row>
    <row r="11" spans="1:23" s="2" customFormat="1" ht="45" customHeight="1">
      <c r="A11" s="21" t="s">
        <v>30</v>
      </c>
      <c r="B11" s="31" t="s">
        <v>31</v>
      </c>
      <c r="C11" s="32">
        <v>19.5</v>
      </c>
      <c r="D11" s="24">
        <v>305.5</v>
      </c>
      <c r="E11" s="25">
        <f t="shared" ref="E11:E32" si="2">C11*D11</f>
        <v>5957.25</v>
      </c>
      <c r="F11" s="25">
        <f>C11*19.28</f>
        <v>375.96000000000004</v>
      </c>
      <c r="G11" s="25">
        <f>C11*E6</f>
        <v>213.52499999999998</v>
      </c>
      <c r="H11" s="25"/>
      <c r="I11" s="25">
        <f>E11*F7</f>
        <v>238.29</v>
      </c>
      <c r="J11" s="25">
        <f>'[1]HT-DOCENTE'!J10</f>
        <v>0</v>
      </c>
      <c r="K11" s="25">
        <f>SUM(E11:J11)</f>
        <v>6785.0249999999996</v>
      </c>
      <c r="L11" s="27">
        <f>IF('[1]Calculo ISR '!$BA$34&lt;0,0,'[1]Calculo ISR '!$BA$34)</f>
        <v>821.78710799999999</v>
      </c>
      <c r="M11" s="28">
        <f>E11*J6</f>
        <v>625.51125000000002</v>
      </c>
      <c r="N11" s="28">
        <v>1919</v>
      </c>
      <c r="O11" s="28">
        <f>E11*P6</f>
        <v>59.572499999999998</v>
      </c>
      <c r="P11" s="28">
        <f>'[1]HT-DOCENTE'!R10</f>
        <v>0</v>
      </c>
      <c r="Q11" s="28"/>
      <c r="R11" s="25">
        <f t="shared" si="0"/>
        <v>3425.8708580000002</v>
      </c>
      <c r="S11" s="28">
        <f>IF('[1]Calculo ISR '!$BA$34&gt;0,0,('[1]Calculo ISR '!$BA$34)*-1)</f>
        <v>0</v>
      </c>
      <c r="T11" s="25">
        <f>K11-R11-U11+S11</f>
        <v>2983.1941419999994</v>
      </c>
      <c r="U11" s="25">
        <f t="shared" si="1"/>
        <v>375.96000000000004</v>
      </c>
      <c r="V11" s="161"/>
      <c r="W11" s="162"/>
    </row>
    <row r="12" spans="1:23" s="2" customFormat="1" ht="45" customHeight="1">
      <c r="A12" s="21" t="s">
        <v>32</v>
      </c>
      <c r="B12" s="31" t="s">
        <v>33</v>
      </c>
      <c r="C12" s="32">
        <v>9</v>
      </c>
      <c r="D12" s="24">
        <v>305.5</v>
      </c>
      <c r="E12" s="25">
        <f t="shared" si="2"/>
        <v>2749.5</v>
      </c>
      <c r="F12" s="25">
        <f>C12*D6</f>
        <v>173.52</v>
      </c>
      <c r="G12" s="25">
        <f>C12*E6</f>
        <v>98.55</v>
      </c>
      <c r="H12" s="25"/>
      <c r="I12" s="25">
        <f>E12*F7</f>
        <v>109.98</v>
      </c>
      <c r="J12" s="25">
        <v>0</v>
      </c>
      <c r="K12" s="25">
        <f t="shared" ref="K12:K32" si="3">SUM(E12:J12)</f>
        <v>3131.55</v>
      </c>
      <c r="L12" s="27">
        <f>IF('[1]Calculo ISR '!$BB$34&lt;0,0,'[1]Calculo ISR '!$BB$34)</f>
        <v>72.400576000000001</v>
      </c>
      <c r="M12" s="28">
        <f>E12*J6</f>
        <v>288.69749999999999</v>
      </c>
      <c r="N12" s="28">
        <v>873</v>
      </c>
      <c r="O12" s="28">
        <f>E12*P6</f>
        <v>27.495000000000001</v>
      </c>
      <c r="P12" s="28">
        <f>'[1]HT-DOCENTE'!R11</f>
        <v>0</v>
      </c>
      <c r="Q12" s="28"/>
      <c r="R12" s="25">
        <f t="shared" si="0"/>
        <v>1261.5930759999999</v>
      </c>
      <c r="S12" s="28">
        <f>IF('[1]Calculo ISR '!$BB$34&gt;0,0,('[1]Calculo ISR '!$BB$34)*-1)</f>
        <v>0</v>
      </c>
      <c r="T12" s="25">
        <f>K12-R12-U12+S12</f>
        <v>1696.4369240000003</v>
      </c>
      <c r="U12" s="25">
        <f t="shared" si="1"/>
        <v>173.52</v>
      </c>
      <c r="V12" s="161"/>
      <c r="W12" s="162"/>
    </row>
    <row r="13" spans="1:23" s="2" customFormat="1" ht="45" customHeight="1">
      <c r="A13" s="21" t="s">
        <v>34</v>
      </c>
      <c r="B13" s="31" t="s">
        <v>35</v>
      </c>
      <c r="C13" s="32">
        <f>'[1]HT-DOCENTE'!C12</f>
        <v>19.5</v>
      </c>
      <c r="D13" s="24">
        <v>305.5</v>
      </c>
      <c r="E13" s="25">
        <f t="shared" si="2"/>
        <v>5957.25</v>
      </c>
      <c r="F13" s="25">
        <f>C13*D6</f>
        <v>375.96000000000004</v>
      </c>
      <c r="G13" s="25">
        <f>E6*C13</f>
        <v>213.52499999999998</v>
      </c>
      <c r="H13" s="25"/>
      <c r="I13" s="25">
        <f>E13*E7</f>
        <v>119.145</v>
      </c>
      <c r="J13" s="25">
        <f>'[1]HT-DOCENTE'!J12</f>
        <v>0</v>
      </c>
      <c r="K13" s="25">
        <f t="shared" si="3"/>
        <v>6665.88</v>
      </c>
      <c r="L13" s="27">
        <f>IF('[1]Calculo ISR '!$BC$34&lt;0,0,'[1]Calculo ISR '!$BC$34)</f>
        <v>796.33773600000018</v>
      </c>
      <c r="M13" s="28">
        <f>E13*J6</f>
        <v>625.51125000000002</v>
      </c>
      <c r="N13" s="28">
        <f>'[1]HT-DOCENTE'!P12</f>
        <v>0</v>
      </c>
      <c r="O13" s="28">
        <f>E13*P6</f>
        <v>59.572499999999998</v>
      </c>
      <c r="P13" s="28">
        <f>'[1]HT-DOCENTE'!R12</f>
        <v>0</v>
      </c>
      <c r="Q13" s="28"/>
      <c r="R13" s="25">
        <f t="shared" si="0"/>
        <v>1481.4214860000002</v>
      </c>
      <c r="S13" s="28">
        <f>IF('[1]Calculo ISR '!$BC$34&gt;0,0,('[1]Calculo ISR '!$BC$34)*-1)</f>
        <v>0</v>
      </c>
      <c r="T13" s="25">
        <f t="shared" ref="T13:T24" si="4">K13-R13-U13+S13</f>
        <v>4808.4985139999999</v>
      </c>
      <c r="U13" s="25">
        <f t="shared" si="1"/>
        <v>375.96000000000004</v>
      </c>
      <c r="V13" s="161"/>
      <c r="W13" s="162"/>
    </row>
    <row r="14" spans="1:23" s="2" customFormat="1" ht="45" customHeight="1">
      <c r="A14" s="21" t="s">
        <v>36</v>
      </c>
      <c r="B14" s="31" t="s">
        <v>37</v>
      </c>
      <c r="C14" s="32">
        <v>11.5</v>
      </c>
      <c r="D14" s="24">
        <v>305.5</v>
      </c>
      <c r="E14" s="25">
        <f t="shared" si="2"/>
        <v>3513.25</v>
      </c>
      <c r="F14" s="25">
        <f>C14*D6</f>
        <v>221.72000000000003</v>
      </c>
      <c r="G14" s="25">
        <f>C14*E6</f>
        <v>125.925</v>
      </c>
      <c r="H14" s="25">
        <f>C14*D7</f>
        <v>256.45</v>
      </c>
      <c r="I14" s="25"/>
      <c r="J14" s="25">
        <f>'[1]HT-DOCENTE'!J13</f>
        <v>0</v>
      </c>
      <c r="K14" s="25">
        <f>SUM(E14:J14)</f>
        <v>4117.3450000000003</v>
      </c>
      <c r="L14" s="27">
        <f>IF('[1]Calculo ISR '!$BD$34&lt;0,0,'[1]Calculo ISR '!$BD$34)</f>
        <v>332.38839999999999</v>
      </c>
      <c r="M14" s="28">
        <f>E14*J6</f>
        <v>368.89125000000001</v>
      </c>
      <c r="N14" s="28">
        <v>1100</v>
      </c>
      <c r="O14" s="28">
        <f>E14*P6</f>
        <v>35.1325</v>
      </c>
      <c r="P14" s="28">
        <f>'[1]HT-DOCENTE'!R13</f>
        <v>0</v>
      </c>
      <c r="Q14" s="28"/>
      <c r="R14" s="25">
        <f t="shared" si="0"/>
        <v>1836.4121499999999</v>
      </c>
      <c r="S14" s="28">
        <f>IF('[1]Calculo ISR '!$BD$34&gt;0,0,('[1]Calculo ISR '!$BD$34)*-1)</f>
        <v>0</v>
      </c>
      <c r="T14" s="25">
        <f t="shared" si="4"/>
        <v>2059.2128499999999</v>
      </c>
      <c r="U14" s="25">
        <f t="shared" si="1"/>
        <v>221.72000000000003</v>
      </c>
      <c r="V14" s="161"/>
      <c r="W14" s="162"/>
    </row>
    <row r="15" spans="1:23" s="2" customFormat="1" ht="45" customHeight="1">
      <c r="A15" s="21" t="s">
        <v>38</v>
      </c>
      <c r="B15" s="33" t="s">
        <v>39</v>
      </c>
      <c r="C15" s="32">
        <f>'[1]HT-DOCENTE'!C14</f>
        <v>19.5</v>
      </c>
      <c r="D15" s="24">
        <v>305.5</v>
      </c>
      <c r="E15" s="25">
        <f t="shared" si="2"/>
        <v>5957.25</v>
      </c>
      <c r="F15" s="25">
        <f>C15*D6</f>
        <v>375.96000000000004</v>
      </c>
      <c r="G15" s="25">
        <f>C15*E6</f>
        <v>213.52499999999998</v>
      </c>
      <c r="H15" s="25">
        <f>C15*D7</f>
        <v>434.85</v>
      </c>
      <c r="I15" s="25"/>
      <c r="J15" s="25">
        <f>'[1]HT-DOCENTE'!J14</f>
        <v>0</v>
      </c>
      <c r="K15" s="25">
        <f t="shared" si="3"/>
        <v>6981.585</v>
      </c>
      <c r="L15" s="27">
        <f>IF('[1]Calculo ISR '!$BE$34&lt;0,0,'[1]Calculo ISR '!$BE$34)</f>
        <v>863.77232400000003</v>
      </c>
      <c r="M15" s="28">
        <f>E15*J6</f>
        <v>625.51125000000002</v>
      </c>
      <c r="N15" s="28">
        <v>1655</v>
      </c>
      <c r="O15" s="28">
        <f>E15*P6</f>
        <v>59.572499999999998</v>
      </c>
      <c r="P15" s="28">
        <f>'[1]HT-DOCENTE'!R14</f>
        <v>0</v>
      </c>
      <c r="Q15" s="28"/>
      <c r="R15" s="25">
        <f t="shared" si="0"/>
        <v>3203.8560740000003</v>
      </c>
      <c r="S15" s="28">
        <f>IF('[1]Calculo ISR '!$BE$34&gt;0,0,('[1]Calculo ISR '!$BE$34)*-1)</f>
        <v>0</v>
      </c>
      <c r="T15" s="25">
        <f t="shared" si="4"/>
        <v>3401.7689259999997</v>
      </c>
      <c r="U15" s="25">
        <f t="shared" si="1"/>
        <v>375.96000000000004</v>
      </c>
      <c r="V15" s="161"/>
      <c r="W15" s="162"/>
    </row>
    <row r="16" spans="1:23" s="2" customFormat="1" ht="45" customHeight="1">
      <c r="A16" s="21" t="s">
        <v>40</v>
      </c>
      <c r="B16" s="31" t="s">
        <v>41</v>
      </c>
      <c r="C16" s="32">
        <f>'[1]HT-DOCENTE'!C15</f>
        <v>19.5</v>
      </c>
      <c r="D16" s="24">
        <v>305.5</v>
      </c>
      <c r="E16" s="25">
        <f t="shared" si="2"/>
        <v>5957.25</v>
      </c>
      <c r="F16" s="25">
        <f>C16*D6</f>
        <v>375.96000000000004</v>
      </c>
      <c r="G16" s="25">
        <f>C16*E6</f>
        <v>213.52499999999998</v>
      </c>
      <c r="H16" s="25">
        <f>C16*D7</f>
        <v>434.85</v>
      </c>
      <c r="I16" s="25"/>
      <c r="J16" s="25">
        <f>'[1]HT-DOCENTE'!J15</f>
        <v>0</v>
      </c>
      <c r="K16" s="25">
        <f t="shared" si="3"/>
        <v>6981.585</v>
      </c>
      <c r="L16" s="27">
        <f>IF('[1]Calculo ISR '!$BF$34&lt;0,0,'[1]Calculo ISR '!$BF$34)</f>
        <v>863.77232400000003</v>
      </c>
      <c r="M16" s="28">
        <f>E16*J6</f>
        <v>625.51125000000002</v>
      </c>
      <c r="N16" s="28">
        <f>'[1]HT-DOCENTE'!P15</f>
        <v>0</v>
      </c>
      <c r="O16" s="28">
        <f>E16*P6</f>
        <v>59.572499999999998</v>
      </c>
      <c r="P16" s="28">
        <v>0</v>
      </c>
      <c r="Q16" s="28"/>
      <c r="R16" s="25">
        <f t="shared" si="0"/>
        <v>1548.856074</v>
      </c>
      <c r="S16" s="28">
        <f>IF('[1]Calculo ISR '!$BF$34&gt;0,0,('[1]Calculo ISR '!$BF$34)*-1)</f>
        <v>0</v>
      </c>
      <c r="T16" s="25">
        <f t="shared" si="4"/>
        <v>5056.7689259999997</v>
      </c>
      <c r="U16" s="25">
        <f t="shared" si="1"/>
        <v>375.96000000000004</v>
      </c>
      <c r="V16" s="161"/>
      <c r="W16" s="162"/>
    </row>
    <row r="17" spans="1:23" s="2" customFormat="1" ht="45" customHeight="1">
      <c r="A17" s="21" t="s">
        <v>42</v>
      </c>
      <c r="B17" s="31" t="s">
        <v>43</v>
      </c>
      <c r="C17" s="32">
        <v>1</v>
      </c>
      <c r="D17" s="24">
        <v>305.5</v>
      </c>
      <c r="E17" s="25">
        <f t="shared" si="2"/>
        <v>305.5</v>
      </c>
      <c r="F17" s="25">
        <f>C17*D6</f>
        <v>19.28</v>
      </c>
      <c r="G17" s="25">
        <f>C17*E6</f>
        <v>10.95</v>
      </c>
      <c r="H17" s="25">
        <f>C17*D7*2</f>
        <v>44.6</v>
      </c>
      <c r="I17" s="25"/>
      <c r="J17" s="25">
        <f>'[1]HT-DOCENTE'!J16</f>
        <v>0</v>
      </c>
      <c r="K17" s="25">
        <f>SUM(E17:J17)</f>
        <v>380.33</v>
      </c>
      <c r="L17" s="27">
        <f>IF('[1]Calculo ISR '!$BG$34&lt;0,0,'[1]Calculo ISR '!$BG$34)</f>
        <v>0</v>
      </c>
      <c r="M17" s="28">
        <f>E17*J6</f>
        <v>32.077500000000001</v>
      </c>
      <c r="N17" s="28">
        <v>0</v>
      </c>
      <c r="O17" s="28">
        <f>E17*P6</f>
        <v>3.0550000000000002</v>
      </c>
      <c r="P17" s="28">
        <f>'[1]HT-DOCENTE'!R16</f>
        <v>0</v>
      </c>
      <c r="Q17" s="28"/>
      <c r="R17" s="25">
        <f t="shared" si="0"/>
        <v>35.1325</v>
      </c>
      <c r="S17" s="28">
        <f>IF('[1]Calculo ISR '!$BG$34&gt;0,0,('[1]Calculo ISR '!$BG$34)*-1)</f>
        <v>188.76064</v>
      </c>
      <c r="T17" s="25">
        <f t="shared" si="4"/>
        <v>514.67813999999998</v>
      </c>
      <c r="U17" s="25">
        <f t="shared" si="1"/>
        <v>19.28</v>
      </c>
      <c r="V17" s="161"/>
      <c r="W17" s="162"/>
    </row>
    <row r="18" spans="1:23" s="2" customFormat="1" ht="45" customHeight="1">
      <c r="A18" s="21" t="s">
        <v>44</v>
      </c>
      <c r="B18" s="31" t="s">
        <v>45</v>
      </c>
      <c r="C18" s="34">
        <v>18.5</v>
      </c>
      <c r="D18" s="24">
        <v>305.5</v>
      </c>
      <c r="E18" s="25">
        <f t="shared" si="2"/>
        <v>5651.75</v>
      </c>
      <c r="F18" s="25">
        <f>C18*D6</f>
        <v>356.68</v>
      </c>
      <c r="G18" s="25">
        <f>C18*E6</f>
        <v>202.57499999999999</v>
      </c>
      <c r="H18" s="25"/>
      <c r="I18" s="25"/>
      <c r="J18" s="25">
        <f>'[1]HT-DOCENTE'!J17</f>
        <v>0</v>
      </c>
      <c r="K18" s="25">
        <f t="shared" si="3"/>
        <v>6211.0050000000001</v>
      </c>
      <c r="L18" s="27">
        <f>IF('[1]Calculo ISR '!$BH$34&lt;0,0,'[1]Calculo ISR '!$BH$34)</f>
        <v>703.29464400000006</v>
      </c>
      <c r="M18" s="28">
        <f>E18*J6</f>
        <v>593.43375000000003</v>
      </c>
      <c r="N18" s="28">
        <f>'[1]HT-DOCENTE'!P17</f>
        <v>0</v>
      </c>
      <c r="O18" s="28">
        <f>E18*P6</f>
        <v>56.517499999999998</v>
      </c>
      <c r="P18" s="28">
        <f>'[1]HT-DOCENTE'!R17</f>
        <v>0</v>
      </c>
      <c r="Q18" s="28"/>
      <c r="R18" s="25">
        <f t="shared" si="0"/>
        <v>1353.2458940000001</v>
      </c>
      <c r="S18" s="28">
        <f>IF('[1]Calculo ISR '!$BH$34&gt;0,0,('[1]Calculo ISR '!$BH$34)*-1)</f>
        <v>0</v>
      </c>
      <c r="T18" s="25">
        <f t="shared" si="4"/>
        <v>4501.0791059999992</v>
      </c>
      <c r="U18" s="25">
        <f t="shared" si="1"/>
        <v>356.68</v>
      </c>
      <c r="V18" s="161"/>
      <c r="W18" s="162"/>
    </row>
    <row r="19" spans="1:23" s="2" customFormat="1" ht="45" customHeight="1">
      <c r="A19" s="21" t="s">
        <v>46</v>
      </c>
      <c r="B19" s="33" t="s">
        <v>47</v>
      </c>
      <c r="C19" s="34">
        <v>11.5</v>
      </c>
      <c r="D19" s="24">
        <v>305.5</v>
      </c>
      <c r="E19" s="25">
        <f t="shared" si="2"/>
        <v>3513.25</v>
      </c>
      <c r="F19" s="25">
        <f>C19*D6</f>
        <v>221.72000000000003</v>
      </c>
      <c r="G19" s="25">
        <f>C19*E6</f>
        <v>125.925</v>
      </c>
      <c r="H19" s="25"/>
      <c r="I19" s="25"/>
      <c r="J19" s="25">
        <v>0</v>
      </c>
      <c r="K19" s="25">
        <f t="shared" si="3"/>
        <v>3860.8950000000004</v>
      </c>
      <c r="L19" s="27">
        <f>IF('[1]Calculo ISR '!$BI$34&lt;0,0,'[1]Calculo ISR '!$BI$34)</f>
        <v>184.45915199999999</v>
      </c>
      <c r="M19" s="28">
        <f>E19*J6</f>
        <v>368.89125000000001</v>
      </c>
      <c r="N19" s="28">
        <v>1254.74</v>
      </c>
      <c r="O19" s="28">
        <f>E19*P6</f>
        <v>35.1325</v>
      </c>
      <c r="P19" s="28">
        <f>'[1]HT-DOCENTE'!R18</f>
        <v>0</v>
      </c>
      <c r="Q19" s="30">
        <f>[1]descuentos!D5</f>
        <v>458.25</v>
      </c>
      <c r="R19" s="25">
        <f>L19+M19+N19+O19+Q19+P19</f>
        <v>2301.472902</v>
      </c>
      <c r="S19" s="28">
        <f>IF('[1]Calculo ISR '!$BI$34&gt;0,0,('[1]Calculo ISR '!$BI$34)*-1)</f>
        <v>0</v>
      </c>
      <c r="T19" s="25">
        <f t="shared" si="4"/>
        <v>1337.7020980000004</v>
      </c>
      <c r="U19" s="25">
        <f t="shared" si="1"/>
        <v>221.72000000000003</v>
      </c>
      <c r="V19" s="163"/>
      <c r="W19" s="163"/>
    </row>
    <row r="20" spans="1:23" s="2" customFormat="1" ht="45" customHeight="1">
      <c r="A20" s="21" t="s">
        <v>48</v>
      </c>
      <c r="B20" s="33" t="s">
        <v>49</v>
      </c>
      <c r="C20" s="34">
        <v>19.5</v>
      </c>
      <c r="D20" s="24">
        <v>305.5</v>
      </c>
      <c r="E20" s="25">
        <f t="shared" si="2"/>
        <v>5957.25</v>
      </c>
      <c r="F20" s="25">
        <f>C20*D6</f>
        <v>375.96000000000004</v>
      </c>
      <c r="G20" s="25">
        <f>C20*E6</f>
        <v>213.52499999999998</v>
      </c>
      <c r="H20" s="25"/>
      <c r="I20" s="25"/>
      <c r="J20" s="25">
        <v>0</v>
      </c>
      <c r="K20" s="25">
        <f t="shared" si="3"/>
        <v>6546.7349999999997</v>
      </c>
      <c r="L20" s="27">
        <f>IF('[1]Calculo ISR '!$BJ$34&lt;0,0,'[1]Calculo ISR '!$BJ$34)</f>
        <v>770.88836400000002</v>
      </c>
      <c r="M20" s="28">
        <f>E20*J6</f>
        <v>625.51125000000002</v>
      </c>
      <c r="N20" s="28">
        <f>'[1]HT-DOCENTE'!P19</f>
        <v>0</v>
      </c>
      <c r="O20" s="28">
        <f>E20*P6</f>
        <v>59.572499999999998</v>
      </c>
      <c r="P20" s="28">
        <f>'[1]HT-DOCENTE'!R19</f>
        <v>0</v>
      </c>
      <c r="Q20" s="28"/>
      <c r="R20" s="25">
        <f t="shared" si="0"/>
        <v>1455.9721139999999</v>
      </c>
      <c r="S20" s="28">
        <f>IF('[1]Calculo ISR '!$BJ$34&gt;0,0,('[1]Calculo ISR '!$BJ$34)*-1)</f>
        <v>0</v>
      </c>
      <c r="T20" s="25">
        <f t="shared" si="4"/>
        <v>4714.8028859999995</v>
      </c>
      <c r="U20" s="25">
        <f t="shared" si="1"/>
        <v>375.96000000000004</v>
      </c>
      <c r="V20" s="161"/>
      <c r="W20" s="162"/>
    </row>
    <row r="21" spans="1:23" s="2" customFormat="1" ht="45" customHeight="1">
      <c r="A21" s="21" t="s">
        <v>50</v>
      </c>
      <c r="B21" s="31" t="s">
        <v>51</v>
      </c>
      <c r="C21" s="34">
        <v>19.5</v>
      </c>
      <c r="D21" s="24">
        <v>305.5</v>
      </c>
      <c r="E21" s="25">
        <f t="shared" si="2"/>
        <v>5957.25</v>
      </c>
      <c r="F21" s="25">
        <f>C21*D6</f>
        <v>375.96000000000004</v>
      </c>
      <c r="G21" s="25">
        <f>C21*E6</f>
        <v>213.52499999999998</v>
      </c>
      <c r="H21" s="25"/>
      <c r="I21" s="25"/>
      <c r="J21" s="25">
        <v>0</v>
      </c>
      <c r="K21" s="25">
        <f>SUM(E21:J21)</f>
        <v>6546.7349999999997</v>
      </c>
      <c r="L21" s="27">
        <f>IF('[1]Calculo ISR '!$BK$34&lt;0,0,'[1]Calculo ISR '!$BK$34)</f>
        <v>770.88836400000002</v>
      </c>
      <c r="M21" s="28">
        <f>E21*J6</f>
        <v>625.51125000000002</v>
      </c>
      <c r="N21" s="28">
        <v>1279</v>
      </c>
      <c r="O21" s="28">
        <f>E21*P6</f>
        <v>59.572499999999998</v>
      </c>
      <c r="P21" s="28"/>
      <c r="Q21" s="28"/>
      <c r="R21" s="25">
        <f t="shared" si="0"/>
        <v>2734.9721140000001</v>
      </c>
      <c r="S21" s="28">
        <f>IF('[1]Calculo ISR '!$BK$34&gt;0,0,('[1]Calculo ISR '!$BK$34)*-1)</f>
        <v>0</v>
      </c>
      <c r="T21" s="25">
        <f t="shared" si="4"/>
        <v>3435.8028859999995</v>
      </c>
      <c r="U21" s="25">
        <f t="shared" si="1"/>
        <v>375.96000000000004</v>
      </c>
      <c r="V21" s="161"/>
      <c r="W21" s="162"/>
    </row>
    <row r="22" spans="1:23" s="35" customFormat="1" ht="45" customHeight="1">
      <c r="A22" s="21" t="s">
        <v>52</v>
      </c>
      <c r="B22" s="31" t="s">
        <v>53</v>
      </c>
      <c r="C22" s="34">
        <v>19.5</v>
      </c>
      <c r="D22" s="24">
        <v>305.5</v>
      </c>
      <c r="E22" s="25">
        <f t="shared" si="2"/>
        <v>5957.25</v>
      </c>
      <c r="F22" s="25">
        <f>C22*D6</f>
        <v>375.96000000000004</v>
      </c>
      <c r="G22" s="25">
        <f>C22*E6</f>
        <v>213.52499999999998</v>
      </c>
      <c r="H22" s="25"/>
      <c r="I22" s="25"/>
      <c r="J22" s="25">
        <v>0</v>
      </c>
      <c r="K22" s="25">
        <f t="shared" si="3"/>
        <v>6546.7349999999997</v>
      </c>
      <c r="L22" s="27">
        <f>IF('[1]Calculo ISR '!$BL$34&lt;0,0,'[1]Calculo ISR '!$BL$34)</f>
        <v>770.88836400000002</v>
      </c>
      <c r="M22" s="28">
        <f>E22*J6</f>
        <v>625.51125000000002</v>
      </c>
      <c r="N22" s="28">
        <f>'[1]HT-DOCENTE'!P21</f>
        <v>0</v>
      </c>
      <c r="O22" s="28">
        <f>E22*P6</f>
        <v>59.572499999999998</v>
      </c>
      <c r="P22" s="28"/>
      <c r="Q22" s="28"/>
      <c r="R22" s="25">
        <f t="shared" si="0"/>
        <v>1455.9721139999999</v>
      </c>
      <c r="S22" s="28">
        <f>IF('[1]Calculo ISR '!$BL$34&gt;0,0,('[1]Calculo ISR '!$BL$34)*-1)</f>
        <v>0</v>
      </c>
      <c r="T22" s="25">
        <f t="shared" si="4"/>
        <v>4714.8028859999995</v>
      </c>
      <c r="U22" s="25">
        <f t="shared" si="1"/>
        <v>375.96000000000004</v>
      </c>
      <c r="V22" s="161"/>
      <c r="W22" s="162"/>
    </row>
    <row r="23" spans="1:23" s="2" customFormat="1" ht="45" customHeight="1">
      <c r="A23" s="21" t="s">
        <v>54</v>
      </c>
      <c r="B23" s="31" t="s">
        <v>55</v>
      </c>
      <c r="C23" s="34">
        <v>19.5</v>
      </c>
      <c r="D23" s="24">
        <v>305.5</v>
      </c>
      <c r="E23" s="25">
        <f>C23*D23</f>
        <v>5957.25</v>
      </c>
      <c r="F23" s="25">
        <f>C23*D6</f>
        <v>375.96000000000004</v>
      </c>
      <c r="G23" s="25">
        <f>C23*E6</f>
        <v>213.52499999999998</v>
      </c>
      <c r="H23" s="25"/>
      <c r="I23" s="25"/>
      <c r="J23" s="25">
        <v>0</v>
      </c>
      <c r="K23" s="25">
        <f t="shared" si="3"/>
        <v>6546.7349999999997</v>
      </c>
      <c r="L23" s="27">
        <f>IF('[1]Calculo ISR '!$BM$34&lt;0,0,'[1]Calculo ISR '!$BM$34)</f>
        <v>770.88836400000002</v>
      </c>
      <c r="M23" s="28">
        <f>E23*J6</f>
        <v>625.51125000000002</v>
      </c>
      <c r="N23" s="28">
        <v>1324</v>
      </c>
      <c r="O23" s="28">
        <f>E23*P6</f>
        <v>59.572499999999998</v>
      </c>
      <c r="P23" s="28">
        <f>'[1]HT-DOCENTE'!R22</f>
        <v>0</v>
      </c>
      <c r="Q23" s="28"/>
      <c r="R23" s="25">
        <f t="shared" si="0"/>
        <v>2779.9721140000001</v>
      </c>
      <c r="S23" s="28">
        <f>IF('[1]Calculo ISR '!$BM$34&gt;0,0,('[1]Calculo ISR '!$BM$34)*-1)</f>
        <v>0</v>
      </c>
      <c r="T23" s="25">
        <f t="shared" si="4"/>
        <v>3390.8028859999995</v>
      </c>
      <c r="U23" s="25">
        <f t="shared" si="1"/>
        <v>375.96000000000004</v>
      </c>
      <c r="V23" s="161"/>
      <c r="W23" s="162"/>
    </row>
    <row r="24" spans="1:23" s="2" customFormat="1" ht="45" customHeight="1">
      <c r="A24" s="21" t="s">
        <v>56</v>
      </c>
      <c r="B24" s="31" t="s">
        <v>57</v>
      </c>
      <c r="C24" s="34">
        <v>19.5</v>
      </c>
      <c r="D24" s="24">
        <v>305.5</v>
      </c>
      <c r="E24" s="25">
        <f t="shared" si="2"/>
        <v>5957.25</v>
      </c>
      <c r="F24" s="25">
        <f>C24*D6</f>
        <v>375.96000000000004</v>
      </c>
      <c r="G24" s="25">
        <f>C24*E6</f>
        <v>213.52499999999998</v>
      </c>
      <c r="H24" s="25">
        <f>C24*D7</f>
        <v>434.85</v>
      </c>
      <c r="I24" s="25"/>
      <c r="J24" s="25">
        <v>0</v>
      </c>
      <c r="K24" s="25">
        <f t="shared" si="3"/>
        <v>6981.585</v>
      </c>
      <c r="L24" s="27">
        <f>IF('[1]Calculo ISR '!$BN$34&lt;0,0,'[1]Calculo ISR '!$BN$34)</f>
        <v>863.77232400000003</v>
      </c>
      <c r="M24" s="28">
        <f>E24*J6</f>
        <v>625.51125000000002</v>
      </c>
      <c r="N24" s="28">
        <f>'[1]HT-DOCENTE'!P23</f>
        <v>0</v>
      </c>
      <c r="O24" s="28">
        <f>E24*P6</f>
        <v>59.572499999999998</v>
      </c>
      <c r="P24" s="28">
        <f>'[1]HT-DOCENTE'!R23</f>
        <v>0</v>
      </c>
      <c r="Q24" s="28"/>
      <c r="R24" s="25">
        <f t="shared" si="0"/>
        <v>1548.856074</v>
      </c>
      <c r="S24" s="28">
        <f>IF('[1]Calculo ISR '!$BN$34&gt;0,0,('[1]Calculo ISR '!$BN$34)*-1)</f>
        <v>0</v>
      </c>
      <c r="T24" s="25">
        <f t="shared" si="4"/>
        <v>5056.7689259999997</v>
      </c>
      <c r="U24" s="25">
        <f t="shared" si="1"/>
        <v>375.96000000000004</v>
      </c>
      <c r="V24" s="161"/>
      <c r="W24" s="162"/>
    </row>
    <row r="25" spans="1:23" s="2" customFormat="1" ht="45" customHeight="1">
      <c r="A25" s="21" t="s">
        <v>58</v>
      </c>
      <c r="B25" s="31" t="s">
        <v>59</v>
      </c>
      <c r="C25" s="34">
        <v>11</v>
      </c>
      <c r="D25" s="24">
        <v>305.5</v>
      </c>
      <c r="E25" s="25">
        <f t="shared" si="2"/>
        <v>3360.5</v>
      </c>
      <c r="F25" s="25">
        <f>C25*D6</f>
        <v>212.08</v>
      </c>
      <c r="G25" s="25">
        <f>C25*E6</f>
        <v>120.44999999999999</v>
      </c>
      <c r="H25" s="25"/>
      <c r="I25" s="25"/>
      <c r="J25" s="25"/>
      <c r="K25" s="25">
        <f>SUM(E25:J25)</f>
        <v>3693.0299999999997</v>
      </c>
      <c r="L25" s="27">
        <f>IF('[1]Calculo ISR '!$BO$34&lt;0,0,'[1]Calculo ISR '!$BO$34)</f>
        <v>149.54427199999995</v>
      </c>
      <c r="M25" s="28">
        <f>E25*J6</f>
        <v>352.85249999999996</v>
      </c>
      <c r="N25" s="28">
        <v>707</v>
      </c>
      <c r="O25" s="28">
        <f>E25*P6</f>
        <v>33.605000000000004</v>
      </c>
      <c r="P25" s="28"/>
      <c r="Q25" s="28"/>
      <c r="R25" s="25">
        <f>L25+M25+N25+O25+Q25+P25</f>
        <v>1243.0017720000001</v>
      </c>
      <c r="S25" s="28">
        <f>IF('[1]Calculo ISR '!$BO$34&gt;0,0,('[1]Calculo ISR '!$BO$34)*-1)</f>
        <v>0</v>
      </c>
      <c r="T25" s="25">
        <f>K25-R25-U25+S25</f>
        <v>2237.9482279999997</v>
      </c>
      <c r="U25" s="25">
        <f t="shared" si="1"/>
        <v>212.08</v>
      </c>
      <c r="V25" s="161"/>
      <c r="W25" s="162"/>
    </row>
    <row r="26" spans="1:23" s="2" customFormat="1" ht="45" customHeight="1">
      <c r="A26" s="21" t="s">
        <v>60</v>
      </c>
      <c r="B26" s="31" t="s">
        <v>61</v>
      </c>
      <c r="C26" s="34">
        <v>19.5</v>
      </c>
      <c r="D26" s="24">
        <v>305.5</v>
      </c>
      <c r="E26" s="25">
        <f t="shared" si="2"/>
        <v>5957.25</v>
      </c>
      <c r="F26" s="25">
        <f>C26*D6</f>
        <v>375.96000000000004</v>
      </c>
      <c r="G26" s="25">
        <f>C26*E6</f>
        <v>213.52499999999998</v>
      </c>
      <c r="H26" s="25"/>
      <c r="I26" s="25"/>
      <c r="J26" s="25"/>
      <c r="K26" s="25">
        <f t="shared" si="3"/>
        <v>6546.7349999999997</v>
      </c>
      <c r="L26" s="27">
        <f>IF('[1]Calculo ISR '!$BP$34&lt;0,0,'[1]Calculo ISR '!$BP$34)</f>
        <v>770.88836400000002</v>
      </c>
      <c r="M26" s="28">
        <f>E26*J6</f>
        <v>625.51125000000002</v>
      </c>
      <c r="N26" s="28"/>
      <c r="O26" s="28"/>
      <c r="P26" s="28"/>
      <c r="Q26" s="28"/>
      <c r="R26" s="25">
        <f>L26+M26+N26+O26+P26+Q26</f>
        <v>1396.3996139999999</v>
      </c>
      <c r="S26" s="28">
        <f>IF('[1]Calculo ISR '!$BP$34&gt;0,0,('[1]Calculo ISR '!$BP$34)*-1)</f>
        <v>0</v>
      </c>
      <c r="T26" s="25">
        <f>K26-R26-U26+S26</f>
        <v>4774.3753859999997</v>
      </c>
      <c r="U26" s="25">
        <f t="shared" si="1"/>
        <v>375.96000000000004</v>
      </c>
      <c r="V26" s="161"/>
      <c r="W26" s="162"/>
    </row>
    <row r="27" spans="1:23" s="2" customFormat="1" ht="45" customHeight="1">
      <c r="A27" s="21" t="s">
        <v>62</v>
      </c>
      <c r="B27" s="31" t="s">
        <v>63</v>
      </c>
      <c r="C27" s="34">
        <v>17</v>
      </c>
      <c r="D27" s="24">
        <v>305.5</v>
      </c>
      <c r="E27" s="25">
        <f t="shared" si="2"/>
        <v>5193.5</v>
      </c>
      <c r="F27" s="25">
        <f>C27*D6</f>
        <v>327.76</v>
      </c>
      <c r="G27" s="25">
        <f>C27*E6</f>
        <v>186.14999999999998</v>
      </c>
      <c r="H27" s="25"/>
      <c r="I27" s="25"/>
      <c r="J27" s="25">
        <v>0</v>
      </c>
      <c r="K27" s="25">
        <f t="shared" si="3"/>
        <v>5707.41</v>
      </c>
      <c r="L27" s="27">
        <f>IF('[1]Calculo ISR '!$BQ$34&lt;0,0,'[1]Calculo ISR '!$BQ$34)</f>
        <v>601.90406400000006</v>
      </c>
      <c r="M27" s="28">
        <f>E27*J6</f>
        <v>545.3175</v>
      </c>
      <c r="N27" s="28"/>
      <c r="O27" s="28">
        <f>E27*P6</f>
        <v>51.935000000000002</v>
      </c>
      <c r="P27" s="28"/>
      <c r="Q27" s="28"/>
      <c r="R27" s="25">
        <f>L27+M27+N27+O27+P27+Q27</f>
        <v>1199.1565639999999</v>
      </c>
      <c r="S27" s="28">
        <f>IF('[1]Calculo ISR '!$BQ$34&gt;0,0,('[1]Calculo ISR '!$BQ$34)*-1)</f>
        <v>0</v>
      </c>
      <c r="T27" s="25">
        <f>K27-R27+S27-U27</f>
        <v>4180.4934359999997</v>
      </c>
      <c r="U27" s="25">
        <f t="shared" si="1"/>
        <v>327.76</v>
      </c>
      <c r="V27" s="161"/>
      <c r="W27" s="162"/>
    </row>
    <row r="28" spans="1:23" s="35" customFormat="1" ht="45" customHeight="1">
      <c r="A28" s="21" t="s">
        <v>64</v>
      </c>
      <c r="B28" s="31" t="s">
        <v>65</v>
      </c>
      <c r="C28" s="34">
        <v>9</v>
      </c>
      <c r="D28" s="24">
        <v>305.5</v>
      </c>
      <c r="E28" s="25">
        <f t="shared" si="2"/>
        <v>2749.5</v>
      </c>
      <c r="F28" s="25">
        <f>C28*D6</f>
        <v>173.52</v>
      </c>
      <c r="G28" s="25">
        <f>C28*E6</f>
        <v>98.55</v>
      </c>
      <c r="H28" s="25"/>
      <c r="I28" s="25"/>
      <c r="J28" s="25">
        <v>0</v>
      </c>
      <c r="K28" s="25">
        <f>SUM(E28:J28)</f>
        <v>3021.57</v>
      </c>
      <c r="L28" s="27">
        <f>IF('[1]Calculo ISR '!$BR$34&lt;0,0,'[1]Calculo ISR '!$BR$34)</f>
        <v>60.434752000000003</v>
      </c>
      <c r="M28" s="28">
        <f>E28*J6</f>
        <v>288.69749999999999</v>
      </c>
      <c r="N28" s="28"/>
      <c r="O28" s="28"/>
      <c r="P28" s="28"/>
      <c r="Q28" s="28"/>
      <c r="R28" s="25">
        <f t="shared" ref="R28:R31" si="5">L28+M28+N28+O28+P28+Q28</f>
        <v>349.13225199999999</v>
      </c>
      <c r="S28" s="28">
        <f>IF('[1]Calculo ISR '!$BR$34&gt;0,0,('[1]Calculo ISR '!$BR$34)*-1)</f>
        <v>0</v>
      </c>
      <c r="T28" s="25">
        <f t="shared" ref="T28:T32" si="6">K28-R28+S28-U28</f>
        <v>2498.9177480000003</v>
      </c>
      <c r="U28" s="25">
        <f t="shared" si="1"/>
        <v>173.52</v>
      </c>
      <c r="V28" s="161"/>
      <c r="W28" s="162"/>
    </row>
    <row r="29" spans="1:23" s="35" customFormat="1" ht="45" customHeight="1">
      <c r="A29" s="21" t="s">
        <v>66</v>
      </c>
      <c r="B29" s="36" t="s">
        <v>67</v>
      </c>
      <c r="C29" s="34">
        <v>8</v>
      </c>
      <c r="D29" s="24">
        <v>305.5</v>
      </c>
      <c r="E29" s="25">
        <f t="shared" si="2"/>
        <v>2444</v>
      </c>
      <c r="F29" s="25">
        <f>C29*D6</f>
        <v>154.24</v>
      </c>
      <c r="G29" s="25">
        <f>C29*E6</f>
        <v>87.6</v>
      </c>
      <c r="H29" s="25"/>
      <c r="I29" s="25"/>
      <c r="J29" s="25">
        <v>0</v>
      </c>
      <c r="K29" s="25">
        <f t="shared" si="3"/>
        <v>2685.8399999999997</v>
      </c>
      <c r="L29" s="27">
        <f>IF('[1]Calculo ISR '!$BS$34&lt;0,0,'[1]Calculo ISR '!$BS$34)</f>
        <v>11.00499199999993</v>
      </c>
      <c r="M29" s="28">
        <f>E29*J6</f>
        <v>256.62</v>
      </c>
      <c r="N29" s="28"/>
      <c r="O29" s="28"/>
      <c r="P29" s="28"/>
      <c r="Q29" s="28"/>
      <c r="R29" s="25">
        <f t="shared" si="5"/>
        <v>267.62499199999991</v>
      </c>
      <c r="S29" s="28">
        <f>IF('[1]Calculo ISR '!$BS$34&gt;0,0,('[1]Calculo ISR '!$BS$34)*-1)</f>
        <v>0</v>
      </c>
      <c r="T29" s="25">
        <f t="shared" si="6"/>
        <v>2263.9750079999994</v>
      </c>
      <c r="U29" s="25">
        <f t="shared" si="1"/>
        <v>154.24</v>
      </c>
      <c r="V29" s="161"/>
      <c r="W29" s="162"/>
    </row>
    <row r="30" spans="1:23" s="35" customFormat="1" ht="45" customHeight="1">
      <c r="A30" s="21" t="s">
        <v>68</v>
      </c>
      <c r="B30" s="33" t="s">
        <v>69</v>
      </c>
      <c r="C30" s="34">
        <v>4.5</v>
      </c>
      <c r="D30" s="24">
        <v>305.5</v>
      </c>
      <c r="E30" s="25">
        <f t="shared" si="2"/>
        <v>1374.75</v>
      </c>
      <c r="F30" s="25">
        <f>C30*D6</f>
        <v>86.76</v>
      </c>
      <c r="G30" s="25">
        <f>C30*E6</f>
        <v>49.274999999999999</v>
      </c>
      <c r="H30" s="25"/>
      <c r="I30" s="25"/>
      <c r="J30" s="25">
        <v>0</v>
      </c>
      <c r="K30" s="25">
        <f t="shared" si="3"/>
        <v>1510.7850000000001</v>
      </c>
      <c r="L30" s="27">
        <f>IF('[1]Calculo ISR '!$BT$34&lt;0,0,'[1]Calculo ISR '!$BT$34)</f>
        <v>0</v>
      </c>
      <c r="M30" s="28">
        <f>E30*J6</f>
        <v>144.34875</v>
      </c>
      <c r="N30" s="28"/>
      <c r="O30" s="28"/>
      <c r="P30" s="28"/>
      <c r="Q30" s="28"/>
      <c r="R30" s="25">
        <f>L30+M30+N30+O30+P30+Q30</f>
        <v>144.34875</v>
      </c>
      <c r="S30" s="28">
        <f>IF('[1]Calculo ISR '!$BT$34&gt;0,0,('[1]Calculo ISR '!$BT$34)*-1)</f>
        <v>120.58023999999997</v>
      </c>
      <c r="T30" s="25">
        <f>K30-R30+S30-U30</f>
        <v>1400.2564900000002</v>
      </c>
      <c r="U30" s="25">
        <f t="shared" si="1"/>
        <v>86.76</v>
      </c>
      <c r="V30" s="161"/>
      <c r="W30" s="162"/>
    </row>
    <row r="31" spans="1:23" s="35" customFormat="1" ht="45" customHeight="1">
      <c r="A31" s="21" t="s">
        <v>70</v>
      </c>
      <c r="B31" s="33" t="s">
        <v>71</v>
      </c>
      <c r="C31" s="34">
        <v>6.5</v>
      </c>
      <c r="D31" s="24">
        <v>305.5</v>
      </c>
      <c r="E31" s="25">
        <f t="shared" si="2"/>
        <v>1985.75</v>
      </c>
      <c r="F31" s="25">
        <f>C31*D6</f>
        <v>125.32000000000001</v>
      </c>
      <c r="G31" s="25">
        <f>C31*E6</f>
        <v>71.174999999999997</v>
      </c>
      <c r="H31" s="25"/>
      <c r="I31" s="25"/>
      <c r="J31" s="25">
        <v>0</v>
      </c>
      <c r="K31" s="25">
        <f>SUM(E31:J31)</f>
        <v>2182.2450000000003</v>
      </c>
      <c r="L31" s="27">
        <f>IF('[1]Calculo ISR '!$BU$34&lt;0,0,'[1]Calculo ISR '!$BU$34)</f>
        <v>0</v>
      </c>
      <c r="M31" s="28">
        <f>E31*J6</f>
        <v>208.50375</v>
      </c>
      <c r="N31" s="28"/>
      <c r="O31" s="28"/>
      <c r="P31" s="28"/>
      <c r="Q31" s="28"/>
      <c r="R31" s="25">
        <f t="shared" si="5"/>
        <v>208.50375</v>
      </c>
      <c r="S31" s="28">
        <f>IF('[1]Calculo ISR '!$BU$34&gt;0,0,('[1]Calculo ISR '!$BU$34)*-1)</f>
        <v>68.07463999999996</v>
      </c>
      <c r="T31" s="25">
        <f t="shared" si="6"/>
        <v>1916.4958900000004</v>
      </c>
      <c r="U31" s="25">
        <f t="shared" si="1"/>
        <v>125.32000000000001</v>
      </c>
      <c r="V31" s="161"/>
      <c r="W31" s="162"/>
    </row>
    <row r="32" spans="1:23" s="35" customFormat="1" ht="45" customHeight="1">
      <c r="A32" s="21" t="s">
        <v>72</v>
      </c>
      <c r="B32" s="31" t="s">
        <v>73</v>
      </c>
      <c r="C32" s="34">
        <v>7</v>
      </c>
      <c r="D32" s="24">
        <v>305.5</v>
      </c>
      <c r="E32" s="25">
        <f t="shared" si="2"/>
        <v>2138.5</v>
      </c>
      <c r="F32" s="25">
        <f>C32*D6</f>
        <v>134.96</v>
      </c>
      <c r="G32" s="25">
        <f>C32*E6</f>
        <v>76.649999999999991</v>
      </c>
      <c r="H32" s="25"/>
      <c r="I32" s="25"/>
      <c r="J32" s="25"/>
      <c r="K32" s="25">
        <f t="shared" si="3"/>
        <v>2350.11</v>
      </c>
      <c r="L32" s="27">
        <f>IF('[1]Calculo ISR '!$BV$34&lt;0,0,'[1]Calculo ISR '!$BV$34)</f>
        <v>0</v>
      </c>
      <c r="M32" s="28">
        <f>E32*J6</f>
        <v>224.54249999999999</v>
      </c>
      <c r="N32" s="28"/>
      <c r="O32" s="28"/>
      <c r="P32" s="28"/>
      <c r="Q32" s="28"/>
      <c r="R32" s="25">
        <f>L32+M32+N32+O32+P32+Q32</f>
        <v>224.54249999999999</v>
      </c>
      <c r="S32" s="28">
        <f>IF('[1]Calculo ISR '!$BV$34&gt;0,0,('[1]Calculo ISR '!$BV$34)*-1)</f>
        <v>37.824768000000006</v>
      </c>
      <c r="T32" s="25">
        <f t="shared" si="6"/>
        <v>2028.432268</v>
      </c>
      <c r="U32" s="25">
        <f t="shared" si="1"/>
        <v>134.96</v>
      </c>
      <c r="V32" s="161"/>
      <c r="W32" s="162"/>
    </row>
    <row r="33" spans="1:27" s="2" customFormat="1" ht="30" customHeight="1" thickBot="1">
      <c r="A33" s="37"/>
      <c r="B33" s="38" t="s">
        <v>74</v>
      </c>
      <c r="C33" s="39">
        <f t="shared" ref="C33:U33" si="7">SUM(C10:C32)</f>
        <v>315</v>
      </c>
      <c r="D33" s="40">
        <f t="shared" si="7"/>
        <v>7026.5</v>
      </c>
      <c r="E33" s="40">
        <f t="shared" si="7"/>
        <v>96232.5</v>
      </c>
      <c r="F33" s="40">
        <f t="shared" si="7"/>
        <v>6073.2000000000007</v>
      </c>
      <c r="G33" s="40">
        <f t="shared" si="7"/>
        <v>3449.2500000000009</v>
      </c>
      <c r="H33" s="40">
        <f t="shared" si="7"/>
        <v>1605.6</v>
      </c>
      <c r="I33" s="40">
        <f t="shared" si="7"/>
        <v>534.625</v>
      </c>
      <c r="J33" s="40">
        <f t="shared" si="7"/>
        <v>0</v>
      </c>
      <c r="K33" s="40">
        <f t="shared" si="7"/>
        <v>107895.17500000002</v>
      </c>
      <c r="L33" s="40">
        <f t="shared" si="7"/>
        <v>10179.314488000002</v>
      </c>
      <c r="M33" s="40">
        <f t="shared" si="7"/>
        <v>10104.412499999997</v>
      </c>
      <c r="N33" s="40">
        <f t="shared" si="7"/>
        <v>10562.4</v>
      </c>
      <c r="O33" s="40">
        <f t="shared" si="7"/>
        <v>795.82749999999987</v>
      </c>
      <c r="P33" s="40">
        <f t="shared" si="7"/>
        <v>0</v>
      </c>
      <c r="Q33" s="40">
        <f t="shared" si="7"/>
        <v>916.5</v>
      </c>
      <c r="R33" s="40">
        <f t="shared" si="7"/>
        <v>32558.454488000003</v>
      </c>
      <c r="S33" s="40">
        <f t="shared" si="7"/>
        <v>499.26628799999986</v>
      </c>
      <c r="T33" s="40">
        <f t="shared" si="7"/>
        <v>69762.786800000002</v>
      </c>
      <c r="U33" s="40">
        <f t="shared" si="7"/>
        <v>6073.2000000000007</v>
      </c>
      <c r="V33" s="41"/>
      <c r="W33" s="3"/>
      <c r="Y33" s="42"/>
    </row>
    <row r="34" spans="1:27" s="65" customFormat="1" ht="18.75" hidden="1" customHeight="1">
      <c r="A34" s="59"/>
      <c r="B34" s="60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3"/>
      <c r="W34" s="64"/>
      <c r="X34" s="64"/>
    </row>
    <row r="35" spans="1:27" s="65" customFormat="1" ht="18.75" hidden="1" customHeight="1">
      <c r="A35" s="59"/>
      <c r="B35" s="60"/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3"/>
      <c r="W35" s="64"/>
      <c r="X35" s="64"/>
    </row>
    <row r="36" spans="1:27" s="2" customFormat="1" ht="36.75" customHeight="1">
      <c r="A36" s="1"/>
      <c r="B36" s="47" t="s">
        <v>75</v>
      </c>
      <c r="C36" s="1"/>
      <c r="D36" s="1"/>
      <c r="F36" s="2" t="s">
        <v>76</v>
      </c>
      <c r="G36" s="160"/>
      <c r="H36" s="160"/>
      <c r="I36" s="160"/>
      <c r="J36" s="160"/>
      <c r="K36" s="160"/>
      <c r="L36" s="49"/>
      <c r="M36" s="50"/>
      <c r="N36" s="1"/>
      <c r="O36" s="1"/>
      <c r="P36" s="1"/>
      <c r="Q36" s="1"/>
      <c r="R36" s="1" t="s">
        <v>84</v>
      </c>
      <c r="S36" s="1"/>
      <c r="T36" s="1"/>
      <c r="U36" s="1"/>
      <c r="V36" s="1"/>
      <c r="X36" s="42"/>
      <c r="AA36" s="1"/>
    </row>
    <row r="37" spans="1:27" s="2" customFormat="1" hidden="1">
      <c r="A37" s="1"/>
      <c r="B37" s="1"/>
      <c r="C37" s="1"/>
      <c r="D37" s="1"/>
      <c r="G37" s="1"/>
      <c r="H37" s="1"/>
      <c r="I37" s="1"/>
      <c r="J37" s="1"/>
      <c r="K37" s="51"/>
      <c r="L37" s="51"/>
      <c r="M37" s="51"/>
      <c r="N37" s="1"/>
      <c r="O37" s="1"/>
      <c r="P37" s="1"/>
      <c r="Q37" s="1"/>
      <c r="R37" s="1"/>
      <c r="S37" s="1"/>
      <c r="T37" s="1"/>
      <c r="U37" s="1"/>
      <c r="V37" s="1"/>
      <c r="X37" s="42"/>
      <c r="AA37" s="1"/>
    </row>
    <row r="38" spans="1:27" s="2" customFormat="1" hidden="1">
      <c r="A38" s="1"/>
      <c r="B38" s="1"/>
      <c r="C38" s="1"/>
      <c r="D38" s="1"/>
      <c r="G38" s="1"/>
      <c r="H38" s="1"/>
      <c r="I38" s="1"/>
      <c r="J38" s="1"/>
      <c r="K38" s="51"/>
      <c r="L38" s="51"/>
      <c r="M38" s="51"/>
      <c r="N38" s="1"/>
      <c r="O38" s="1"/>
      <c r="P38" s="1"/>
      <c r="Q38" s="1"/>
      <c r="R38" s="1"/>
      <c r="S38" s="1"/>
      <c r="T38" s="1"/>
      <c r="U38" s="1"/>
      <c r="V38" s="1"/>
      <c r="X38" s="42"/>
      <c r="AA38" s="1"/>
    </row>
    <row r="39" spans="1:27" s="2" customFormat="1" hidden="1">
      <c r="A39" s="1"/>
      <c r="B39" s="1"/>
      <c r="C39" s="1"/>
      <c r="D39" s="1"/>
      <c r="G39" s="1"/>
      <c r="H39" s="1"/>
      <c r="I39" s="1"/>
      <c r="J39" s="1"/>
      <c r="K39" s="52"/>
      <c r="L39" s="52"/>
      <c r="M39" s="52"/>
      <c r="N39" s="1"/>
      <c r="O39" s="3"/>
      <c r="P39" s="1"/>
      <c r="Q39" s="1"/>
      <c r="R39" s="1"/>
      <c r="S39" s="1"/>
      <c r="T39" s="1"/>
      <c r="U39" s="1"/>
      <c r="V39" s="1"/>
      <c r="AA39" s="1"/>
    </row>
    <row r="40" spans="1:27" s="2" customFormat="1">
      <c r="A40" s="1"/>
      <c r="B40" s="47" t="s">
        <v>78</v>
      </c>
      <c r="C40" s="1"/>
      <c r="D40" s="1"/>
      <c r="E40" s="53" t="s">
        <v>79</v>
      </c>
      <c r="H40" s="53"/>
      <c r="I40" s="53"/>
      <c r="J40" s="53"/>
      <c r="K40" s="53" t="s">
        <v>80</v>
      </c>
      <c r="L40" s="52"/>
      <c r="M40" s="49"/>
      <c r="N40" s="1"/>
      <c r="O40" s="1"/>
      <c r="P40" s="1"/>
      <c r="Q40" s="1"/>
      <c r="S40" s="53"/>
      <c r="T40" s="53"/>
      <c r="U40" s="53"/>
      <c r="V40" s="1"/>
      <c r="AA40" s="1"/>
    </row>
    <row r="41" spans="1:27" ht="12.75" customHeight="1">
      <c r="B41" s="54" t="s">
        <v>81</v>
      </c>
      <c r="E41" s="53" t="s">
        <v>82</v>
      </c>
      <c r="H41" s="53"/>
      <c r="I41" s="53"/>
      <c r="J41" s="53"/>
      <c r="K41" s="53" t="s">
        <v>83</v>
      </c>
      <c r="L41" s="53"/>
      <c r="M41" s="53"/>
      <c r="U41" s="55"/>
      <c r="W41" s="3"/>
    </row>
    <row r="42" spans="1:27">
      <c r="W42" s="3"/>
    </row>
    <row r="43" spans="1:27">
      <c r="N43" s="3"/>
      <c r="W43" s="3"/>
    </row>
    <row r="44" spans="1:27">
      <c r="W44" s="3"/>
    </row>
    <row r="45" spans="1:27">
      <c r="W45" s="3"/>
    </row>
    <row r="46" spans="1:27">
      <c r="K46" s="6"/>
      <c r="W46" s="3"/>
    </row>
    <row r="47" spans="1:27">
      <c r="W47" s="3"/>
    </row>
    <row r="48" spans="1:27">
      <c r="W48" s="3"/>
    </row>
    <row r="49" spans="1:22" s="56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s="56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57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s="57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57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s="57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s="57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57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s="57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s="57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s="57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s="57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2" spans="1:22">
      <c r="O62" s="3"/>
    </row>
  </sheetData>
  <mergeCells count="31">
    <mergeCell ref="V14:W14"/>
    <mergeCell ref="A8:A9"/>
    <mergeCell ref="B8:B9"/>
    <mergeCell ref="C8:E8"/>
    <mergeCell ref="F8:K8"/>
    <mergeCell ref="L8:R8"/>
    <mergeCell ref="S8:U8"/>
    <mergeCell ref="V9:W9"/>
    <mergeCell ref="V10:W10"/>
    <mergeCell ref="V11:W11"/>
    <mergeCell ref="V12:W12"/>
    <mergeCell ref="V13:W13"/>
    <mergeCell ref="V26:W26"/>
    <mergeCell ref="V15:W15"/>
    <mergeCell ref="V16:W16"/>
    <mergeCell ref="V17:W17"/>
    <mergeCell ref="V18:W18"/>
    <mergeCell ref="V19:W19"/>
    <mergeCell ref="V20:W20"/>
    <mergeCell ref="V21:W21"/>
    <mergeCell ref="V22:W22"/>
    <mergeCell ref="V23:W23"/>
    <mergeCell ref="V24:W24"/>
    <mergeCell ref="V25:W25"/>
    <mergeCell ref="G36:K36"/>
    <mergeCell ref="V27:W27"/>
    <mergeCell ref="V28:W28"/>
    <mergeCell ref="V29:W29"/>
    <mergeCell ref="V30:W30"/>
    <mergeCell ref="V31:W31"/>
    <mergeCell ref="V32:W32"/>
  </mergeCells>
  <pageMargins left="1.7716535433070868" right="0.31496062992125984" top="0.47" bottom="0.51181102362204722" header="0.31496062992125984" footer="0.31496062992125984"/>
  <pageSetup paperSize="5" scale="5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F68"/>
  <sheetViews>
    <sheetView topLeftCell="A3" zoomScale="80" zoomScaleNormal="80" zoomScaleSheetLayoutView="100" workbookViewId="0">
      <pane xSplit="2" ySplit="7" topLeftCell="C37" activePane="bottomRight" state="frozen"/>
      <selection activeCell="A3" sqref="A3"/>
      <selection pane="topRight" activeCell="C3" sqref="C3"/>
      <selection pane="bottomLeft" activeCell="A10" sqref="A10"/>
      <selection pane="bottomRight" activeCell="AC51" sqref="AC51"/>
    </sheetView>
  </sheetViews>
  <sheetFormatPr baseColWidth="10" defaultRowHeight="12.75"/>
  <cols>
    <col min="1" max="1" width="12.7109375" style="69" customWidth="1"/>
    <col min="2" max="2" width="31.5703125" style="1" customWidth="1"/>
    <col min="3" max="4" width="7.140625" style="1" customWidth="1"/>
    <col min="5" max="5" width="10.42578125" style="1" customWidth="1"/>
    <col min="6" max="6" width="11" style="1" customWidth="1"/>
    <col min="7" max="7" width="13.28515625" style="1" customWidth="1"/>
    <col min="8" max="8" width="10.85546875" style="1" customWidth="1"/>
    <col min="9" max="9" width="13" style="1" customWidth="1"/>
    <col min="10" max="10" width="10.5703125" style="1" customWidth="1"/>
    <col min="11" max="11" width="9.85546875" style="1" customWidth="1"/>
    <col min="12" max="12" width="10.140625" style="1" customWidth="1"/>
    <col min="13" max="13" width="12.28515625" style="1" customWidth="1"/>
    <col min="14" max="14" width="8.42578125" style="1" customWidth="1"/>
    <col min="15" max="15" width="5.42578125" style="1" hidden="1" customWidth="1"/>
    <col min="16" max="16" width="12.42578125" style="1" customWidth="1"/>
    <col min="17" max="17" width="11" style="1" hidden="1" customWidth="1"/>
    <col min="18" max="18" width="10.85546875" style="1" hidden="1" customWidth="1"/>
    <col min="19" max="19" width="11.140625" style="1" hidden="1" customWidth="1"/>
    <col min="20" max="20" width="8.5703125" style="1" hidden="1" customWidth="1"/>
    <col min="21" max="21" width="5" style="1" hidden="1" customWidth="1"/>
    <col min="22" max="22" width="9.85546875" style="1" hidden="1" customWidth="1"/>
    <col min="23" max="23" width="11.140625" style="1" customWidth="1"/>
    <col min="24" max="24" width="8.28515625" style="1" customWidth="1"/>
    <col min="25" max="25" width="12.42578125" style="1" customWidth="1"/>
    <col min="26" max="26" width="10.5703125" style="1" hidden="1" customWidth="1"/>
    <col min="27" max="27" width="31" style="1" hidden="1" customWidth="1"/>
    <col min="28" max="28" width="12.28515625" style="1" hidden="1" customWidth="1"/>
    <col min="29" max="16384" width="11.42578125" style="1"/>
  </cols>
  <sheetData>
    <row r="2" spans="1:28">
      <c r="B2" s="2" t="s">
        <v>0</v>
      </c>
    </row>
    <row r="3" spans="1:28">
      <c r="B3" s="2"/>
    </row>
    <row r="4" spans="1:28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8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2"/>
      <c r="Q5" s="2"/>
      <c r="R5" s="2"/>
      <c r="S5" s="2"/>
      <c r="T5" s="2"/>
      <c r="U5" s="2"/>
      <c r="V5" s="2"/>
      <c r="W5" s="2"/>
      <c r="X5" s="2"/>
    </row>
    <row r="6" spans="1:28">
      <c r="B6" s="2"/>
      <c r="C6" s="2"/>
      <c r="D6" s="2"/>
      <c r="E6" s="4">
        <v>19.28</v>
      </c>
      <c r="F6" s="4"/>
      <c r="G6" s="4"/>
      <c r="H6" s="4"/>
      <c r="I6" s="4">
        <v>10.95</v>
      </c>
      <c r="J6" s="4"/>
      <c r="K6" s="65"/>
      <c r="L6" s="65"/>
      <c r="M6" s="65"/>
      <c r="N6" s="65"/>
      <c r="O6" s="58">
        <v>0.105</v>
      </c>
      <c r="P6" s="65"/>
      <c r="Q6" s="65"/>
      <c r="R6" s="65"/>
      <c r="S6" s="65"/>
      <c r="T6" s="65"/>
      <c r="U6" s="5">
        <v>0.01</v>
      </c>
      <c r="V6" s="65"/>
      <c r="W6" s="65"/>
      <c r="X6" s="65"/>
    </row>
    <row r="7" spans="1:28" ht="13.5" thickBot="1">
      <c r="A7" s="85" t="s">
        <v>0</v>
      </c>
      <c r="C7" s="2"/>
      <c r="D7" s="2"/>
      <c r="E7" s="4">
        <v>22.3</v>
      </c>
      <c r="F7" s="4"/>
      <c r="G7" s="4"/>
      <c r="H7" s="4"/>
      <c r="I7" s="7">
        <v>0.02</v>
      </c>
      <c r="J7" s="8">
        <v>0.04</v>
      </c>
      <c r="K7" s="6" t="s">
        <v>145</v>
      </c>
      <c r="L7" s="2"/>
      <c r="M7" s="2"/>
      <c r="N7" s="2"/>
      <c r="O7" s="2"/>
      <c r="Q7" s="2"/>
      <c r="R7" s="2"/>
      <c r="S7" s="2"/>
      <c r="T7" s="2"/>
      <c r="U7" s="2"/>
      <c r="V7" s="2"/>
      <c r="W7" s="2"/>
      <c r="X7" s="2"/>
    </row>
    <row r="8" spans="1:28" ht="15.75" customHeight="1" thickBot="1">
      <c r="A8" s="164" t="s">
        <v>2</v>
      </c>
      <c r="B8" s="166" t="s">
        <v>3</v>
      </c>
      <c r="C8" s="168" t="s">
        <v>4</v>
      </c>
      <c r="D8" s="169"/>
      <c r="E8" s="169"/>
      <c r="F8" s="169"/>
      <c r="G8" s="169"/>
      <c r="H8" s="169"/>
      <c r="I8" s="170"/>
      <c r="J8" s="171" t="s">
        <v>5</v>
      </c>
      <c r="K8" s="172"/>
      <c r="L8" s="172"/>
      <c r="M8" s="173"/>
      <c r="N8" s="173"/>
      <c r="O8" s="173"/>
      <c r="P8" s="174"/>
      <c r="Q8" s="175" t="s">
        <v>6</v>
      </c>
      <c r="R8" s="176"/>
      <c r="S8" s="176"/>
      <c r="T8" s="176"/>
      <c r="U8" s="176"/>
      <c r="V8" s="176"/>
      <c r="W8" s="176"/>
      <c r="X8" s="177" t="s">
        <v>7</v>
      </c>
      <c r="Y8" s="177"/>
      <c r="Z8" s="177"/>
    </row>
    <row r="9" spans="1:28" s="20" customFormat="1" ht="72">
      <c r="A9" s="165"/>
      <c r="B9" s="167"/>
      <c r="C9" s="9" t="s">
        <v>87</v>
      </c>
      <c r="D9" s="9" t="s">
        <v>88</v>
      </c>
      <c r="E9" s="9" t="s">
        <v>89</v>
      </c>
      <c r="F9" s="9" t="s">
        <v>90</v>
      </c>
      <c r="G9" s="9" t="s">
        <v>91</v>
      </c>
      <c r="H9" s="9" t="s">
        <v>92</v>
      </c>
      <c r="I9" s="67" t="s">
        <v>10</v>
      </c>
      <c r="J9" s="11" t="s">
        <v>11</v>
      </c>
      <c r="K9" s="11" t="s">
        <v>12</v>
      </c>
      <c r="L9" s="12" t="s">
        <v>13</v>
      </c>
      <c r="M9" s="14" t="s">
        <v>146</v>
      </c>
      <c r="N9" s="13" t="s">
        <v>14</v>
      </c>
      <c r="O9" s="134" t="s">
        <v>15</v>
      </c>
      <c r="P9" s="14" t="s">
        <v>16</v>
      </c>
      <c r="Q9" s="15" t="s">
        <v>17</v>
      </c>
      <c r="R9" s="16" t="s">
        <v>18</v>
      </c>
      <c r="S9" s="16" t="s">
        <v>19</v>
      </c>
      <c r="T9" s="16" t="s">
        <v>20</v>
      </c>
      <c r="U9" s="16" t="s">
        <v>21</v>
      </c>
      <c r="V9" s="16" t="s">
        <v>22</v>
      </c>
      <c r="W9" s="16" t="s">
        <v>23</v>
      </c>
      <c r="X9" s="17" t="s">
        <v>24</v>
      </c>
      <c r="Y9" s="18" t="s">
        <v>25</v>
      </c>
      <c r="Z9" s="19" t="s">
        <v>26</v>
      </c>
      <c r="AA9" s="178" t="s">
        <v>27</v>
      </c>
      <c r="AB9" s="178"/>
    </row>
    <row r="10" spans="1:28" s="69" customFormat="1" ht="45" customHeight="1">
      <c r="A10" s="21" t="s">
        <v>28</v>
      </c>
      <c r="B10" s="68" t="s">
        <v>29</v>
      </c>
      <c r="C10" s="32">
        <v>7.5</v>
      </c>
      <c r="D10" s="23">
        <v>0</v>
      </c>
      <c r="E10" s="24">
        <v>305.5</v>
      </c>
      <c r="F10" s="24">
        <v>348.3</v>
      </c>
      <c r="G10" s="24">
        <f>C10*E10</f>
        <v>2291.25</v>
      </c>
      <c r="H10" s="24">
        <f>D10*F10</f>
        <v>0</v>
      </c>
      <c r="I10" s="25">
        <f t="shared" ref="I10:I38" si="0">G10+H10</f>
        <v>2291.25</v>
      </c>
      <c r="J10" s="25">
        <f>(C10+D10)*19.28</f>
        <v>144.60000000000002</v>
      </c>
      <c r="K10" s="25">
        <f>(C10+D10)*I6</f>
        <v>82.125</v>
      </c>
      <c r="L10" s="25"/>
      <c r="M10" s="25">
        <v>1577.95</v>
      </c>
      <c r="N10" s="25">
        <f>I10*J7</f>
        <v>91.65</v>
      </c>
      <c r="O10" s="26">
        <v>0</v>
      </c>
      <c r="P10" s="25">
        <f>SUM(I10:O10)</f>
        <v>4187.5749999999998</v>
      </c>
      <c r="Q10" s="27">
        <f>IF('[10]Calculo ISR '!$AZ$34&lt;0,0,'[10]Calculo ISR '!$AZ$34)</f>
        <v>355.96439999999996</v>
      </c>
      <c r="R10" s="28">
        <f>I10*O6</f>
        <v>240.58124999999998</v>
      </c>
      <c r="S10" s="29">
        <v>0</v>
      </c>
      <c r="T10" s="28">
        <f>I10*U6</f>
        <v>22.912500000000001</v>
      </c>
      <c r="U10" s="28"/>
      <c r="V10" s="30">
        <f>[10]descuentos!D6</f>
        <v>0</v>
      </c>
      <c r="W10" s="25">
        <f t="shared" ref="W10:W23" si="1">Q10+R10+S10+T10+V10+U10</f>
        <v>619.45814999999993</v>
      </c>
      <c r="X10" s="28">
        <f>IF('[10]Calculo ISR '!$AZ$34&gt;0,0,('[10]Calculo ISR '!$AZ$34)*-1)</f>
        <v>0</v>
      </c>
      <c r="Y10" s="25">
        <f>P10-W10-Z10+X10</f>
        <v>3423.51685</v>
      </c>
      <c r="Z10" s="25">
        <f t="shared" ref="Z10:Z38" si="2">J10</f>
        <v>144.60000000000002</v>
      </c>
      <c r="AA10" s="183"/>
      <c r="AB10" s="163"/>
    </row>
    <row r="11" spans="1:28" s="35" customFormat="1" ht="45" customHeight="1">
      <c r="A11" s="21" t="s">
        <v>30</v>
      </c>
      <c r="B11" s="33" t="s">
        <v>31</v>
      </c>
      <c r="C11" s="32">
        <v>12</v>
      </c>
      <c r="D11" s="32">
        <v>7.5</v>
      </c>
      <c r="E11" s="24">
        <v>305.5</v>
      </c>
      <c r="F11" s="24">
        <v>348.3</v>
      </c>
      <c r="G11" s="24">
        <f t="shared" ref="G11:H38" si="3">C11*E11</f>
        <v>3666</v>
      </c>
      <c r="H11" s="24">
        <f t="shared" si="3"/>
        <v>2612.25</v>
      </c>
      <c r="I11" s="25">
        <f t="shared" si="0"/>
        <v>6278.25</v>
      </c>
      <c r="J11" s="25">
        <f t="shared" ref="J11:J38" si="4">(C11+D11)*19.28</f>
        <v>375.96000000000004</v>
      </c>
      <c r="K11" s="25">
        <f>(C11+D11)*I6</f>
        <v>213.52499999999998</v>
      </c>
      <c r="L11" s="25"/>
      <c r="M11" s="25">
        <v>5856.1424999999999</v>
      </c>
      <c r="N11" s="25">
        <f>I11*J7</f>
        <v>251.13</v>
      </c>
      <c r="O11" s="25">
        <f>'[10]HT-DOCENTE'!J10</f>
        <v>0</v>
      </c>
      <c r="P11" s="25">
        <f t="shared" ref="P11:P38" si="5">SUM(I11:O11)</f>
        <v>12975.007499999998</v>
      </c>
      <c r="Q11" s="27">
        <f>IF('[10]Calculo ISR '!$BA$34&lt;0,0,'[10]Calculo ISR '!$BA$34)</f>
        <v>2194.6081799999993</v>
      </c>
      <c r="R11" s="28">
        <f>I11*O6</f>
        <v>659.21624999999995</v>
      </c>
      <c r="S11" s="28">
        <v>1986</v>
      </c>
      <c r="T11" s="28">
        <f>I11*U6</f>
        <v>62.782499999999999</v>
      </c>
      <c r="U11" s="28">
        <f>'[10]HT-DOCENTE'!R10</f>
        <v>0</v>
      </c>
      <c r="V11" s="28"/>
      <c r="W11" s="25">
        <f t="shared" si="1"/>
        <v>4902.606929999999</v>
      </c>
      <c r="X11" s="28">
        <f>IF('[10]Calculo ISR '!$BA$34&gt;0,0,('[10]Calculo ISR '!$BA$34)*-1)</f>
        <v>0</v>
      </c>
      <c r="Y11" s="25">
        <f>P11-W11-Z11+X11</f>
        <v>7696.4405699999988</v>
      </c>
      <c r="Z11" s="25">
        <f t="shared" si="2"/>
        <v>375.96000000000004</v>
      </c>
      <c r="AA11" s="161"/>
      <c r="AB11" s="162"/>
    </row>
    <row r="12" spans="1:28" s="35" customFormat="1" ht="45" customHeight="1">
      <c r="A12" s="21" t="s">
        <v>32</v>
      </c>
      <c r="B12" s="33" t="s">
        <v>99</v>
      </c>
      <c r="C12" s="32">
        <v>10</v>
      </c>
      <c r="D12" s="32">
        <v>0</v>
      </c>
      <c r="E12" s="24">
        <v>305.5</v>
      </c>
      <c r="F12" s="24">
        <v>348.3</v>
      </c>
      <c r="G12" s="24">
        <f t="shared" si="3"/>
        <v>3055</v>
      </c>
      <c r="H12" s="24">
        <f t="shared" si="3"/>
        <v>0</v>
      </c>
      <c r="I12" s="25">
        <f t="shared" si="0"/>
        <v>3055</v>
      </c>
      <c r="J12" s="25">
        <f t="shared" si="4"/>
        <v>192.8</v>
      </c>
      <c r="K12" s="25">
        <f>(C12+D12)*I6</f>
        <v>109.5</v>
      </c>
      <c r="L12" s="25"/>
      <c r="M12" s="25">
        <v>3366.8775000000001</v>
      </c>
      <c r="N12" s="25">
        <f>I12*J7</f>
        <v>122.2</v>
      </c>
      <c r="O12" s="25">
        <v>0</v>
      </c>
      <c r="P12" s="25">
        <f t="shared" si="5"/>
        <v>6846.3774999999996</v>
      </c>
      <c r="Q12" s="27">
        <f>IF('[10]Calculo ISR '!$BB$34&lt;0,0,'[10]Calculo ISR '!$BB$34)</f>
        <v>874.01497799999993</v>
      </c>
      <c r="R12" s="28">
        <f>I12*O6</f>
        <v>320.77499999999998</v>
      </c>
      <c r="S12" s="28">
        <v>873</v>
      </c>
      <c r="T12" s="28">
        <f>I12*U6</f>
        <v>30.55</v>
      </c>
      <c r="U12" s="28">
        <f>'[10]HT-DOCENTE'!R11</f>
        <v>0</v>
      </c>
      <c r="V12" s="28"/>
      <c r="W12" s="25">
        <f t="shared" si="1"/>
        <v>2098.339978</v>
      </c>
      <c r="X12" s="28">
        <f>IF('[10]Calculo ISR '!$BB$34&gt;0,0,('[10]Calculo ISR '!$BB$34)*-1)</f>
        <v>0</v>
      </c>
      <c r="Y12" s="25">
        <f>P12-W12-Z12+X12</f>
        <v>4555.2375219999994</v>
      </c>
      <c r="Z12" s="25">
        <f t="shared" si="2"/>
        <v>192.8</v>
      </c>
      <c r="AA12" s="161"/>
      <c r="AB12" s="162"/>
    </row>
    <row r="13" spans="1:28" s="35" customFormat="1" ht="45" customHeight="1">
      <c r="A13" s="21" t="s">
        <v>34</v>
      </c>
      <c r="B13" s="33" t="s">
        <v>35</v>
      </c>
      <c r="C13" s="32">
        <v>12</v>
      </c>
      <c r="D13" s="32">
        <v>7.5</v>
      </c>
      <c r="E13" s="24">
        <v>305.5</v>
      </c>
      <c r="F13" s="24">
        <v>348.3</v>
      </c>
      <c r="G13" s="24">
        <f t="shared" si="3"/>
        <v>3666</v>
      </c>
      <c r="H13" s="24">
        <f>D13*F13</f>
        <v>2612.25</v>
      </c>
      <c r="I13" s="25">
        <f t="shared" si="0"/>
        <v>6278.25</v>
      </c>
      <c r="J13" s="25">
        <f t="shared" si="4"/>
        <v>375.96000000000004</v>
      </c>
      <c r="K13" s="25">
        <f>(C13+D13)*I6</f>
        <v>213.52499999999998</v>
      </c>
      <c r="L13" s="25"/>
      <c r="M13" s="25">
        <v>5856.1424999999999</v>
      </c>
      <c r="N13" s="25">
        <f>I13*I7</f>
        <v>125.565</v>
      </c>
      <c r="O13" s="25">
        <f>'[10]HT-DOCENTE'!J12</f>
        <v>0</v>
      </c>
      <c r="P13" s="25">
        <f t="shared" si="5"/>
        <v>12849.442499999999</v>
      </c>
      <c r="Q13" s="27">
        <f>IF('[10]Calculo ISR '!$BC$34&lt;0,0,'[10]Calculo ISR '!$BC$34)</f>
        <v>2165.0752919999995</v>
      </c>
      <c r="R13" s="28">
        <f>I13*O6</f>
        <v>659.21624999999995</v>
      </c>
      <c r="S13" s="28">
        <f>'[10]HT-DOCENTE'!P12</f>
        <v>0</v>
      </c>
      <c r="T13" s="28">
        <f>I13*U6</f>
        <v>62.782499999999999</v>
      </c>
      <c r="U13" s="28">
        <f>'[10]HT-DOCENTE'!R12</f>
        <v>0</v>
      </c>
      <c r="V13" s="28"/>
      <c r="W13" s="25">
        <f t="shared" si="1"/>
        <v>2887.0740419999993</v>
      </c>
      <c r="X13" s="28">
        <f>IF('[10]Calculo ISR '!$BC$34&gt;0,0,('[10]Calculo ISR '!$BC$34)*-1)</f>
        <v>0</v>
      </c>
      <c r="Y13" s="25">
        <f t="shared" ref="Y13:Y23" si="6">P13-W13-Z13+X13</f>
        <v>9586.4084580000017</v>
      </c>
      <c r="Z13" s="25">
        <f t="shared" si="2"/>
        <v>375.96000000000004</v>
      </c>
      <c r="AA13" s="161"/>
      <c r="AB13" s="162"/>
    </row>
    <row r="14" spans="1:28" s="35" customFormat="1" ht="45" customHeight="1">
      <c r="A14" s="21" t="s">
        <v>36</v>
      </c>
      <c r="B14" s="33" t="s">
        <v>37</v>
      </c>
      <c r="C14" s="32">
        <v>5.5</v>
      </c>
      <c r="D14" s="32">
        <v>7.5</v>
      </c>
      <c r="E14" s="24">
        <v>305.5</v>
      </c>
      <c r="F14" s="24">
        <v>348.3</v>
      </c>
      <c r="G14" s="24">
        <f t="shared" si="3"/>
        <v>1680.25</v>
      </c>
      <c r="H14" s="24">
        <f t="shared" si="3"/>
        <v>2612.25</v>
      </c>
      <c r="I14" s="25">
        <f t="shared" si="0"/>
        <v>4292.5</v>
      </c>
      <c r="J14" s="25">
        <f t="shared" si="4"/>
        <v>250.64000000000001</v>
      </c>
      <c r="K14" s="25">
        <f>(C14+D14)*I6</f>
        <v>142.35</v>
      </c>
      <c r="L14" s="25">
        <f>(C14+D14)*E7</f>
        <v>289.90000000000003</v>
      </c>
      <c r="M14" s="25">
        <v>3527.4049999999997</v>
      </c>
      <c r="N14" s="25"/>
      <c r="O14" s="25">
        <f>'[10]HT-DOCENTE'!J13</f>
        <v>0</v>
      </c>
      <c r="P14" s="25">
        <f t="shared" si="5"/>
        <v>8502.7950000000001</v>
      </c>
      <c r="Q14" s="27">
        <f>IF('[10]Calculo ISR '!$BD$34&lt;0,0,'[10]Calculo ISR '!$BD$34)</f>
        <v>1215.4711320000001</v>
      </c>
      <c r="R14" s="28">
        <f>I14*O6</f>
        <v>450.71249999999998</v>
      </c>
      <c r="S14" s="28">
        <v>1431</v>
      </c>
      <c r="T14" s="28">
        <f>I14*U6</f>
        <v>42.925000000000004</v>
      </c>
      <c r="U14" s="28">
        <f>'[10]HT-DOCENTE'!R13</f>
        <v>0</v>
      </c>
      <c r="V14" s="28"/>
      <c r="W14" s="25">
        <f t="shared" si="1"/>
        <v>3140.1086320000004</v>
      </c>
      <c r="X14" s="28">
        <f>IF('[10]Calculo ISR '!$BD$34&gt;0,0,('[10]Calculo ISR '!$BD$34)*-1)</f>
        <v>0</v>
      </c>
      <c r="Y14" s="25">
        <f t="shared" si="6"/>
        <v>5112.0463679999993</v>
      </c>
      <c r="Z14" s="25">
        <f t="shared" si="2"/>
        <v>250.64000000000001</v>
      </c>
      <c r="AA14" s="161"/>
      <c r="AB14" s="162"/>
    </row>
    <row r="15" spans="1:28" s="35" customFormat="1" ht="45" customHeight="1">
      <c r="A15" s="21" t="s">
        <v>38</v>
      </c>
      <c r="B15" s="33" t="s">
        <v>39</v>
      </c>
      <c r="C15" s="32">
        <v>11</v>
      </c>
      <c r="D15" s="32">
        <v>7.5</v>
      </c>
      <c r="E15" s="24">
        <v>305.5</v>
      </c>
      <c r="F15" s="24">
        <v>348.3</v>
      </c>
      <c r="G15" s="24">
        <f t="shared" si="3"/>
        <v>3360.5</v>
      </c>
      <c r="H15" s="24">
        <f t="shared" si="3"/>
        <v>2612.25</v>
      </c>
      <c r="I15" s="25">
        <f t="shared" si="0"/>
        <v>5972.75</v>
      </c>
      <c r="J15" s="25">
        <f t="shared" si="4"/>
        <v>356.68</v>
      </c>
      <c r="K15" s="25">
        <f>(C15+D15)*I6</f>
        <v>202.57499999999999</v>
      </c>
      <c r="L15" s="25">
        <f>(C15+D15)*E7</f>
        <v>412.55</v>
      </c>
      <c r="M15" s="25">
        <v>5856.1424999999999</v>
      </c>
      <c r="N15" s="25"/>
      <c r="O15" s="25">
        <f>'[10]HT-DOCENTE'!J14</f>
        <v>0</v>
      </c>
      <c r="P15" s="25">
        <f t="shared" si="5"/>
        <v>12800.6975</v>
      </c>
      <c r="Q15" s="27">
        <f>IF('[10]Calculo ISR '!$BE$34&lt;0,0,'[10]Calculo ISR '!$BE$34)</f>
        <v>2158.1451240000001</v>
      </c>
      <c r="R15" s="28">
        <f>I15*O6</f>
        <v>627.13874999999996</v>
      </c>
      <c r="S15" s="28">
        <v>1655</v>
      </c>
      <c r="T15" s="28">
        <f>I15*U6</f>
        <v>59.727499999999999</v>
      </c>
      <c r="U15" s="28">
        <f>'[10]HT-DOCENTE'!R14</f>
        <v>0</v>
      </c>
      <c r="V15" s="28"/>
      <c r="W15" s="25">
        <f t="shared" si="1"/>
        <v>4500.0113740000006</v>
      </c>
      <c r="X15" s="28">
        <f>IF('[10]Calculo ISR '!$BE$34&gt;0,0,('[10]Calculo ISR '!$BE$34)*-1)</f>
        <v>0</v>
      </c>
      <c r="Y15" s="25">
        <f t="shared" si="6"/>
        <v>7944.0061260000002</v>
      </c>
      <c r="Z15" s="25">
        <f t="shared" si="2"/>
        <v>356.68</v>
      </c>
      <c r="AA15" s="161"/>
      <c r="AB15" s="162"/>
    </row>
    <row r="16" spans="1:28" s="35" customFormat="1" ht="45" customHeight="1">
      <c r="A16" s="21" t="s">
        <v>40</v>
      </c>
      <c r="B16" s="33" t="s">
        <v>41</v>
      </c>
      <c r="C16" s="32">
        <f>'[10]HT-DOCENTE'!C15</f>
        <v>19.5</v>
      </c>
      <c r="D16" s="32">
        <v>0</v>
      </c>
      <c r="E16" s="24">
        <v>305.5</v>
      </c>
      <c r="F16" s="24">
        <v>348.3</v>
      </c>
      <c r="G16" s="24">
        <f t="shared" si="3"/>
        <v>5957.25</v>
      </c>
      <c r="H16" s="24">
        <f t="shared" si="3"/>
        <v>0</v>
      </c>
      <c r="I16" s="25">
        <f t="shared" si="0"/>
        <v>5957.25</v>
      </c>
      <c r="J16" s="25">
        <f t="shared" si="4"/>
        <v>375.96000000000004</v>
      </c>
      <c r="K16" s="25">
        <f>(C16+D16)*I6</f>
        <v>213.52499999999998</v>
      </c>
      <c r="L16" s="25">
        <f>(C16+D16)*E7</f>
        <v>434.85</v>
      </c>
      <c r="M16" s="25">
        <v>5856.1424999999999</v>
      </c>
      <c r="N16" s="25"/>
      <c r="O16" s="25">
        <f>'[10]HT-DOCENTE'!J15</f>
        <v>0</v>
      </c>
      <c r="P16" s="25">
        <f t="shared" si="5"/>
        <v>12837.727500000001</v>
      </c>
      <c r="Q16" s="27">
        <f>IF('[10]Calculo ISR '!$BF$34&lt;0,0,'[10]Calculo ISR '!$BF$34)</f>
        <v>2162.3199240000004</v>
      </c>
      <c r="R16" s="28">
        <f>I16*O6</f>
        <v>625.51125000000002</v>
      </c>
      <c r="S16" s="28">
        <f>'[10]HT-DOCENTE'!P15</f>
        <v>0</v>
      </c>
      <c r="T16" s="28">
        <f>I16*U6</f>
        <v>59.572499999999998</v>
      </c>
      <c r="U16" s="28">
        <v>0</v>
      </c>
      <c r="V16" s="28"/>
      <c r="W16" s="25">
        <f t="shared" si="1"/>
        <v>2847.4036740000006</v>
      </c>
      <c r="X16" s="28">
        <f>IF('[10]Calculo ISR '!$BF$34&gt;0,0,('[10]Calculo ISR '!$BF$34)*-1)</f>
        <v>0</v>
      </c>
      <c r="Y16" s="25">
        <f t="shared" si="6"/>
        <v>9614.3638260000007</v>
      </c>
      <c r="Z16" s="25">
        <f t="shared" si="2"/>
        <v>375.96000000000004</v>
      </c>
      <c r="AA16" s="161"/>
      <c r="AB16" s="162"/>
    </row>
    <row r="17" spans="1:29" s="35" customFormat="1" ht="45" customHeight="1">
      <c r="A17" s="21" t="s">
        <v>42</v>
      </c>
      <c r="B17" s="33" t="s">
        <v>43</v>
      </c>
      <c r="C17" s="32">
        <v>2</v>
      </c>
      <c r="D17" s="32">
        <v>0</v>
      </c>
      <c r="E17" s="24">
        <v>305.5</v>
      </c>
      <c r="F17" s="24">
        <v>348.3</v>
      </c>
      <c r="G17" s="24">
        <f t="shared" si="3"/>
        <v>611</v>
      </c>
      <c r="H17" s="24">
        <f t="shared" si="3"/>
        <v>0</v>
      </c>
      <c r="I17" s="25">
        <f t="shared" si="0"/>
        <v>611</v>
      </c>
      <c r="J17" s="25">
        <f t="shared" si="4"/>
        <v>38.56</v>
      </c>
      <c r="K17" s="25">
        <f>(C17+D17)*I6</f>
        <v>21.9</v>
      </c>
      <c r="L17" s="25">
        <f>(C17+D17)*E7*2</f>
        <v>89.2</v>
      </c>
      <c r="M17" s="25">
        <v>1849.7474999999999</v>
      </c>
      <c r="N17" s="25"/>
      <c r="O17" s="25">
        <f>'[10]HT-DOCENTE'!J16</f>
        <v>0</v>
      </c>
      <c r="P17" s="25">
        <f t="shared" si="5"/>
        <v>2610.4074999999998</v>
      </c>
      <c r="Q17" s="27">
        <f>IF('[10]Calculo ISR '!$BG$34&lt;0,0,'[10]Calculo ISR '!$BG$34)</f>
        <v>15.383919999999961</v>
      </c>
      <c r="R17" s="28">
        <f>I17*O6</f>
        <v>64.155000000000001</v>
      </c>
      <c r="S17" s="28">
        <v>0</v>
      </c>
      <c r="T17" s="28">
        <f>I17*U6</f>
        <v>6.11</v>
      </c>
      <c r="U17" s="28">
        <f>'[10]HT-DOCENTE'!R16</f>
        <v>0</v>
      </c>
      <c r="V17" s="28"/>
      <c r="W17" s="25">
        <f t="shared" si="1"/>
        <v>85.648919999999961</v>
      </c>
      <c r="X17" s="28">
        <f>IF('[10]Calculo ISR '!$BG$34&gt;0,0,('[10]Calculo ISR '!$BG$34)*-1)</f>
        <v>0</v>
      </c>
      <c r="Y17" s="25">
        <f t="shared" si="6"/>
        <v>2486.1985799999998</v>
      </c>
      <c r="Z17" s="25">
        <f t="shared" si="2"/>
        <v>38.56</v>
      </c>
      <c r="AA17" s="161"/>
      <c r="AB17" s="162"/>
    </row>
    <row r="18" spans="1:29" s="35" customFormat="1" ht="45" customHeight="1">
      <c r="A18" s="21" t="s">
        <v>44</v>
      </c>
      <c r="B18" s="33" t="s">
        <v>45</v>
      </c>
      <c r="C18" s="34">
        <v>11</v>
      </c>
      <c r="D18" s="34">
        <v>7.5</v>
      </c>
      <c r="E18" s="24">
        <v>305.5</v>
      </c>
      <c r="F18" s="24">
        <v>348.3</v>
      </c>
      <c r="G18" s="24">
        <f t="shared" si="3"/>
        <v>3360.5</v>
      </c>
      <c r="H18" s="24">
        <f t="shared" si="3"/>
        <v>2612.25</v>
      </c>
      <c r="I18" s="25">
        <f t="shared" si="0"/>
        <v>5972.75</v>
      </c>
      <c r="J18" s="25">
        <f t="shared" si="4"/>
        <v>356.68</v>
      </c>
      <c r="K18" s="25">
        <f>(C18+D18)*I6</f>
        <v>202.57499999999999</v>
      </c>
      <c r="L18" s="25"/>
      <c r="M18" s="25">
        <v>4891.7849999999999</v>
      </c>
      <c r="N18" s="25"/>
      <c r="O18" s="25">
        <f>'[10]HT-DOCENTE'!J17</f>
        <v>0</v>
      </c>
      <c r="P18" s="25">
        <f t="shared" si="5"/>
        <v>11423.79</v>
      </c>
      <c r="Q18" s="27">
        <f>IF('[10]Calculo ISR '!$BH$34&lt;0,0,'[10]Calculo ISR '!$BH$34)</f>
        <v>1834.2964800000004</v>
      </c>
      <c r="R18" s="28">
        <f>I18*O6</f>
        <v>627.13874999999996</v>
      </c>
      <c r="S18" s="28">
        <f>'[10]HT-DOCENTE'!P17</f>
        <v>0</v>
      </c>
      <c r="T18" s="28">
        <f>I18*U6</f>
        <v>59.727499999999999</v>
      </c>
      <c r="U18" s="28">
        <f>'[10]HT-DOCENTE'!R17</f>
        <v>0</v>
      </c>
      <c r="V18" s="28"/>
      <c r="W18" s="25">
        <f t="shared" si="1"/>
        <v>2521.1627300000005</v>
      </c>
      <c r="X18" s="28">
        <f>IF('[10]Calculo ISR '!$BH$34&gt;0,0,('[10]Calculo ISR '!$BH$34)*-1)</f>
        <v>0</v>
      </c>
      <c r="Y18" s="25">
        <f t="shared" si="6"/>
        <v>8545.9472700000006</v>
      </c>
      <c r="Z18" s="25">
        <f t="shared" si="2"/>
        <v>356.68</v>
      </c>
      <c r="AA18" s="161"/>
      <c r="AB18" s="162"/>
    </row>
    <row r="19" spans="1:29" s="35" customFormat="1" ht="45" customHeight="1">
      <c r="A19" s="21" t="s">
        <v>48</v>
      </c>
      <c r="B19" s="33" t="s">
        <v>49</v>
      </c>
      <c r="C19" s="34">
        <v>19.5</v>
      </c>
      <c r="D19" s="34">
        <v>0</v>
      </c>
      <c r="E19" s="24">
        <v>305.5</v>
      </c>
      <c r="F19" s="24">
        <v>348.3</v>
      </c>
      <c r="G19" s="24">
        <f t="shared" si="3"/>
        <v>5957.25</v>
      </c>
      <c r="H19" s="24">
        <f t="shared" si="3"/>
        <v>0</v>
      </c>
      <c r="I19" s="25">
        <f t="shared" si="0"/>
        <v>5957.25</v>
      </c>
      <c r="J19" s="25">
        <f t="shared" si="4"/>
        <v>375.96000000000004</v>
      </c>
      <c r="K19" s="25">
        <f>(C19+D19)*I6</f>
        <v>213.52499999999998</v>
      </c>
      <c r="L19" s="25"/>
      <c r="M19" s="135">
        <f t="shared" ref="M19:M24" si="7">(I19/2)+(L19/2)</f>
        <v>2978.625</v>
      </c>
      <c r="N19" s="25"/>
      <c r="O19" s="25">
        <v>0</v>
      </c>
      <c r="P19" s="25">
        <f t="shared" si="5"/>
        <v>9525.36</v>
      </c>
      <c r="Q19" s="27">
        <f>IF('[10]Calculo ISR '!$BJ$34&lt;0,0,'[10]Calculo ISR '!$BJ$34)</f>
        <v>1407.1226640000004</v>
      </c>
      <c r="R19" s="28">
        <f>I19*O6</f>
        <v>625.51125000000002</v>
      </c>
      <c r="S19" s="28">
        <f>'[10]HT-DOCENTE'!P19</f>
        <v>0</v>
      </c>
      <c r="T19" s="28">
        <f>I19*U6</f>
        <v>59.572499999999998</v>
      </c>
      <c r="U19" s="28">
        <f>'[10]HT-DOCENTE'!R19</f>
        <v>0</v>
      </c>
      <c r="V19" s="28"/>
      <c r="W19" s="25">
        <f t="shared" si="1"/>
        <v>2092.2064140000007</v>
      </c>
      <c r="X19" s="28">
        <f>IF('[10]Calculo ISR '!$BJ$34&gt;0,0,('[10]Calculo ISR '!$BJ$34)*-1)</f>
        <v>0</v>
      </c>
      <c r="Y19" s="25">
        <f t="shared" si="6"/>
        <v>7057.1935860000003</v>
      </c>
      <c r="Z19" s="25">
        <f t="shared" si="2"/>
        <v>375.96000000000004</v>
      </c>
      <c r="AA19" s="161"/>
      <c r="AB19" s="162"/>
    </row>
    <row r="20" spans="1:29" s="35" customFormat="1" ht="45" customHeight="1">
      <c r="A20" s="21" t="s">
        <v>50</v>
      </c>
      <c r="B20" s="33" t="s">
        <v>51</v>
      </c>
      <c r="C20" s="34">
        <v>18.5</v>
      </c>
      <c r="D20" s="34">
        <v>0</v>
      </c>
      <c r="E20" s="24">
        <v>305.5</v>
      </c>
      <c r="F20" s="24">
        <v>348.3</v>
      </c>
      <c r="G20" s="24">
        <f t="shared" si="3"/>
        <v>5651.75</v>
      </c>
      <c r="H20" s="24">
        <f t="shared" si="3"/>
        <v>0</v>
      </c>
      <c r="I20" s="25">
        <f t="shared" si="0"/>
        <v>5651.75</v>
      </c>
      <c r="J20" s="25">
        <f t="shared" si="4"/>
        <v>356.68</v>
      </c>
      <c r="K20" s="25">
        <f>(C20+D20)*I6</f>
        <v>202.57499999999999</v>
      </c>
      <c r="L20" s="25"/>
      <c r="M20" s="135">
        <f t="shared" si="7"/>
        <v>2825.875</v>
      </c>
      <c r="N20" s="25"/>
      <c r="O20" s="25">
        <v>0</v>
      </c>
      <c r="P20" s="25">
        <f t="shared" si="5"/>
        <v>9036.880000000001</v>
      </c>
      <c r="Q20" s="27">
        <f>IF('[10]Calculo ISR '!$BK$34&lt;0,0,'[10]Calculo ISR '!$BK$34)</f>
        <v>1306.9015440000003</v>
      </c>
      <c r="R20" s="28">
        <f>I20*O6</f>
        <v>593.43375000000003</v>
      </c>
      <c r="S20" s="28">
        <v>1570</v>
      </c>
      <c r="T20" s="28">
        <f>I20*U6</f>
        <v>56.517499999999998</v>
      </c>
      <c r="U20" s="28"/>
      <c r="V20" s="28"/>
      <c r="W20" s="25">
        <f t="shared" si="1"/>
        <v>3526.8527940000004</v>
      </c>
      <c r="X20" s="28">
        <f>IF('[10]Calculo ISR '!$BK$34&gt;0,0,('[10]Calculo ISR '!$BK$34)*-1)</f>
        <v>0</v>
      </c>
      <c r="Y20" s="25">
        <f t="shared" si="6"/>
        <v>5153.3472060000004</v>
      </c>
      <c r="Z20" s="25">
        <f t="shared" si="2"/>
        <v>356.68</v>
      </c>
      <c r="AA20" s="161"/>
      <c r="AB20" s="162"/>
    </row>
    <row r="21" spans="1:29" s="35" customFormat="1" ht="45" customHeight="1">
      <c r="A21" s="21" t="s">
        <v>52</v>
      </c>
      <c r="B21" s="33" t="s">
        <v>53</v>
      </c>
      <c r="C21" s="34">
        <v>19.5</v>
      </c>
      <c r="D21" s="34">
        <v>0</v>
      </c>
      <c r="E21" s="24">
        <v>305.5</v>
      </c>
      <c r="F21" s="24">
        <v>348.3</v>
      </c>
      <c r="G21" s="24">
        <f t="shared" si="3"/>
        <v>5957.25</v>
      </c>
      <c r="H21" s="24">
        <f t="shared" si="3"/>
        <v>0</v>
      </c>
      <c r="I21" s="25">
        <f t="shared" si="0"/>
        <v>5957.25</v>
      </c>
      <c r="J21" s="25">
        <f t="shared" si="4"/>
        <v>375.96000000000004</v>
      </c>
      <c r="K21" s="25">
        <f>(C21+D21)*I6</f>
        <v>213.52499999999998</v>
      </c>
      <c r="L21" s="25"/>
      <c r="M21" s="135">
        <f t="shared" si="7"/>
        <v>2978.625</v>
      </c>
      <c r="N21" s="25"/>
      <c r="O21" s="25">
        <v>0</v>
      </c>
      <c r="P21" s="25">
        <f t="shared" si="5"/>
        <v>9525.36</v>
      </c>
      <c r="Q21" s="27">
        <f>IF('[10]Calculo ISR '!$BL$34&lt;0,0,'[10]Calculo ISR '!$BL$34)</f>
        <v>1407.1226640000004</v>
      </c>
      <c r="R21" s="28">
        <f>I21*O6</f>
        <v>625.51125000000002</v>
      </c>
      <c r="S21" s="28">
        <f>'[10]HT-DOCENTE'!P21</f>
        <v>0</v>
      </c>
      <c r="T21" s="28">
        <f>I21*U6</f>
        <v>59.572499999999998</v>
      </c>
      <c r="U21" s="28"/>
      <c r="V21" s="28"/>
      <c r="W21" s="25">
        <f t="shared" si="1"/>
        <v>2092.2064140000007</v>
      </c>
      <c r="X21" s="28">
        <f>IF('[10]Calculo ISR '!$BL$34&gt;0,0,('[10]Calculo ISR '!$BL$34)*-1)</f>
        <v>0</v>
      </c>
      <c r="Y21" s="25">
        <f t="shared" si="6"/>
        <v>7057.1935860000003</v>
      </c>
      <c r="Z21" s="25">
        <f t="shared" si="2"/>
        <v>375.96000000000004</v>
      </c>
      <c r="AA21" s="161"/>
      <c r="AB21" s="162"/>
    </row>
    <row r="22" spans="1:29" s="35" customFormat="1" ht="45" customHeight="1">
      <c r="A22" s="21" t="s">
        <v>54</v>
      </c>
      <c r="B22" s="33" t="s">
        <v>55</v>
      </c>
      <c r="C22" s="34">
        <v>19.5</v>
      </c>
      <c r="D22" s="34">
        <v>0</v>
      </c>
      <c r="E22" s="24">
        <v>305.5</v>
      </c>
      <c r="F22" s="24">
        <v>348.3</v>
      </c>
      <c r="G22" s="24">
        <f t="shared" si="3"/>
        <v>5957.25</v>
      </c>
      <c r="H22" s="24">
        <f t="shared" si="3"/>
        <v>0</v>
      </c>
      <c r="I22" s="25">
        <f t="shared" si="0"/>
        <v>5957.25</v>
      </c>
      <c r="J22" s="25">
        <f t="shared" si="4"/>
        <v>375.96000000000004</v>
      </c>
      <c r="K22" s="25">
        <f>(C22+D22)*I6</f>
        <v>213.52499999999998</v>
      </c>
      <c r="L22" s="25"/>
      <c r="M22" s="135">
        <f t="shared" si="7"/>
        <v>2978.625</v>
      </c>
      <c r="N22" s="25"/>
      <c r="O22" s="25">
        <v>0</v>
      </c>
      <c r="P22" s="25">
        <f t="shared" si="5"/>
        <v>9525.36</v>
      </c>
      <c r="Q22" s="27">
        <f>IF('[10]Calculo ISR '!$BM$34&lt;0,0,'[10]Calculo ISR '!$BM$34)</f>
        <v>1407.1226640000004</v>
      </c>
      <c r="R22" s="28">
        <f>I22*O6</f>
        <v>625.51125000000002</v>
      </c>
      <c r="S22" s="28">
        <v>1324</v>
      </c>
      <c r="T22" s="28">
        <f>I22*U6</f>
        <v>59.572499999999998</v>
      </c>
      <c r="U22" s="28">
        <f>'[10]HT-DOCENTE'!R22</f>
        <v>0</v>
      </c>
      <c r="V22" s="28"/>
      <c r="W22" s="25">
        <f t="shared" si="1"/>
        <v>3416.2064140000007</v>
      </c>
      <c r="X22" s="28">
        <f>IF('[10]Calculo ISR '!$BM$34&gt;0,0,('[10]Calculo ISR '!$BM$34)*-1)</f>
        <v>0</v>
      </c>
      <c r="Y22" s="25">
        <f t="shared" si="6"/>
        <v>5733.1935860000003</v>
      </c>
      <c r="Z22" s="25">
        <f t="shared" si="2"/>
        <v>375.96000000000004</v>
      </c>
      <c r="AA22" s="161"/>
      <c r="AB22" s="162"/>
    </row>
    <row r="23" spans="1:29" s="35" customFormat="1" ht="45" customHeight="1">
      <c r="A23" s="21" t="s">
        <v>56</v>
      </c>
      <c r="B23" s="33" t="s">
        <v>57</v>
      </c>
      <c r="C23" s="34">
        <v>19</v>
      </c>
      <c r="D23" s="34">
        <v>0</v>
      </c>
      <c r="E23" s="24">
        <v>305.5</v>
      </c>
      <c r="F23" s="24">
        <v>348.3</v>
      </c>
      <c r="G23" s="24">
        <f t="shared" si="3"/>
        <v>5804.5</v>
      </c>
      <c r="H23" s="24">
        <f t="shared" si="3"/>
        <v>0</v>
      </c>
      <c r="I23" s="25">
        <f t="shared" si="0"/>
        <v>5804.5</v>
      </c>
      <c r="J23" s="25">
        <f t="shared" si="4"/>
        <v>366.32000000000005</v>
      </c>
      <c r="K23" s="25">
        <f>(C23+D23)*I6</f>
        <v>208.04999999999998</v>
      </c>
      <c r="L23" s="25">
        <f>(C23+D23)*E7</f>
        <v>423.7</v>
      </c>
      <c r="M23" s="135">
        <f t="shared" si="7"/>
        <v>3114.1</v>
      </c>
      <c r="N23" s="25"/>
      <c r="O23" s="25">
        <v>0</v>
      </c>
      <c r="P23" s="25">
        <f t="shared" si="5"/>
        <v>9916.67</v>
      </c>
      <c r="Q23" s="27">
        <f>IF('[10]Calculo ISR '!$BN$34&lt;0,0,'[10]Calculo ISR '!$BN$34)</f>
        <v>1492.7655840000002</v>
      </c>
      <c r="R23" s="28">
        <f>I23*O6</f>
        <v>609.47249999999997</v>
      </c>
      <c r="S23" s="28">
        <f>'[10]HT-DOCENTE'!P23</f>
        <v>0</v>
      </c>
      <c r="T23" s="28">
        <f>I23*U6</f>
        <v>58.045000000000002</v>
      </c>
      <c r="U23" s="28">
        <f>'[10]HT-DOCENTE'!R23</f>
        <v>0</v>
      </c>
      <c r="V23" s="30">
        <f>[10]descuentos!D7</f>
        <v>0</v>
      </c>
      <c r="W23" s="25">
        <f t="shared" si="1"/>
        <v>2160.2830840000001</v>
      </c>
      <c r="X23" s="28">
        <f>IF('[10]Calculo ISR '!$BN$34&gt;0,0,('[10]Calculo ISR '!$BN$34)*-1)</f>
        <v>0</v>
      </c>
      <c r="Y23" s="25">
        <f t="shared" si="6"/>
        <v>7390.0669159999998</v>
      </c>
      <c r="Z23" s="25">
        <f t="shared" si="2"/>
        <v>366.32000000000005</v>
      </c>
      <c r="AA23" s="161"/>
      <c r="AB23" s="162"/>
    </row>
    <row r="24" spans="1:29" s="35" customFormat="1" ht="45" customHeight="1">
      <c r="A24" s="21" t="s">
        <v>58</v>
      </c>
      <c r="B24" s="33" t="s">
        <v>59</v>
      </c>
      <c r="C24" s="34">
        <v>11</v>
      </c>
      <c r="D24" s="34">
        <v>0</v>
      </c>
      <c r="E24" s="24">
        <v>305.5</v>
      </c>
      <c r="F24" s="24">
        <v>348.3</v>
      </c>
      <c r="G24" s="24">
        <f t="shared" si="3"/>
        <v>3360.5</v>
      </c>
      <c r="H24" s="24">
        <f t="shared" si="3"/>
        <v>0</v>
      </c>
      <c r="I24" s="25">
        <f t="shared" si="0"/>
        <v>3360.5</v>
      </c>
      <c r="J24" s="25">
        <f t="shared" si="4"/>
        <v>212.08</v>
      </c>
      <c r="K24" s="25">
        <f>(C24+D24)*I6</f>
        <v>120.44999999999999</v>
      </c>
      <c r="L24" s="25"/>
      <c r="M24" s="135">
        <f t="shared" si="7"/>
        <v>1680.25</v>
      </c>
      <c r="N24" s="25"/>
      <c r="O24" s="25"/>
      <c r="P24" s="25">
        <f t="shared" si="5"/>
        <v>5373.28</v>
      </c>
      <c r="Q24" s="27">
        <f>IF('[10]Calculo ISR '!$BO$34&lt;0,0,'[10]Calculo ISR '!$BO$34)</f>
        <v>555.24314400000003</v>
      </c>
      <c r="R24" s="28">
        <f>I24*O6</f>
        <v>352.85249999999996</v>
      </c>
      <c r="S24" s="28">
        <v>707</v>
      </c>
      <c r="T24" s="28">
        <f>I24*U6</f>
        <v>33.605000000000004</v>
      </c>
      <c r="U24" s="28"/>
      <c r="V24" s="28"/>
      <c r="W24" s="25">
        <f>Q24+R24+S24+T24+V24+U24</f>
        <v>1648.700644</v>
      </c>
      <c r="X24" s="28">
        <f>IF('[10]Calculo ISR '!$BO$34&gt;0,0,('[10]Calculo ISR '!$BO$34)*-1)</f>
        <v>0</v>
      </c>
      <c r="Y24" s="25">
        <f>P24-W24-Z24+X24</f>
        <v>3512.4993559999998</v>
      </c>
      <c r="Z24" s="25">
        <f t="shared" si="2"/>
        <v>212.08</v>
      </c>
      <c r="AA24" s="161"/>
      <c r="AB24" s="162"/>
    </row>
    <row r="25" spans="1:29" s="35" customFormat="1" ht="45" customHeight="1">
      <c r="A25" s="21" t="s">
        <v>60</v>
      </c>
      <c r="B25" s="33" t="s">
        <v>100</v>
      </c>
      <c r="C25" s="34">
        <v>18.5</v>
      </c>
      <c r="D25" s="34"/>
      <c r="E25" s="24">
        <v>305.5</v>
      </c>
      <c r="F25" s="24">
        <v>348.3</v>
      </c>
      <c r="G25" s="24">
        <f t="shared" si="3"/>
        <v>5651.75</v>
      </c>
      <c r="H25" s="24">
        <f t="shared" si="3"/>
        <v>0</v>
      </c>
      <c r="I25" s="25">
        <f t="shared" si="0"/>
        <v>5651.75</v>
      </c>
      <c r="J25" s="25">
        <f t="shared" si="4"/>
        <v>356.68</v>
      </c>
      <c r="K25" s="25">
        <f>(C25+D25)*I6</f>
        <v>202.57499999999999</v>
      </c>
      <c r="L25" s="25"/>
      <c r="M25" s="135">
        <f>2213.47+1145.63</f>
        <v>3359.1</v>
      </c>
      <c r="N25" s="25"/>
      <c r="O25" s="25"/>
      <c r="P25" s="25">
        <f t="shared" si="5"/>
        <v>9570.1049999999996</v>
      </c>
      <c r="Q25" s="27">
        <f>IF('[10]Calculo ISR '!$BP$34&lt;0,0,'[10]Calculo ISR '!$BP$34)</f>
        <v>1420.7984040000001</v>
      </c>
      <c r="R25" s="28">
        <f>I25*O6</f>
        <v>593.43375000000003</v>
      </c>
      <c r="S25" s="28"/>
      <c r="T25" s="28"/>
      <c r="U25" s="28"/>
      <c r="V25" s="28"/>
      <c r="W25" s="25">
        <f>Q25+R25+S25+T25+U25+V25</f>
        <v>2014.2321540000003</v>
      </c>
      <c r="X25" s="28">
        <f>IF('[10]Calculo ISR '!$BP$34&gt;0,0,('[10]Calculo ISR '!$BP$34)*-1)</f>
        <v>0</v>
      </c>
      <c r="Y25" s="25">
        <f>P25-W25-Z25+X25</f>
        <v>7199.192845999999</v>
      </c>
      <c r="Z25" s="25">
        <f t="shared" si="2"/>
        <v>356.68</v>
      </c>
      <c r="AA25" s="161"/>
      <c r="AB25" s="162"/>
    </row>
    <row r="26" spans="1:29" s="35" customFormat="1" ht="45" customHeight="1">
      <c r="A26" s="21" t="s">
        <v>62</v>
      </c>
      <c r="B26" s="33" t="s">
        <v>63</v>
      </c>
      <c r="C26" s="34">
        <v>17.5</v>
      </c>
      <c r="D26" s="34">
        <v>0</v>
      </c>
      <c r="E26" s="24">
        <v>305.5</v>
      </c>
      <c r="F26" s="24">
        <v>348.3</v>
      </c>
      <c r="G26" s="24">
        <f t="shared" si="3"/>
        <v>5346.25</v>
      </c>
      <c r="H26" s="24">
        <f t="shared" si="3"/>
        <v>0</v>
      </c>
      <c r="I26" s="25">
        <f t="shared" si="0"/>
        <v>5346.25</v>
      </c>
      <c r="J26" s="25">
        <f t="shared" si="4"/>
        <v>337.40000000000003</v>
      </c>
      <c r="K26" s="25">
        <f>(C26+D26)*I6</f>
        <v>191.625</v>
      </c>
      <c r="L26" s="25"/>
      <c r="M26" s="136">
        <f>1493.36+763.75</f>
        <v>2257.1099999999997</v>
      </c>
      <c r="N26" s="25"/>
      <c r="O26" s="25">
        <v>0</v>
      </c>
      <c r="P26" s="25">
        <f t="shared" si="5"/>
        <v>8132.3849999999993</v>
      </c>
      <c r="Q26" s="27">
        <f>IF('[10]Calculo ISR '!$BQ$34&lt;0,0,'[10]Calculo ISR '!$BQ$34)</f>
        <v>1117.81962</v>
      </c>
      <c r="R26" s="28">
        <f>I26*O6</f>
        <v>561.35624999999993</v>
      </c>
      <c r="S26" s="28"/>
      <c r="T26" s="28">
        <f>I26*U6</f>
        <v>53.462499999999999</v>
      </c>
      <c r="U26" s="28"/>
      <c r="V26" s="28"/>
      <c r="W26" s="25">
        <f>Q26+R26+S26+T26+U26+V26</f>
        <v>1732.6383700000001</v>
      </c>
      <c r="X26" s="28">
        <f>IF('[10]Calculo ISR '!$BQ$34&gt;0,0,('[10]Calculo ISR '!$BQ$34)*-1)</f>
        <v>0</v>
      </c>
      <c r="Y26" s="25">
        <f>P26-W26+X26-Z26</f>
        <v>6062.34663</v>
      </c>
      <c r="Z26" s="25">
        <f t="shared" si="2"/>
        <v>337.40000000000003</v>
      </c>
      <c r="AA26" s="161"/>
      <c r="AB26" s="162"/>
    </row>
    <row r="27" spans="1:29" s="35" customFormat="1" ht="45" customHeight="1">
      <c r="A27" s="21" t="s">
        <v>64</v>
      </c>
      <c r="B27" s="33" t="s">
        <v>65</v>
      </c>
      <c r="C27" s="34">
        <v>17</v>
      </c>
      <c r="D27" s="34">
        <v>0</v>
      </c>
      <c r="E27" s="24">
        <v>305.5</v>
      </c>
      <c r="F27" s="24">
        <v>348.3</v>
      </c>
      <c r="G27" s="24">
        <f t="shared" si="3"/>
        <v>5193.5</v>
      </c>
      <c r="H27" s="24">
        <f t="shared" si="3"/>
        <v>0</v>
      </c>
      <c r="I27" s="25">
        <f t="shared" si="0"/>
        <v>5193.5</v>
      </c>
      <c r="J27" s="25">
        <f t="shared" si="4"/>
        <v>327.76</v>
      </c>
      <c r="K27" s="25">
        <f>(C27+D27)*I6</f>
        <v>186.14999999999998</v>
      </c>
      <c r="L27" s="25"/>
      <c r="M27" s="25">
        <v>0</v>
      </c>
      <c r="N27" s="25"/>
      <c r="O27" s="25">
        <v>0</v>
      </c>
      <c r="P27" s="25">
        <f t="shared" si="5"/>
        <v>5707.41</v>
      </c>
      <c r="Q27" s="27">
        <f>IF('[10]Calculo ISR '!$BR$34&lt;0,0,'[10]Calculo ISR '!$BR$34)</f>
        <v>601.90406400000006</v>
      </c>
      <c r="R27" s="28">
        <f>I27*O6</f>
        <v>545.3175</v>
      </c>
      <c r="S27" s="28"/>
      <c r="T27" s="28"/>
      <c r="U27" s="28"/>
      <c r="V27" s="28"/>
      <c r="W27" s="25">
        <f t="shared" ref="W27:W30" si="8">Q27+R27+S27+T27+U27+V27</f>
        <v>1147.2215639999999</v>
      </c>
      <c r="X27" s="28">
        <f>IF('[10]Calculo ISR '!$BR$34&gt;0,0,('[10]Calculo ISR '!$BR$34)*-1)</f>
        <v>0</v>
      </c>
      <c r="Y27" s="25">
        <f t="shared" ref="Y27:Y38" si="9">P27-W27+X27-Z27</f>
        <v>4232.4284360000001</v>
      </c>
      <c r="Z27" s="25">
        <f t="shared" si="2"/>
        <v>327.76</v>
      </c>
      <c r="AA27" s="161"/>
      <c r="AB27" s="162"/>
    </row>
    <row r="28" spans="1:29" s="35" customFormat="1" ht="45" customHeight="1">
      <c r="A28" s="21" t="s">
        <v>66</v>
      </c>
      <c r="B28" s="36" t="s">
        <v>67</v>
      </c>
      <c r="C28" s="34">
        <v>11.5</v>
      </c>
      <c r="D28" s="34">
        <v>0</v>
      </c>
      <c r="E28" s="24">
        <v>305.5</v>
      </c>
      <c r="F28" s="24">
        <v>348.3</v>
      </c>
      <c r="G28" s="24">
        <f t="shared" si="3"/>
        <v>3513.25</v>
      </c>
      <c r="H28" s="24">
        <f t="shared" si="3"/>
        <v>0</v>
      </c>
      <c r="I28" s="25">
        <f t="shared" si="0"/>
        <v>3513.25</v>
      </c>
      <c r="J28" s="25">
        <f t="shared" si="4"/>
        <v>221.72000000000003</v>
      </c>
      <c r="K28" s="25">
        <f>(C28+D28)*I6</f>
        <v>125.925</v>
      </c>
      <c r="L28" s="25"/>
      <c r="M28" s="25">
        <v>0</v>
      </c>
      <c r="N28" s="25"/>
      <c r="O28" s="25">
        <v>0</v>
      </c>
      <c r="P28" s="25">
        <f t="shared" si="5"/>
        <v>3860.8950000000004</v>
      </c>
      <c r="Q28" s="27">
        <f>IF('[10]Calculo ISR '!$BS$34&lt;0,0,'[10]Calculo ISR '!$BS$34)</f>
        <v>184.45915199999999</v>
      </c>
      <c r="R28" s="28">
        <f>I28*O6</f>
        <v>368.89125000000001</v>
      </c>
      <c r="S28" s="28"/>
      <c r="T28" s="28"/>
      <c r="U28" s="28"/>
      <c r="V28" s="28"/>
      <c r="W28" s="25">
        <f t="shared" si="8"/>
        <v>553.35040200000003</v>
      </c>
      <c r="X28" s="28">
        <f>IF('[10]Calculo ISR '!$BS$34&gt;0,0,('[10]Calculo ISR '!$BS$34)*-1)</f>
        <v>0</v>
      </c>
      <c r="Y28" s="25">
        <f t="shared" si="9"/>
        <v>3085.8245980000002</v>
      </c>
      <c r="Z28" s="25">
        <f t="shared" si="2"/>
        <v>221.72000000000003</v>
      </c>
      <c r="AA28" s="161"/>
      <c r="AB28" s="162"/>
    </row>
    <row r="29" spans="1:29" s="35" customFormat="1" ht="45" customHeight="1">
      <c r="A29" s="21" t="s">
        <v>68</v>
      </c>
      <c r="B29" s="33" t="s">
        <v>69</v>
      </c>
      <c r="C29" s="34">
        <v>10.5</v>
      </c>
      <c r="D29" s="34">
        <v>0</v>
      </c>
      <c r="E29" s="24">
        <v>305.5</v>
      </c>
      <c r="F29" s="24">
        <v>348.3</v>
      </c>
      <c r="G29" s="24">
        <f t="shared" si="3"/>
        <v>3207.75</v>
      </c>
      <c r="H29" s="24">
        <f t="shared" si="3"/>
        <v>0</v>
      </c>
      <c r="I29" s="25">
        <f t="shared" si="0"/>
        <v>3207.75</v>
      </c>
      <c r="J29" s="25">
        <f t="shared" si="4"/>
        <v>202.44</v>
      </c>
      <c r="K29" s="25">
        <f>(C29+D29)*I6</f>
        <v>114.97499999999999</v>
      </c>
      <c r="L29" s="25"/>
      <c r="M29" s="25">
        <v>0</v>
      </c>
      <c r="N29" s="25"/>
      <c r="O29" s="25">
        <v>0</v>
      </c>
      <c r="P29" s="25">
        <f t="shared" si="5"/>
        <v>3525.165</v>
      </c>
      <c r="Q29" s="27">
        <f>IF('[10]Calculo ISR '!$BT$34&lt;0,0,'[10]Calculo ISR '!$BT$34)</f>
        <v>132.32939199999996</v>
      </c>
      <c r="R29" s="28">
        <f>I29*O6</f>
        <v>336.81374999999997</v>
      </c>
      <c r="S29" s="28"/>
      <c r="T29" s="28"/>
      <c r="U29" s="28"/>
      <c r="V29" s="28"/>
      <c r="W29" s="25">
        <f>Q29+R29+S29+T29+U29+V29</f>
        <v>469.1431419999999</v>
      </c>
      <c r="X29" s="28">
        <f>IF('[10]Calculo ISR '!$BT$34&gt;0,0,('[10]Calculo ISR '!$BT$34)*-1)</f>
        <v>0</v>
      </c>
      <c r="Y29" s="25">
        <f>P29-W29+X29-Z29</f>
        <v>2853.581858</v>
      </c>
      <c r="Z29" s="25">
        <f t="shared" si="2"/>
        <v>202.44</v>
      </c>
      <c r="AA29" s="161"/>
      <c r="AB29" s="162"/>
    </row>
    <row r="30" spans="1:29" s="35" customFormat="1" ht="45" customHeight="1">
      <c r="A30" s="21" t="s">
        <v>70</v>
      </c>
      <c r="B30" s="33" t="s">
        <v>71</v>
      </c>
      <c r="C30" s="34">
        <v>9.5</v>
      </c>
      <c r="D30" s="34">
        <v>0</v>
      </c>
      <c r="E30" s="24">
        <v>305.5</v>
      </c>
      <c r="F30" s="24">
        <v>348.3</v>
      </c>
      <c r="G30" s="24">
        <f t="shared" si="3"/>
        <v>2902.25</v>
      </c>
      <c r="H30" s="24">
        <f t="shared" si="3"/>
        <v>0</v>
      </c>
      <c r="I30" s="25">
        <f t="shared" si="0"/>
        <v>2902.25</v>
      </c>
      <c r="J30" s="25">
        <f t="shared" si="4"/>
        <v>183.16000000000003</v>
      </c>
      <c r="K30" s="25">
        <f>(C30+D30)*I6</f>
        <v>104.02499999999999</v>
      </c>
      <c r="L30" s="25"/>
      <c r="M30" s="25">
        <v>0</v>
      </c>
      <c r="N30" s="25"/>
      <c r="O30" s="25"/>
      <c r="P30" s="25">
        <f t="shared" si="5"/>
        <v>3189.4349999999999</v>
      </c>
      <c r="Q30" s="27">
        <f>IF('[10]Calculo ISR '!$BU$34&lt;0,0,'[10]Calculo ISR '!$BU$34)</f>
        <v>77.649631999999968</v>
      </c>
      <c r="R30" s="28">
        <f>I30*O6</f>
        <v>304.73624999999998</v>
      </c>
      <c r="S30" s="28"/>
      <c r="T30" s="28"/>
      <c r="U30" s="28"/>
      <c r="V30" s="28"/>
      <c r="W30" s="25">
        <f t="shared" si="8"/>
        <v>382.38588199999992</v>
      </c>
      <c r="X30" s="28">
        <f>IF('[10]Calculo ISR '!$BU$34&gt;0,0,('[10]Calculo ISR '!$BU$34)*-1)</f>
        <v>0</v>
      </c>
      <c r="Y30" s="25">
        <f t="shared" si="9"/>
        <v>2623.8891180000001</v>
      </c>
      <c r="Z30" s="25">
        <f t="shared" si="2"/>
        <v>183.16000000000003</v>
      </c>
      <c r="AA30" s="161"/>
      <c r="AB30" s="162"/>
    </row>
    <row r="31" spans="1:29" s="35" customFormat="1" ht="45" customHeight="1">
      <c r="A31" s="21" t="s">
        <v>72</v>
      </c>
      <c r="B31" s="33" t="s">
        <v>73</v>
      </c>
      <c r="C31" s="34">
        <v>10</v>
      </c>
      <c r="D31" s="34">
        <v>0</v>
      </c>
      <c r="E31" s="24">
        <v>305.5</v>
      </c>
      <c r="F31" s="24">
        <v>348.3</v>
      </c>
      <c r="G31" s="24">
        <f t="shared" si="3"/>
        <v>3055</v>
      </c>
      <c r="H31" s="24">
        <f t="shared" si="3"/>
        <v>0</v>
      </c>
      <c r="I31" s="25">
        <f t="shared" si="0"/>
        <v>3055</v>
      </c>
      <c r="J31" s="25">
        <f t="shared" si="4"/>
        <v>192.8</v>
      </c>
      <c r="K31" s="25">
        <f>(C31+D31)*I6</f>
        <v>109.5</v>
      </c>
      <c r="L31" s="25"/>
      <c r="M31" s="25">
        <v>0</v>
      </c>
      <c r="N31" s="25"/>
      <c r="O31" s="25"/>
      <c r="P31" s="25">
        <f t="shared" si="5"/>
        <v>3357.3</v>
      </c>
      <c r="Q31" s="27">
        <f>IF('[10]Calculo ISR '!$BV$34&lt;0,0,'[10]Calculo ISR '!$BV$34)</f>
        <v>115.11451199999996</v>
      </c>
      <c r="R31" s="28">
        <f>I31*O6</f>
        <v>320.77499999999998</v>
      </c>
      <c r="S31" s="28"/>
      <c r="T31" s="28"/>
      <c r="U31" s="28"/>
      <c r="V31" s="28"/>
      <c r="W31" s="25">
        <f>Q31+R31+S31+T31+U31+V31</f>
        <v>435.88951199999997</v>
      </c>
      <c r="X31" s="28">
        <f>IF('[10]Calculo ISR '!$BV$34&gt;0,0,('[10]Calculo ISR '!$BV$34)*-1)</f>
        <v>0</v>
      </c>
      <c r="Y31" s="25">
        <f t="shared" si="9"/>
        <v>2728.6104880000003</v>
      </c>
      <c r="Z31" s="25">
        <f t="shared" si="2"/>
        <v>192.8</v>
      </c>
      <c r="AA31" s="184"/>
      <c r="AB31" s="185"/>
      <c r="AC31" s="70"/>
    </row>
    <row r="32" spans="1:29" s="35" customFormat="1" ht="45" customHeight="1">
      <c r="A32" s="21" t="s">
        <v>94</v>
      </c>
      <c r="B32" s="33" t="s">
        <v>101</v>
      </c>
      <c r="C32" s="34">
        <v>14.5</v>
      </c>
      <c r="D32" s="34">
        <v>0</v>
      </c>
      <c r="E32" s="24">
        <v>305.5</v>
      </c>
      <c r="F32" s="24">
        <v>348.3</v>
      </c>
      <c r="G32" s="24">
        <f t="shared" si="3"/>
        <v>4429.75</v>
      </c>
      <c r="H32" s="24">
        <f t="shared" si="3"/>
        <v>0</v>
      </c>
      <c r="I32" s="25">
        <f t="shared" si="0"/>
        <v>4429.75</v>
      </c>
      <c r="J32" s="25">
        <f t="shared" si="4"/>
        <v>279.56</v>
      </c>
      <c r="K32" s="25">
        <f>(C32+D32)*I6</f>
        <v>158.77499999999998</v>
      </c>
      <c r="L32" s="25"/>
      <c r="M32" s="25">
        <v>0</v>
      </c>
      <c r="N32" s="25"/>
      <c r="O32" s="25"/>
      <c r="P32" s="25">
        <f t="shared" si="5"/>
        <v>4868.085</v>
      </c>
      <c r="Q32" s="27">
        <f>IF('[10]Calculo ISR '!$BW$34&lt;0,0,'[10]Calculo ISR '!$BW$34)</f>
        <v>449.76916800000004</v>
      </c>
      <c r="R32" s="28">
        <v>320.77</v>
      </c>
      <c r="S32" s="28"/>
      <c r="T32" s="28"/>
      <c r="U32" s="28"/>
      <c r="V32" s="28"/>
      <c r="W32" s="25">
        <f>Q32+R32+S32+T32+U32+V32</f>
        <v>770.53916800000002</v>
      </c>
      <c r="X32" s="28">
        <f>IF('[10]Calculo ISR '!$BW$34&gt;0,0,('[10]Calculo ISR '!$BW$34)*-1)</f>
        <v>0</v>
      </c>
      <c r="Y32" s="25">
        <f t="shared" si="9"/>
        <v>3817.9858319999998</v>
      </c>
      <c r="Z32" s="71">
        <f t="shared" si="2"/>
        <v>279.56</v>
      </c>
      <c r="AA32" s="83"/>
      <c r="AB32" s="73"/>
      <c r="AC32" s="70"/>
    </row>
    <row r="33" spans="1:32" s="35" customFormat="1" ht="45" customHeight="1">
      <c r="A33" s="21" t="s">
        <v>96</v>
      </c>
      <c r="B33" s="33" t="s">
        <v>102</v>
      </c>
      <c r="C33" s="34">
        <v>7.5</v>
      </c>
      <c r="D33" s="34">
        <v>0</v>
      </c>
      <c r="E33" s="24">
        <v>305.5</v>
      </c>
      <c r="F33" s="24">
        <v>348.3</v>
      </c>
      <c r="G33" s="24">
        <f t="shared" si="3"/>
        <v>2291.25</v>
      </c>
      <c r="H33" s="24">
        <f t="shared" si="3"/>
        <v>0</v>
      </c>
      <c r="I33" s="25">
        <f t="shared" si="0"/>
        <v>2291.25</v>
      </c>
      <c r="J33" s="25">
        <f t="shared" si="4"/>
        <v>144.60000000000002</v>
      </c>
      <c r="K33" s="25">
        <f>(C33+D33)*I6</f>
        <v>82.125</v>
      </c>
      <c r="L33" s="25"/>
      <c r="M33" s="25">
        <v>0</v>
      </c>
      <c r="N33" s="25"/>
      <c r="O33" s="25"/>
      <c r="P33" s="25">
        <f t="shared" si="5"/>
        <v>2517.9749999999999</v>
      </c>
      <c r="Q33" s="27">
        <f>IF('[10]Calculo ISR '!$BX$34&lt;0,0,'[10]Calculo ISR '!$BX$34)</f>
        <v>0</v>
      </c>
      <c r="R33" s="28">
        <v>240.58</v>
      </c>
      <c r="S33" s="28"/>
      <c r="T33" s="28"/>
      <c r="U33" s="28"/>
      <c r="V33" s="28"/>
      <c r="W33" s="25">
        <f>Q33+R33+S33+T33+U33+V33</f>
        <v>240.58</v>
      </c>
      <c r="X33" s="28">
        <f>IF('[10]Calculo ISR '!$BX$34&gt;0,0,('[10]Calculo ISR '!$BX$34)*-1)</f>
        <v>6.2098880000000065</v>
      </c>
      <c r="Y33" s="25">
        <f t="shared" si="9"/>
        <v>2139.0048879999999</v>
      </c>
      <c r="Z33" s="71">
        <f t="shared" si="2"/>
        <v>144.60000000000002</v>
      </c>
      <c r="AA33" s="83"/>
      <c r="AB33" s="73"/>
      <c r="AC33" s="70"/>
    </row>
    <row r="34" spans="1:32" s="35" customFormat="1" ht="45" customHeight="1">
      <c r="A34" s="21" t="s">
        <v>103</v>
      </c>
      <c r="B34" s="33" t="s">
        <v>104</v>
      </c>
      <c r="C34" s="34">
        <v>5</v>
      </c>
      <c r="D34" s="34">
        <v>0</v>
      </c>
      <c r="E34" s="24">
        <v>305.5</v>
      </c>
      <c r="F34" s="24">
        <v>348.3</v>
      </c>
      <c r="G34" s="24">
        <f t="shared" si="3"/>
        <v>1527.5</v>
      </c>
      <c r="H34" s="24">
        <f t="shared" si="3"/>
        <v>0</v>
      </c>
      <c r="I34" s="25">
        <f t="shared" si="0"/>
        <v>1527.5</v>
      </c>
      <c r="J34" s="25">
        <f t="shared" si="4"/>
        <v>96.4</v>
      </c>
      <c r="K34" s="25">
        <f>(C34+D34)*I6</f>
        <v>54.75</v>
      </c>
      <c r="L34" s="25"/>
      <c r="M34" s="25">
        <v>0</v>
      </c>
      <c r="N34" s="25"/>
      <c r="O34" s="25"/>
      <c r="P34" s="25">
        <f t="shared" si="5"/>
        <v>1678.65</v>
      </c>
      <c r="Q34" s="27">
        <f>IF('[10]Calculo ISR '!$BX$34&lt;0,0,'[10]Calculo ISR '!$BX$34)</f>
        <v>0</v>
      </c>
      <c r="R34" s="28">
        <v>160.38999999999999</v>
      </c>
      <c r="S34" s="28"/>
      <c r="T34" s="28"/>
      <c r="U34" s="28"/>
      <c r="V34" s="28"/>
      <c r="W34" s="25">
        <f t="shared" ref="W34:W38" si="10">Q34+R34+S34+T34+U34+V34</f>
        <v>160.38999999999999</v>
      </c>
      <c r="X34" s="28">
        <f>IF('[10]Calculo ISR '!$BY$34&gt;0,0,('[10]Calculo ISR '!$BY$34)*-1)</f>
        <v>110.45383999999997</v>
      </c>
      <c r="Y34" s="25">
        <f t="shared" si="9"/>
        <v>1532.31384</v>
      </c>
      <c r="Z34" s="25">
        <f t="shared" si="2"/>
        <v>96.4</v>
      </c>
      <c r="AA34" s="83"/>
      <c r="AB34" s="73"/>
      <c r="AC34" s="70"/>
    </row>
    <row r="35" spans="1:32" s="35" customFormat="1" ht="45" customHeight="1">
      <c r="A35" s="21" t="s">
        <v>105</v>
      </c>
      <c r="B35" s="33" t="s">
        <v>106</v>
      </c>
      <c r="C35" s="34">
        <v>5</v>
      </c>
      <c r="D35" s="34">
        <v>0</v>
      </c>
      <c r="E35" s="24">
        <v>305.5</v>
      </c>
      <c r="F35" s="24">
        <v>348.3</v>
      </c>
      <c r="G35" s="24">
        <f t="shared" si="3"/>
        <v>1527.5</v>
      </c>
      <c r="H35" s="24">
        <f t="shared" si="3"/>
        <v>0</v>
      </c>
      <c r="I35" s="25">
        <f t="shared" si="0"/>
        <v>1527.5</v>
      </c>
      <c r="J35" s="25">
        <f t="shared" si="4"/>
        <v>96.4</v>
      </c>
      <c r="K35" s="25">
        <f>(C35+D35)*I$6</f>
        <v>54.75</v>
      </c>
      <c r="L35" s="25"/>
      <c r="M35" s="25">
        <v>0</v>
      </c>
      <c r="N35" s="25"/>
      <c r="O35" s="25"/>
      <c r="P35" s="25">
        <f t="shared" si="5"/>
        <v>1678.65</v>
      </c>
      <c r="Q35" s="27">
        <f>IF('[10]Calculo ISR '!$BX$34&lt;0,0,'[10]Calculo ISR '!$BX$34)</f>
        <v>0</v>
      </c>
      <c r="R35" s="28">
        <v>160.38999999999999</v>
      </c>
      <c r="S35" s="28"/>
      <c r="T35" s="28"/>
      <c r="U35" s="28"/>
      <c r="V35" s="28"/>
      <c r="W35" s="25">
        <f t="shared" si="10"/>
        <v>160.38999999999999</v>
      </c>
      <c r="X35" s="28">
        <f>IF('[10]Calculo ISR '!$BZ$34&gt;0,0,('[10]Calculo ISR '!$BZ$34)*-1)</f>
        <v>110.45383999999997</v>
      </c>
      <c r="Y35" s="25">
        <f t="shared" si="9"/>
        <v>1532.31384</v>
      </c>
      <c r="Z35" s="25">
        <f t="shared" si="2"/>
        <v>96.4</v>
      </c>
      <c r="AA35" s="83"/>
      <c r="AB35" s="73"/>
      <c r="AC35" s="70"/>
    </row>
    <row r="36" spans="1:32" s="35" customFormat="1" ht="45" customHeight="1">
      <c r="A36" s="21" t="s">
        <v>108</v>
      </c>
      <c r="B36" s="33" t="s">
        <v>109</v>
      </c>
      <c r="C36" s="34">
        <v>5</v>
      </c>
      <c r="D36" s="34">
        <v>0</v>
      </c>
      <c r="E36" s="24">
        <v>305.5</v>
      </c>
      <c r="F36" s="24">
        <v>348.3</v>
      </c>
      <c r="G36" s="24">
        <f t="shared" si="3"/>
        <v>1527.5</v>
      </c>
      <c r="H36" s="24">
        <f t="shared" si="3"/>
        <v>0</v>
      </c>
      <c r="I36" s="25">
        <f t="shared" si="0"/>
        <v>1527.5</v>
      </c>
      <c r="J36" s="25">
        <f t="shared" si="4"/>
        <v>96.4</v>
      </c>
      <c r="K36" s="25">
        <f>(C36+D36)*I$6</f>
        <v>54.75</v>
      </c>
      <c r="L36" s="25"/>
      <c r="M36" s="25">
        <v>0</v>
      </c>
      <c r="N36" s="25"/>
      <c r="O36" s="25"/>
      <c r="P36" s="25">
        <f t="shared" si="5"/>
        <v>1678.65</v>
      </c>
      <c r="Q36" s="27"/>
      <c r="R36" s="28">
        <v>160.38999999999999</v>
      </c>
      <c r="S36" s="28"/>
      <c r="T36" s="28"/>
      <c r="U36" s="28"/>
      <c r="V36" s="28"/>
      <c r="W36" s="25">
        <f t="shared" si="10"/>
        <v>160.38999999999999</v>
      </c>
      <c r="X36" s="28">
        <f>IF('[10]Calculo ISR '!$CA$34&gt;0,0,('[10]Calculo ISR '!$CA$34)*-1)</f>
        <v>110.45383999999997</v>
      </c>
      <c r="Y36" s="25">
        <f t="shared" si="9"/>
        <v>1532.31384</v>
      </c>
      <c r="Z36" s="25">
        <f t="shared" si="2"/>
        <v>96.4</v>
      </c>
      <c r="AA36" s="93"/>
      <c r="AB36" s="73"/>
      <c r="AC36" s="70"/>
    </row>
    <row r="37" spans="1:32" s="35" customFormat="1" ht="45" customHeight="1">
      <c r="A37" s="21" t="s">
        <v>110</v>
      </c>
      <c r="B37" s="33" t="s">
        <v>111</v>
      </c>
      <c r="C37" s="34">
        <v>5</v>
      </c>
      <c r="D37" s="34">
        <v>0</v>
      </c>
      <c r="E37" s="24">
        <v>305.5</v>
      </c>
      <c r="F37" s="24">
        <v>348.3</v>
      </c>
      <c r="G37" s="24">
        <f t="shared" si="3"/>
        <v>1527.5</v>
      </c>
      <c r="H37" s="24">
        <f t="shared" si="3"/>
        <v>0</v>
      </c>
      <c r="I37" s="25">
        <f t="shared" si="0"/>
        <v>1527.5</v>
      </c>
      <c r="J37" s="25">
        <f t="shared" si="4"/>
        <v>96.4</v>
      </c>
      <c r="K37" s="25">
        <f>(C37+D37)*I$6</f>
        <v>54.75</v>
      </c>
      <c r="L37" s="25"/>
      <c r="M37" s="25">
        <v>0</v>
      </c>
      <c r="N37" s="25"/>
      <c r="O37" s="25"/>
      <c r="P37" s="25">
        <f t="shared" si="5"/>
        <v>1678.65</v>
      </c>
      <c r="Q37" s="27"/>
      <c r="R37" s="28">
        <v>160.38999999999999</v>
      </c>
      <c r="S37" s="28"/>
      <c r="T37" s="28"/>
      <c r="U37" s="28"/>
      <c r="V37" s="28"/>
      <c r="W37" s="25">
        <f t="shared" si="10"/>
        <v>160.38999999999999</v>
      </c>
      <c r="X37" s="28">
        <f>IF('[10]Calculo ISR '!$CB$34&gt;0,0,('[10]Calculo ISR '!$CB$34)*-1)</f>
        <v>110.45383999999997</v>
      </c>
      <c r="Y37" s="25">
        <f t="shared" si="9"/>
        <v>1532.31384</v>
      </c>
      <c r="Z37" s="25">
        <f t="shared" si="2"/>
        <v>96.4</v>
      </c>
      <c r="AA37" s="93"/>
      <c r="AB37" s="73"/>
      <c r="AC37" s="70"/>
    </row>
    <row r="38" spans="1:32" s="35" customFormat="1" ht="45" customHeight="1">
      <c r="A38" s="21" t="s">
        <v>112</v>
      </c>
      <c r="B38" s="33" t="s">
        <v>113</v>
      </c>
      <c r="C38" s="34">
        <v>5</v>
      </c>
      <c r="D38" s="34">
        <v>0</v>
      </c>
      <c r="E38" s="24">
        <v>305.5</v>
      </c>
      <c r="F38" s="24">
        <v>348.3</v>
      </c>
      <c r="G38" s="24">
        <f t="shared" si="3"/>
        <v>1527.5</v>
      </c>
      <c r="H38" s="24">
        <f t="shared" si="3"/>
        <v>0</v>
      </c>
      <c r="I38" s="25">
        <f t="shared" si="0"/>
        <v>1527.5</v>
      </c>
      <c r="J38" s="25">
        <f t="shared" si="4"/>
        <v>96.4</v>
      </c>
      <c r="K38" s="25">
        <f>(C38+D38)*I$6</f>
        <v>54.75</v>
      </c>
      <c r="L38" s="25"/>
      <c r="M38" s="25">
        <v>0</v>
      </c>
      <c r="N38" s="25"/>
      <c r="O38" s="25"/>
      <c r="P38" s="25">
        <f t="shared" si="5"/>
        <v>1678.65</v>
      </c>
      <c r="Q38" s="27"/>
      <c r="R38" s="28">
        <v>160.38999999999999</v>
      </c>
      <c r="S38" s="28"/>
      <c r="T38" s="28"/>
      <c r="U38" s="28"/>
      <c r="V38" s="28"/>
      <c r="W38" s="25">
        <f t="shared" si="10"/>
        <v>160.38999999999999</v>
      </c>
      <c r="X38" s="28">
        <f>IF('[10]Calculo ISR '!$CC$34&gt;0,0,('[10]Calculo ISR '!$CC$34)*-1)</f>
        <v>110.45383999999997</v>
      </c>
      <c r="Y38" s="25">
        <f t="shared" si="9"/>
        <v>1532.31384</v>
      </c>
      <c r="Z38" s="25">
        <f t="shared" si="2"/>
        <v>96.4</v>
      </c>
      <c r="AA38" s="93"/>
      <c r="AB38" s="73"/>
      <c r="AC38" s="70"/>
    </row>
    <row r="39" spans="1:32" s="2" customFormat="1" ht="30" customHeight="1" thickBot="1">
      <c r="A39" s="86"/>
      <c r="B39" s="38" t="s">
        <v>147</v>
      </c>
      <c r="C39" s="39">
        <f t="shared" ref="C39:N39" si="11">SUM(C10:C38)</f>
        <v>339</v>
      </c>
      <c r="D39" s="39">
        <f t="shared" si="11"/>
        <v>37.5</v>
      </c>
      <c r="E39" s="40">
        <f t="shared" si="11"/>
        <v>8859.5</v>
      </c>
      <c r="F39" s="40">
        <f t="shared" si="11"/>
        <v>10100.699999999999</v>
      </c>
      <c r="G39" s="40">
        <f t="shared" si="11"/>
        <v>103564.5</v>
      </c>
      <c r="H39" s="40">
        <f t="shared" si="11"/>
        <v>13061.25</v>
      </c>
      <c r="I39" s="40">
        <f t="shared" si="11"/>
        <v>116625.75</v>
      </c>
      <c r="J39" s="40">
        <f t="shared" si="11"/>
        <v>7258.9199999999992</v>
      </c>
      <c r="K39" s="40">
        <f t="shared" si="11"/>
        <v>4122.6750000000002</v>
      </c>
      <c r="L39" s="40">
        <f t="shared" si="11"/>
        <v>1650.2000000000003</v>
      </c>
      <c r="M39" s="40">
        <f>SUM(M10:M38)</f>
        <v>60810.64499999999</v>
      </c>
      <c r="N39" s="40">
        <f t="shared" si="11"/>
        <v>590.54499999999996</v>
      </c>
      <c r="O39" s="40">
        <f t="shared" ref="O39" si="12">SUM(O10:O35)</f>
        <v>0</v>
      </c>
      <c r="P39" s="40">
        <f t="shared" ref="P39:Y39" si="13">SUM(P10:P38)</f>
        <v>191058.73499999999</v>
      </c>
      <c r="Q39" s="40">
        <f t="shared" si="13"/>
        <v>24651.401637999999</v>
      </c>
      <c r="R39" s="40">
        <f t="shared" si="13"/>
        <v>12101.361249999994</v>
      </c>
      <c r="S39" s="40">
        <f t="shared" si="13"/>
        <v>9546</v>
      </c>
      <c r="T39" s="40">
        <f t="shared" si="13"/>
        <v>787.4375</v>
      </c>
      <c r="U39" s="40">
        <f t="shared" si="13"/>
        <v>0</v>
      </c>
      <c r="V39" s="74">
        <f t="shared" si="13"/>
        <v>0</v>
      </c>
      <c r="W39" s="40">
        <f t="shared" si="13"/>
        <v>47086.200388000005</v>
      </c>
      <c r="X39" s="40">
        <f t="shared" si="13"/>
        <v>558.47908799999982</v>
      </c>
      <c r="Y39" s="40">
        <f t="shared" si="13"/>
        <v>137272.09369999997</v>
      </c>
      <c r="Z39" s="40">
        <f>SUM(Z9:Z38)</f>
        <v>7258.9199999999992</v>
      </c>
      <c r="AA39" s="41"/>
      <c r="AB39" s="3"/>
      <c r="AC39" s="75"/>
      <c r="AD39" s="42"/>
    </row>
    <row r="40" spans="1:32" s="65" customFormat="1" ht="5.25" customHeight="1">
      <c r="A40" s="76"/>
      <c r="B40" s="60"/>
      <c r="C40" s="61"/>
      <c r="D40" s="61"/>
      <c r="E40" s="62"/>
      <c r="F40" s="62"/>
      <c r="G40" s="62"/>
      <c r="H40" s="62"/>
      <c r="I40" s="62">
        <f>I39+'[10]HT-ADMINISTRATIVOS FIRMA '!E46</f>
        <v>301546.55437726818</v>
      </c>
      <c r="J40" s="62"/>
      <c r="K40" s="62"/>
      <c r="L40" s="62"/>
      <c r="M40" s="62"/>
      <c r="N40" s="62"/>
      <c r="O40" s="62"/>
      <c r="P40" s="62"/>
      <c r="Q40" s="62"/>
      <c r="R40" s="62"/>
      <c r="S40" s="62">
        <f>S39+'[10]HT-ADMINISTRATIVOS FIRMA '!O46</f>
        <v>35292.9</v>
      </c>
      <c r="T40" s="62"/>
      <c r="U40" s="62"/>
      <c r="V40" s="62"/>
      <c r="W40" s="62"/>
      <c r="X40" s="62"/>
      <c r="Y40" s="62"/>
      <c r="Z40" s="62"/>
      <c r="AA40" s="63"/>
      <c r="AB40" s="64"/>
      <c r="AC40" s="94"/>
    </row>
    <row r="41" spans="1:32" s="65" customFormat="1" ht="5.25" customHeight="1">
      <c r="A41" s="76"/>
      <c r="B41" s="60"/>
      <c r="C41" s="61"/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3"/>
      <c r="AB41" s="64"/>
      <c r="AC41" s="64"/>
    </row>
    <row r="42" spans="1:32" s="2" customFormat="1" ht="15" customHeight="1">
      <c r="A42" s="69"/>
      <c r="B42" s="82" t="s">
        <v>75</v>
      </c>
      <c r="C42" s="1"/>
      <c r="D42" s="1"/>
      <c r="E42" s="1"/>
      <c r="F42" s="1"/>
      <c r="G42" s="1"/>
      <c r="H42" s="66" t="s">
        <v>76</v>
      </c>
      <c r="I42" s="64"/>
      <c r="L42" s="66"/>
      <c r="M42" s="66"/>
      <c r="N42" s="66"/>
      <c r="O42" s="66"/>
      <c r="P42" s="1"/>
      <c r="Q42" s="49"/>
      <c r="R42" s="50"/>
      <c r="S42" s="1"/>
      <c r="T42" s="1"/>
      <c r="U42" s="1"/>
      <c r="V42" s="1"/>
      <c r="W42" s="1" t="s">
        <v>136</v>
      </c>
      <c r="Y42" s="1"/>
      <c r="Z42" s="1"/>
      <c r="AA42" s="1"/>
      <c r="AC42" s="42"/>
      <c r="AF42" s="1"/>
    </row>
    <row r="43" spans="1:32" s="2" customFormat="1" hidden="1">
      <c r="A43" s="69"/>
      <c r="B43" s="1"/>
      <c r="C43" s="1"/>
      <c r="D43" s="1"/>
      <c r="E43" s="1"/>
      <c r="F43" s="1"/>
      <c r="G43" s="1"/>
      <c r="H43" s="1"/>
      <c r="K43" s="1"/>
      <c r="L43" s="1"/>
      <c r="M43" s="1"/>
      <c r="N43" s="1"/>
      <c r="O43" s="1"/>
      <c r="P43" s="51"/>
      <c r="Q43" s="51"/>
      <c r="R43" s="51"/>
      <c r="S43" s="1"/>
      <c r="T43" s="1"/>
      <c r="U43" s="1"/>
      <c r="V43" s="1"/>
      <c r="W43" s="1"/>
      <c r="X43" s="1"/>
      <c r="Y43" s="1"/>
      <c r="Z43" s="1"/>
      <c r="AA43" s="1"/>
      <c r="AC43" s="42"/>
      <c r="AF43" s="1"/>
    </row>
    <row r="44" spans="1:32" s="2" customFormat="1" hidden="1">
      <c r="A44" s="69"/>
      <c r="B44" s="1"/>
      <c r="C44" s="1"/>
      <c r="D44" s="1"/>
      <c r="E44" s="1"/>
      <c r="F44" s="1"/>
      <c r="G44" s="1"/>
      <c r="H44" s="1"/>
      <c r="K44" s="1"/>
      <c r="L44" s="1"/>
      <c r="M44" s="1"/>
      <c r="N44" s="1"/>
      <c r="O44" s="1"/>
      <c r="P44" s="51"/>
      <c r="Q44" s="51"/>
      <c r="R44" s="51"/>
      <c r="S44" s="1"/>
      <c r="T44" s="1"/>
      <c r="U44" s="1"/>
      <c r="V44" s="1"/>
      <c r="W44" s="1"/>
      <c r="X44" s="1"/>
      <c r="Y44" s="1"/>
      <c r="Z44" s="1"/>
      <c r="AA44" s="1"/>
      <c r="AC44" s="42"/>
      <c r="AF44" s="1"/>
    </row>
    <row r="45" spans="1:32" s="2" customFormat="1" hidden="1">
      <c r="A45" s="69"/>
      <c r="B45" s="1"/>
      <c r="C45" s="1"/>
      <c r="D45" s="1"/>
      <c r="E45" s="1"/>
      <c r="F45" s="1"/>
      <c r="G45" s="1"/>
      <c r="H45" s="1"/>
      <c r="K45" s="1"/>
      <c r="L45" s="1"/>
      <c r="M45" s="1"/>
      <c r="N45" s="1"/>
      <c r="O45" s="1"/>
      <c r="P45" s="52"/>
      <c r="Q45" s="52"/>
      <c r="R45" s="52"/>
      <c r="S45" s="1"/>
      <c r="T45" s="3"/>
      <c r="U45" s="1"/>
      <c r="V45" s="1"/>
      <c r="W45" s="1"/>
      <c r="X45" s="1"/>
      <c r="Y45" s="1"/>
      <c r="Z45" s="1"/>
      <c r="AA45" s="1"/>
      <c r="AF45" s="1"/>
    </row>
    <row r="46" spans="1:32" s="2" customFormat="1">
      <c r="A46" s="69"/>
      <c r="B46" s="82" t="s">
        <v>78</v>
      </c>
      <c r="C46" s="1"/>
      <c r="D46" s="1"/>
      <c r="E46" s="1"/>
      <c r="F46" s="1"/>
      <c r="G46" s="53" t="s">
        <v>79</v>
      </c>
      <c r="H46" s="1"/>
      <c r="I46" s="42"/>
      <c r="L46" s="53"/>
      <c r="M46" s="53"/>
      <c r="N46" s="53"/>
      <c r="O46" s="53"/>
      <c r="P46" s="53" t="s">
        <v>143</v>
      </c>
      <c r="Q46" s="52"/>
      <c r="R46" s="49"/>
      <c r="S46" s="1"/>
      <c r="T46" s="1"/>
      <c r="U46" s="1"/>
      <c r="V46" s="52"/>
      <c r="X46" s="53"/>
      <c r="Y46" s="53"/>
      <c r="Z46" s="53"/>
      <c r="AA46" s="1"/>
      <c r="AF46" s="1"/>
    </row>
    <row r="47" spans="1:32" ht="12.75" customHeight="1">
      <c r="B47" s="54" t="s">
        <v>81</v>
      </c>
      <c r="G47" s="53" t="s">
        <v>82</v>
      </c>
      <c r="H47" s="53"/>
      <c r="I47" s="53"/>
      <c r="J47" s="53"/>
      <c r="K47" s="53"/>
      <c r="L47" s="53"/>
      <c r="M47" s="53"/>
      <c r="N47" s="181" t="s">
        <v>144</v>
      </c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B47" s="3"/>
    </row>
    <row r="48" spans="1:32">
      <c r="AB48" s="3"/>
    </row>
    <row r="49" spans="1:28">
      <c r="S49" s="3"/>
      <c r="AB49" s="3"/>
    </row>
    <row r="50" spans="1:28">
      <c r="AB50" s="3"/>
    </row>
    <row r="51" spans="1:28">
      <c r="AB51" s="3"/>
    </row>
    <row r="52" spans="1:28">
      <c r="P52" s="6"/>
      <c r="AB52" s="3"/>
    </row>
    <row r="53" spans="1:28">
      <c r="AB53" s="3"/>
    </row>
    <row r="54" spans="1:28">
      <c r="AB54" s="3"/>
    </row>
    <row r="55" spans="1:28" s="56" customFormat="1">
      <c r="A55" s="6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8" s="56" customFormat="1">
      <c r="A56" s="6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8" s="57" customFormat="1">
      <c r="A57" s="6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8" s="57" customFormat="1">
      <c r="A58" s="6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8" s="57" customFormat="1">
      <c r="A59" s="6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8" s="57" customFormat="1">
      <c r="A60" s="6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8" s="57" customFormat="1">
      <c r="A61" s="6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8" s="57" customFormat="1">
      <c r="A62" s="6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6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8" s="57" customFormat="1">
      <c r="A63" s="6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8" s="57" customFormat="1">
      <c r="A64" s="6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s="57" customFormat="1">
      <c r="A65" s="6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s="57" customFormat="1">
      <c r="A66" s="6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8" spans="1:27">
      <c r="T68" s="3"/>
    </row>
  </sheetData>
  <mergeCells count="30">
    <mergeCell ref="AA14:AB14"/>
    <mergeCell ref="A8:A9"/>
    <mergeCell ref="B8:B9"/>
    <mergeCell ref="C8:I8"/>
    <mergeCell ref="J8:P8"/>
    <mergeCell ref="Q8:W8"/>
    <mergeCell ref="X8:Z8"/>
    <mergeCell ref="AA9:AB9"/>
    <mergeCell ref="AA10:AB10"/>
    <mergeCell ref="AA11:AB11"/>
    <mergeCell ref="AA12:AB12"/>
    <mergeCell ref="AA13:AB13"/>
    <mergeCell ref="AA26:AB26"/>
    <mergeCell ref="AA15:AB15"/>
    <mergeCell ref="AA16:AB16"/>
    <mergeCell ref="AA17:AB17"/>
    <mergeCell ref="AA18:AB18"/>
    <mergeCell ref="AA19:AB19"/>
    <mergeCell ref="AA20:AB20"/>
    <mergeCell ref="AA21:AB21"/>
    <mergeCell ref="AA22:AB22"/>
    <mergeCell ref="AA23:AB23"/>
    <mergeCell ref="AA24:AB24"/>
    <mergeCell ref="AA25:AB25"/>
    <mergeCell ref="N47:Z47"/>
    <mergeCell ref="AA27:AB27"/>
    <mergeCell ref="AA28:AB28"/>
    <mergeCell ref="AA29:AB29"/>
    <mergeCell ref="AA30:AB30"/>
    <mergeCell ref="AA31:AB31"/>
  </mergeCells>
  <pageMargins left="0.8" right="0.2" top="0.47244094488188981" bottom="0.51181102362204722" header="0.31496062992125984" footer="0.31496062992125984"/>
  <pageSetup paperSize="5" scale="5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E68"/>
  <sheetViews>
    <sheetView topLeftCell="A3" zoomScale="80" zoomScaleNormal="80" zoomScaleSheetLayoutView="100" workbookViewId="0">
      <pane xSplit="2" ySplit="7" topLeftCell="C37" activePane="bottomRight" state="frozen"/>
      <selection activeCell="A3" sqref="A3"/>
      <selection pane="topRight" activeCell="C3" sqref="C3"/>
      <selection pane="bottomLeft" activeCell="A10" sqref="A10"/>
      <selection pane="bottomRight" activeCell="J51" sqref="J51"/>
    </sheetView>
  </sheetViews>
  <sheetFormatPr baseColWidth="10" defaultRowHeight="12.75"/>
  <cols>
    <col min="1" max="1" width="12.7109375" style="69" customWidth="1"/>
    <col min="2" max="2" width="31.5703125" style="1" customWidth="1"/>
    <col min="3" max="4" width="7.140625" style="1" customWidth="1"/>
    <col min="5" max="5" width="10.42578125" style="1" customWidth="1"/>
    <col min="6" max="6" width="11" style="1" customWidth="1"/>
    <col min="7" max="7" width="13.28515625" style="1" customWidth="1"/>
    <col min="8" max="8" width="10.85546875" style="1" customWidth="1"/>
    <col min="9" max="9" width="13" style="1" customWidth="1"/>
    <col min="10" max="10" width="10.5703125" style="1" customWidth="1"/>
    <col min="11" max="11" width="9.85546875" style="1" customWidth="1"/>
    <col min="12" max="12" width="10.140625" style="1" customWidth="1"/>
    <col min="13" max="13" width="8.42578125" style="1" customWidth="1"/>
    <col min="14" max="14" width="5.42578125" style="1" customWidth="1"/>
    <col min="15" max="15" width="12.42578125" style="1" customWidth="1"/>
    <col min="16" max="16" width="11" style="1" hidden="1" customWidth="1"/>
    <col min="17" max="17" width="10.85546875" style="1" hidden="1" customWidth="1"/>
    <col min="18" max="18" width="11.140625" style="1" hidden="1" customWidth="1"/>
    <col min="19" max="19" width="8.5703125" style="1" hidden="1" customWidth="1"/>
    <col min="20" max="20" width="5" style="1" hidden="1" customWidth="1"/>
    <col min="21" max="21" width="9.85546875" style="1" hidden="1" customWidth="1"/>
    <col min="22" max="22" width="11.140625" style="1" customWidth="1"/>
    <col min="23" max="23" width="8.28515625" style="1" customWidth="1"/>
    <col min="24" max="24" width="12.42578125" style="1" customWidth="1"/>
    <col min="25" max="25" width="10.5703125" style="1" hidden="1" customWidth="1"/>
    <col min="26" max="26" width="31" style="1" hidden="1" customWidth="1"/>
    <col min="27" max="27" width="12.28515625" style="1" hidden="1" customWidth="1"/>
    <col min="28" max="16384" width="11.42578125" style="1"/>
  </cols>
  <sheetData>
    <row r="2" spans="1:27">
      <c r="B2" s="2" t="s">
        <v>0</v>
      </c>
    </row>
    <row r="3" spans="1:27">
      <c r="B3" s="2"/>
    </row>
    <row r="4" spans="1:27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7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2"/>
      <c r="P5" s="2"/>
      <c r="Q5" s="2"/>
      <c r="R5" s="2"/>
      <c r="S5" s="2"/>
      <c r="T5" s="2"/>
      <c r="U5" s="2"/>
      <c r="V5" s="2"/>
      <c r="W5" s="2"/>
    </row>
    <row r="6" spans="1:27">
      <c r="B6" s="2"/>
      <c r="C6" s="2"/>
      <c r="D6" s="2"/>
      <c r="E6" s="4">
        <v>19.28</v>
      </c>
      <c r="F6" s="4"/>
      <c r="G6" s="4"/>
      <c r="H6" s="4"/>
      <c r="I6" s="4">
        <v>10.95</v>
      </c>
      <c r="J6" s="4"/>
      <c r="K6" s="65"/>
      <c r="L6" s="65"/>
      <c r="M6" s="65"/>
      <c r="N6" s="58">
        <v>0.105</v>
      </c>
      <c r="O6" s="65"/>
      <c r="P6" s="65"/>
      <c r="Q6" s="65"/>
      <c r="R6" s="65"/>
      <c r="S6" s="65"/>
      <c r="T6" s="5">
        <v>0.01</v>
      </c>
      <c r="U6" s="65"/>
      <c r="V6" s="65"/>
      <c r="W6" s="65"/>
    </row>
    <row r="7" spans="1:27" ht="13.5" thickBot="1">
      <c r="A7" s="85" t="s">
        <v>0</v>
      </c>
      <c r="C7" s="2"/>
      <c r="D7" s="2"/>
      <c r="E7" s="4">
        <v>22.3</v>
      </c>
      <c r="F7" s="4"/>
      <c r="G7" s="4"/>
      <c r="H7" s="4"/>
      <c r="I7" s="7">
        <v>0.02</v>
      </c>
      <c r="J7" s="8">
        <v>0.04</v>
      </c>
      <c r="K7" s="6" t="s">
        <v>148</v>
      </c>
      <c r="L7" s="2"/>
      <c r="M7" s="2"/>
      <c r="N7" s="2"/>
      <c r="P7" s="2"/>
      <c r="Q7" s="2"/>
      <c r="R7" s="2"/>
      <c r="S7" s="2"/>
      <c r="T7" s="2"/>
      <c r="U7" s="2"/>
      <c r="V7" s="2"/>
      <c r="W7" s="2"/>
    </row>
    <row r="8" spans="1:27" ht="15.75" customHeight="1" thickBot="1">
      <c r="A8" s="164" t="s">
        <v>2</v>
      </c>
      <c r="B8" s="166" t="s">
        <v>3</v>
      </c>
      <c r="C8" s="168" t="s">
        <v>4</v>
      </c>
      <c r="D8" s="169"/>
      <c r="E8" s="169"/>
      <c r="F8" s="169"/>
      <c r="G8" s="169"/>
      <c r="H8" s="169"/>
      <c r="I8" s="170"/>
      <c r="J8" s="171" t="s">
        <v>5</v>
      </c>
      <c r="K8" s="172"/>
      <c r="L8" s="172"/>
      <c r="M8" s="173"/>
      <c r="N8" s="173"/>
      <c r="O8" s="174"/>
      <c r="P8" s="175" t="s">
        <v>6</v>
      </c>
      <c r="Q8" s="176"/>
      <c r="R8" s="176"/>
      <c r="S8" s="176"/>
      <c r="T8" s="176"/>
      <c r="U8" s="176"/>
      <c r="V8" s="176"/>
      <c r="W8" s="177" t="s">
        <v>7</v>
      </c>
      <c r="X8" s="177"/>
      <c r="Y8" s="177"/>
    </row>
    <row r="9" spans="1:27" s="20" customFormat="1" ht="72">
      <c r="A9" s="165"/>
      <c r="B9" s="167"/>
      <c r="C9" s="9" t="s">
        <v>87</v>
      </c>
      <c r="D9" s="9" t="s">
        <v>88</v>
      </c>
      <c r="E9" s="9" t="s">
        <v>89</v>
      </c>
      <c r="F9" s="9" t="s">
        <v>90</v>
      </c>
      <c r="G9" s="9" t="s">
        <v>91</v>
      </c>
      <c r="H9" s="9" t="s">
        <v>92</v>
      </c>
      <c r="I9" s="67" t="s">
        <v>10</v>
      </c>
      <c r="J9" s="11" t="s">
        <v>11</v>
      </c>
      <c r="K9" s="11" t="s">
        <v>12</v>
      </c>
      <c r="L9" s="12" t="s">
        <v>13</v>
      </c>
      <c r="M9" s="13" t="s">
        <v>14</v>
      </c>
      <c r="N9" s="134" t="s">
        <v>15</v>
      </c>
      <c r="O9" s="14" t="s">
        <v>16</v>
      </c>
      <c r="P9" s="15" t="s">
        <v>17</v>
      </c>
      <c r="Q9" s="16" t="s">
        <v>18</v>
      </c>
      <c r="R9" s="16" t="s">
        <v>19</v>
      </c>
      <c r="S9" s="16" t="s">
        <v>20</v>
      </c>
      <c r="T9" s="16" t="s">
        <v>21</v>
      </c>
      <c r="U9" s="16" t="s">
        <v>22</v>
      </c>
      <c r="V9" s="16" t="s">
        <v>23</v>
      </c>
      <c r="W9" s="17" t="s">
        <v>24</v>
      </c>
      <c r="X9" s="18" t="s">
        <v>25</v>
      </c>
      <c r="Y9" s="19" t="s">
        <v>26</v>
      </c>
      <c r="Z9" s="178" t="s">
        <v>27</v>
      </c>
      <c r="AA9" s="178"/>
    </row>
    <row r="10" spans="1:27" s="69" customFormat="1" ht="45" customHeight="1">
      <c r="A10" s="21" t="s">
        <v>28</v>
      </c>
      <c r="B10" s="68" t="s">
        <v>29</v>
      </c>
      <c r="C10" s="32">
        <v>7.5</v>
      </c>
      <c r="D10" s="23">
        <v>0</v>
      </c>
      <c r="E10" s="24">
        <v>305.5</v>
      </c>
      <c r="F10" s="24">
        <v>348.3</v>
      </c>
      <c r="G10" s="24">
        <f>C10*E10</f>
        <v>2291.25</v>
      </c>
      <c r="H10" s="24">
        <f>D10*F10</f>
        <v>0</v>
      </c>
      <c r="I10" s="25">
        <f t="shared" ref="I10:I38" si="0">G10+H10</f>
        <v>2291.25</v>
      </c>
      <c r="J10" s="25">
        <f>(C10+D10)*19.28</f>
        <v>144.60000000000002</v>
      </c>
      <c r="K10" s="25">
        <f>(C10+D10)*I6</f>
        <v>82.125</v>
      </c>
      <c r="L10" s="25"/>
      <c r="M10" s="25">
        <f>I10*J7</f>
        <v>91.65</v>
      </c>
      <c r="N10" s="26">
        <v>0</v>
      </c>
      <c r="O10" s="25">
        <f>SUM(I10:N10)</f>
        <v>2609.625</v>
      </c>
      <c r="P10" s="27">
        <f>IF('[11]Calculo ISR '!$AZ$34&lt;0,0,'[11]Calculo ISR '!$AZ$34)</f>
        <v>3.7616319999999916</v>
      </c>
      <c r="Q10" s="28">
        <f>I10*N6</f>
        <v>240.58124999999998</v>
      </c>
      <c r="R10" s="29">
        <v>0</v>
      </c>
      <c r="S10" s="28">
        <f>I10*T6</f>
        <v>22.912500000000001</v>
      </c>
      <c r="T10" s="28"/>
      <c r="U10" s="30">
        <f>[11]descuentos!D6-93.48</f>
        <v>1696.75</v>
      </c>
      <c r="V10" s="25">
        <f t="shared" ref="V10:V23" si="1">P10+Q10+R10+S10+U10+T10</f>
        <v>1964.0053820000001</v>
      </c>
      <c r="W10" s="28">
        <f>IF('[11]Calculo ISR '!$AZ$34&gt;0,0,('[11]Calculo ISR '!$AZ$34)*-1)</f>
        <v>0</v>
      </c>
      <c r="X10" s="25">
        <f>O10-V10-Y10+W10</f>
        <v>501.01961799999992</v>
      </c>
      <c r="Y10" s="25">
        <f t="shared" ref="Y10:Y38" si="2">J10</f>
        <v>144.60000000000002</v>
      </c>
      <c r="Z10" s="183"/>
      <c r="AA10" s="163"/>
    </row>
    <row r="11" spans="1:27" s="35" customFormat="1" ht="45" customHeight="1">
      <c r="A11" s="21" t="s">
        <v>30</v>
      </c>
      <c r="B11" s="33" t="s">
        <v>31</v>
      </c>
      <c r="C11" s="32">
        <v>12</v>
      </c>
      <c r="D11" s="32">
        <v>7.5</v>
      </c>
      <c r="E11" s="24">
        <v>305.5</v>
      </c>
      <c r="F11" s="24">
        <v>348.3</v>
      </c>
      <c r="G11" s="24">
        <f t="shared" ref="G11:H38" si="3">C11*E11</f>
        <v>3666</v>
      </c>
      <c r="H11" s="24">
        <f t="shared" si="3"/>
        <v>2612.25</v>
      </c>
      <c r="I11" s="25">
        <f t="shared" si="0"/>
        <v>6278.25</v>
      </c>
      <c r="J11" s="25">
        <f t="shared" ref="J11:J38" si="4">(C11+D11)*19.28</f>
        <v>375.96000000000004</v>
      </c>
      <c r="K11" s="25">
        <f>(C11+D11)*I6</f>
        <v>213.52499999999998</v>
      </c>
      <c r="L11" s="25"/>
      <c r="M11" s="25">
        <f>I11*J7</f>
        <v>251.13</v>
      </c>
      <c r="N11" s="25">
        <f>'[11]HT-DOCENTE'!J10</f>
        <v>0</v>
      </c>
      <c r="O11" s="25">
        <f t="shared" ref="O11:O38" si="5">SUM(I11:N11)</f>
        <v>7118.8649999999998</v>
      </c>
      <c r="P11" s="27">
        <f>IF('[11]Calculo ISR '!$BA$34&lt;0,0,'[11]Calculo ISR '!$BA$34)</f>
        <v>893.0953320000001</v>
      </c>
      <c r="Q11" s="28">
        <f>I11*N6</f>
        <v>659.21624999999995</v>
      </c>
      <c r="R11" s="28">
        <v>1986</v>
      </c>
      <c r="S11" s="28">
        <f>I11*T6</f>
        <v>62.782499999999999</v>
      </c>
      <c r="T11" s="28">
        <f>'[11]HT-DOCENTE'!R10</f>
        <v>0</v>
      </c>
      <c r="U11" s="28"/>
      <c r="V11" s="25">
        <f t="shared" si="1"/>
        <v>3601.0940820000001</v>
      </c>
      <c r="W11" s="28">
        <f>IF('[11]Calculo ISR '!$BA$34&gt;0,0,('[11]Calculo ISR '!$BA$34)*-1)</f>
        <v>0</v>
      </c>
      <c r="X11" s="25">
        <f>O11-V11-Y11+W11</f>
        <v>3141.8109179999997</v>
      </c>
      <c r="Y11" s="25">
        <f t="shared" si="2"/>
        <v>375.96000000000004</v>
      </c>
      <c r="Z11" s="161"/>
      <c r="AA11" s="162"/>
    </row>
    <row r="12" spans="1:27" s="35" customFormat="1" ht="45" customHeight="1">
      <c r="A12" s="21" t="s">
        <v>32</v>
      </c>
      <c r="B12" s="33" t="s">
        <v>99</v>
      </c>
      <c r="C12" s="32">
        <v>10</v>
      </c>
      <c r="D12" s="32">
        <v>0</v>
      </c>
      <c r="E12" s="24">
        <v>305.5</v>
      </c>
      <c r="F12" s="24">
        <v>348.3</v>
      </c>
      <c r="G12" s="24">
        <f t="shared" si="3"/>
        <v>3055</v>
      </c>
      <c r="H12" s="24">
        <f t="shared" si="3"/>
        <v>0</v>
      </c>
      <c r="I12" s="25">
        <f t="shared" si="0"/>
        <v>3055</v>
      </c>
      <c r="J12" s="25">
        <f t="shared" si="4"/>
        <v>192.8</v>
      </c>
      <c r="K12" s="25">
        <f>(C12+D12)*I6</f>
        <v>109.5</v>
      </c>
      <c r="L12" s="25"/>
      <c r="M12" s="25">
        <f>I12*J7</f>
        <v>122.2</v>
      </c>
      <c r="N12" s="25">
        <v>0</v>
      </c>
      <c r="O12" s="25">
        <f t="shared" si="5"/>
        <v>3479.5</v>
      </c>
      <c r="P12" s="27">
        <f>IF('[11]Calculo ISR '!$BB$34&lt;0,0,'[11]Calculo ISR '!$BB$34)</f>
        <v>128.40987199999998</v>
      </c>
      <c r="Q12" s="28">
        <f>I12*N6</f>
        <v>320.77499999999998</v>
      </c>
      <c r="R12" s="28">
        <v>873</v>
      </c>
      <c r="S12" s="28">
        <f>I12*T6</f>
        <v>30.55</v>
      </c>
      <c r="T12" s="28">
        <f>'[11]HT-DOCENTE'!R11</f>
        <v>0</v>
      </c>
      <c r="U12" s="28"/>
      <c r="V12" s="25">
        <f t="shared" si="1"/>
        <v>1352.7348719999998</v>
      </c>
      <c r="W12" s="28">
        <f>IF('[11]Calculo ISR '!$BB$34&gt;0,0,('[11]Calculo ISR '!$BB$34)*-1)</f>
        <v>0</v>
      </c>
      <c r="X12" s="25">
        <f>O12-V12-Y12+W12</f>
        <v>1933.965128</v>
      </c>
      <c r="Y12" s="25">
        <f t="shared" si="2"/>
        <v>192.8</v>
      </c>
      <c r="Z12" s="161"/>
      <c r="AA12" s="162"/>
    </row>
    <row r="13" spans="1:27" s="35" customFormat="1" ht="45" customHeight="1">
      <c r="A13" s="21" t="s">
        <v>34</v>
      </c>
      <c r="B13" s="33" t="s">
        <v>35</v>
      </c>
      <c r="C13" s="32">
        <v>12</v>
      </c>
      <c r="D13" s="32">
        <v>7.5</v>
      </c>
      <c r="E13" s="24">
        <v>305.5</v>
      </c>
      <c r="F13" s="24">
        <v>348.3</v>
      </c>
      <c r="G13" s="24">
        <f t="shared" si="3"/>
        <v>3666</v>
      </c>
      <c r="H13" s="24">
        <f>D13*F13</f>
        <v>2612.25</v>
      </c>
      <c r="I13" s="25">
        <f t="shared" si="0"/>
        <v>6278.25</v>
      </c>
      <c r="J13" s="25">
        <f t="shared" si="4"/>
        <v>375.96000000000004</v>
      </c>
      <c r="K13" s="25">
        <f>(C13+D13)*I6</f>
        <v>213.52499999999998</v>
      </c>
      <c r="L13" s="25"/>
      <c r="M13" s="25">
        <f>I13*I7</f>
        <v>125.565</v>
      </c>
      <c r="N13" s="25">
        <f>'[11]HT-DOCENTE'!J12</f>
        <v>0</v>
      </c>
      <c r="O13" s="25">
        <f t="shared" si="5"/>
        <v>6993.2999999999993</v>
      </c>
      <c r="P13" s="27">
        <f>IF('[11]Calculo ISR '!$BC$34&lt;0,0,'[11]Calculo ISR '!$BC$34)</f>
        <v>866.27464799999996</v>
      </c>
      <c r="Q13" s="28">
        <f>I13*N6</f>
        <v>659.21624999999995</v>
      </c>
      <c r="R13" s="28">
        <f>'[11]HT-DOCENTE'!P12</f>
        <v>0</v>
      </c>
      <c r="S13" s="28">
        <f>I13*T6</f>
        <v>62.782499999999999</v>
      </c>
      <c r="T13" s="28">
        <f>'[11]HT-DOCENTE'!R12</f>
        <v>0</v>
      </c>
      <c r="U13" s="28"/>
      <c r="V13" s="25">
        <f t="shared" si="1"/>
        <v>1588.273398</v>
      </c>
      <c r="W13" s="28">
        <f>IF('[11]Calculo ISR '!$BC$34&gt;0,0,('[11]Calculo ISR '!$BC$34)*-1)</f>
        <v>0</v>
      </c>
      <c r="X13" s="25">
        <f t="shared" ref="X13:X23" si="6">O13-V13-Y13+W13</f>
        <v>5029.066601999999</v>
      </c>
      <c r="Y13" s="25">
        <f t="shared" si="2"/>
        <v>375.96000000000004</v>
      </c>
      <c r="Z13" s="161"/>
      <c r="AA13" s="162"/>
    </row>
    <row r="14" spans="1:27" s="35" customFormat="1" ht="45" customHeight="1">
      <c r="A14" s="21" t="s">
        <v>36</v>
      </c>
      <c r="B14" s="33" t="s">
        <v>37</v>
      </c>
      <c r="C14" s="32">
        <v>5.5</v>
      </c>
      <c r="D14" s="32">
        <v>7.5</v>
      </c>
      <c r="E14" s="24">
        <v>305.5</v>
      </c>
      <c r="F14" s="24">
        <v>348.3</v>
      </c>
      <c r="G14" s="24">
        <f t="shared" si="3"/>
        <v>1680.25</v>
      </c>
      <c r="H14" s="24">
        <f t="shared" si="3"/>
        <v>2612.25</v>
      </c>
      <c r="I14" s="25">
        <f t="shared" si="0"/>
        <v>4292.5</v>
      </c>
      <c r="J14" s="25">
        <f t="shared" si="4"/>
        <v>250.64000000000001</v>
      </c>
      <c r="K14" s="25">
        <f>(C14+D14)*I6</f>
        <v>142.35</v>
      </c>
      <c r="L14" s="25">
        <f>(C14+D14)*E7</f>
        <v>289.90000000000003</v>
      </c>
      <c r="M14" s="25"/>
      <c r="N14" s="25">
        <f>'[11]HT-DOCENTE'!J13</f>
        <v>0</v>
      </c>
      <c r="O14" s="25">
        <f t="shared" si="5"/>
        <v>4975.3900000000003</v>
      </c>
      <c r="P14" s="27">
        <f>IF('[11]Calculo ISR '!$BD$34&lt;0,0,'[11]Calculo ISR '!$BD$34)</f>
        <v>474.18068800000009</v>
      </c>
      <c r="Q14" s="28">
        <f>I14*N6</f>
        <v>450.71249999999998</v>
      </c>
      <c r="R14" s="28">
        <v>1431</v>
      </c>
      <c r="S14" s="28">
        <f>I14*T6</f>
        <v>42.925000000000004</v>
      </c>
      <c r="T14" s="28">
        <f>'[11]HT-DOCENTE'!R13</f>
        <v>0</v>
      </c>
      <c r="U14" s="28"/>
      <c r="V14" s="25">
        <f t="shared" si="1"/>
        <v>2398.8181880000002</v>
      </c>
      <c r="W14" s="28">
        <f>IF('[11]Calculo ISR '!$BD$34&gt;0,0,('[11]Calculo ISR '!$BD$34)*-1)</f>
        <v>0</v>
      </c>
      <c r="X14" s="25">
        <f t="shared" si="6"/>
        <v>2325.9318120000003</v>
      </c>
      <c r="Y14" s="25">
        <f t="shared" si="2"/>
        <v>250.64000000000001</v>
      </c>
      <c r="Z14" s="161"/>
      <c r="AA14" s="162"/>
    </row>
    <row r="15" spans="1:27" s="35" customFormat="1" ht="45" customHeight="1">
      <c r="A15" s="21" t="s">
        <v>38</v>
      </c>
      <c r="B15" s="33" t="s">
        <v>39</v>
      </c>
      <c r="C15" s="32">
        <v>11</v>
      </c>
      <c r="D15" s="32">
        <v>7.5</v>
      </c>
      <c r="E15" s="24">
        <v>305.5</v>
      </c>
      <c r="F15" s="24">
        <v>348.3</v>
      </c>
      <c r="G15" s="24">
        <f t="shared" si="3"/>
        <v>3360.5</v>
      </c>
      <c r="H15" s="24">
        <f t="shared" si="3"/>
        <v>2612.25</v>
      </c>
      <c r="I15" s="25">
        <f t="shared" si="0"/>
        <v>5972.75</v>
      </c>
      <c r="J15" s="25">
        <f t="shared" si="4"/>
        <v>356.68</v>
      </c>
      <c r="K15" s="25">
        <f>(C15+D15)*I6</f>
        <v>202.57499999999999</v>
      </c>
      <c r="L15" s="25">
        <f>(C15+D15)*E7</f>
        <v>412.55</v>
      </c>
      <c r="M15" s="25"/>
      <c r="N15" s="25">
        <f>'[11]HT-DOCENTE'!J14</f>
        <v>0</v>
      </c>
      <c r="O15" s="25">
        <f t="shared" si="5"/>
        <v>6944.5550000000003</v>
      </c>
      <c r="P15" s="27">
        <f>IF('[11]Calculo ISR '!$BE$34&lt;0,0,'[11]Calculo ISR '!$BE$34)</f>
        <v>859.98092400000007</v>
      </c>
      <c r="Q15" s="28">
        <f>I15*N6</f>
        <v>627.13874999999996</v>
      </c>
      <c r="R15" s="28">
        <v>1655</v>
      </c>
      <c r="S15" s="28">
        <f>I15*T6</f>
        <v>59.727499999999999</v>
      </c>
      <c r="T15" s="28">
        <f>'[11]HT-DOCENTE'!R14</f>
        <v>0</v>
      </c>
      <c r="U15" s="28"/>
      <c r="V15" s="25">
        <f t="shared" si="1"/>
        <v>3201.847174</v>
      </c>
      <c r="W15" s="28">
        <f>IF('[11]Calculo ISR '!$BE$34&gt;0,0,('[11]Calculo ISR '!$BE$34)*-1)</f>
        <v>0</v>
      </c>
      <c r="X15" s="25">
        <f t="shared" si="6"/>
        <v>3386.0278260000005</v>
      </c>
      <c r="Y15" s="25">
        <f t="shared" si="2"/>
        <v>356.68</v>
      </c>
      <c r="Z15" s="161"/>
      <c r="AA15" s="162"/>
    </row>
    <row r="16" spans="1:27" s="35" customFormat="1" ht="45" customHeight="1">
      <c r="A16" s="21" t="s">
        <v>40</v>
      </c>
      <c r="B16" s="33" t="s">
        <v>41</v>
      </c>
      <c r="C16" s="32">
        <f>'[11]HT-DOCENTE'!C15</f>
        <v>19.5</v>
      </c>
      <c r="D16" s="32">
        <v>0</v>
      </c>
      <c r="E16" s="24">
        <v>305.5</v>
      </c>
      <c r="F16" s="24">
        <v>348.3</v>
      </c>
      <c r="G16" s="24">
        <f t="shared" si="3"/>
        <v>5957.25</v>
      </c>
      <c r="H16" s="24">
        <f t="shared" si="3"/>
        <v>0</v>
      </c>
      <c r="I16" s="25">
        <f t="shared" si="0"/>
        <v>5957.25</v>
      </c>
      <c r="J16" s="25">
        <f t="shared" si="4"/>
        <v>375.96000000000004</v>
      </c>
      <c r="K16" s="25">
        <f>(C16+D16)*I6</f>
        <v>213.52499999999998</v>
      </c>
      <c r="L16" s="25">
        <f>(C16+D16)*E7</f>
        <v>434.85</v>
      </c>
      <c r="M16" s="25"/>
      <c r="N16" s="25">
        <f>'[11]HT-DOCENTE'!J15</f>
        <v>0</v>
      </c>
      <c r="O16" s="25">
        <f t="shared" si="5"/>
        <v>6981.585</v>
      </c>
      <c r="P16" s="27">
        <f>IF('[11]Calculo ISR '!$BF$34&lt;0,0,'[11]Calculo ISR '!$BF$34)</f>
        <v>863.77232400000003</v>
      </c>
      <c r="Q16" s="28">
        <f>I16*N6</f>
        <v>625.51125000000002</v>
      </c>
      <c r="R16" s="28">
        <f>'[11]HT-DOCENTE'!P15</f>
        <v>0</v>
      </c>
      <c r="S16" s="28">
        <f>I16*T6</f>
        <v>59.572499999999998</v>
      </c>
      <c r="T16" s="28">
        <v>0</v>
      </c>
      <c r="U16" s="28"/>
      <c r="V16" s="25">
        <f t="shared" si="1"/>
        <v>1548.856074</v>
      </c>
      <c r="W16" s="28">
        <f>IF('[11]Calculo ISR '!$BF$34&gt;0,0,('[11]Calculo ISR '!$BF$34)*-1)</f>
        <v>0</v>
      </c>
      <c r="X16" s="25">
        <f t="shared" si="6"/>
        <v>5056.7689259999997</v>
      </c>
      <c r="Y16" s="25">
        <f t="shared" si="2"/>
        <v>375.96000000000004</v>
      </c>
      <c r="Z16" s="161"/>
      <c r="AA16" s="162"/>
    </row>
    <row r="17" spans="1:28" s="35" customFormat="1" ht="45" customHeight="1">
      <c r="A17" s="21" t="s">
        <v>42</v>
      </c>
      <c r="B17" s="33" t="s">
        <v>43</v>
      </c>
      <c r="C17" s="32">
        <v>2</v>
      </c>
      <c r="D17" s="32">
        <v>0</v>
      </c>
      <c r="E17" s="24">
        <v>305.5</v>
      </c>
      <c r="F17" s="24">
        <v>348.3</v>
      </c>
      <c r="G17" s="24">
        <f t="shared" si="3"/>
        <v>611</v>
      </c>
      <c r="H17" s="24">
        <f t="shared" si="3"/>
        <v>0</v>
      </c>
      <c r="I17" s="25">
        <f t="shared" si="0"/>
        <v>611</v>
      </c>
      <c r="J17" s="25">
        <f t="shared" si="4"/>
        <v>38.56</v>
      </c>
      <c r="K17" s="25">
        <f>(C17+D17)*I6</f>
        <v>21.9</v>
      </c>
      <c r="L17" s="25">
        <f>(C17+D17)*E7*2</f>
        <v>89.2</v>
      </c>
      <c r="M17" s="25"/>
      <c r="N17" s="25">
        <f>'[11]HT-DOCENTE'!J16</f>
        <v>0</v>
      </c>
      <c r="O17" s="25">
        <f t="shared" si="5"/>
        <v>760.66</v>
      </c>
      <c r="P17" s="27">
        <f>IF('[11]Calculo ISR '!$BG$34&lt;0,0,'[11]Calculo ISR '!$BG$34)</f>
        <v>0</v>
      </c>
      <c r="Q17" s="28">
        <f>I17*N6</f>
        <v>64.155000000000001</v>
      </c>
      <c r="R17" s="28">
        <v>0</v>
      </c>
      <c r="S17" s="28">
        <f>I17*T6</f>
        <v>6.11</v>
      </c>
      <c r="T17" s="28">
        <f>'[11]HT-DOCENTE'!R16</f>
        <v>0</v>
      </c>
      <c r="U17" s="28"/>
      <c r="V17" s="25">
        <f t="shared" si="1"/>
        <v>70.265000000000001</v>
      </c>
      <c r="W17" s="28">
        <f>IF('[11]Calculo ISR '!$BG$34&gt;0,0,('[11]Calculo ISR '!$BG$34)*-1)</f>
        <v>165.65343999999999</v>
      </c>
      <c r="X17" s="25">
        <f t="shared" si="6"/>
        <v>817.48844000000008</v>
      </c>
      <c r="Y17" s="25">
        <f t="shared" si="2"/>
        <v>38.56</v>
      </c>
      <c r="Z17" s="161"/>
      <c r="AA17" s="162"/>
    </row>
    <row r="18" spans="1:28" s="35" customFormat="1" ht="45" customHeight="1">
      <c r="A18" s="21" t="s">
        <v>44</v>
      </c>
      <c r="B18" s="33" t="s">
        <v>45</v>
      </c>
      <c r="C18" s="34">
        <v>11</v>
      </c>
      <c r="D18" s="34">
        <v>7.5</v>
      </c>
      <c r="E18" s="24">
        <v>305.5</v>
      </c>
      <c r="F18" s="24">
        <v>348.3</v>
      </c>
      <c r="G18" s="24">
        <f t="shared" si="3"/>
        <v>3360.5</v>
      </c>
      <c r="H18" s="24">
        <f t="shared" si="3"/>
        <v>2612.25</v>
      </c>
      <c r="I18" s="25">
        <f t="shared" si="0"/>
        <v>5972.75</v>
      </c>
      <c r="J18" s="25">
        <f t="shared" si="4"/>
        <v>356.68</v>
      </c>
      <c r="K18" s="25">
        <f>(C18+D18)*I6</f>
        <v>202.57499999999999</v>
      </c>
      <c r="L18" s="25"/>
      <c r="M18" s="25"/>
      <c r="N18" s="25">
        <f>'[11]HT-DOCENTE'!J17</f>
        <v>0</v>
      </c>
      <c r="O18" s="25">
        <f t="shared" si="5"/>
        <v>6532.0050000000001</v>
      </c>
      <c r="P18" s="27">
        <f>IF('[11]Calculo ISR '!$BH$34&lt;0,0,'[11]Calculo ISR '!$BH$34)</f>
        <v>771.86024400000008</v>
      </c>
      <c r="Q18" s="28">
        <f>I18*N6</f>
        <v>627.13874999999996</v>
      </c>
      <c r="R18" s="28">
        <f>'[11]HT-DOCENTE'!P17</f>
        <v>0</v>
      </c>
      <c r="S18" s="28">
        <f>I18*T6</f>
        <v>59.727499999999999</v>
      </c>
      <c r="T18" s="28">
        <f>'[11]HT-DOCENTE'!R17</f>
        <v>0</v>
      </c>
      <c r="U18" s="28"/>
      <c r="V18" s="25">
        <f t="shared" si="1"/>
        <v>1458.726494</v>
      </c>
      <c r="W18" s="28">
        <f>IF('[11]Calculo ISR '!$BH$34&gt;0,0,('[11]Calculo ISR '!$BH$34)*-1)</f>
        <v>0</v>
      </c>
      <c r="X18" s="25">
        <f t="shared" si="6"/>
        <v>4716.5985060000003</v>
      </c>
      <c r="Y18" s="25">
        <f t="shared" si="2"/>
        <v>356.68</v>
      </c>
      <c r="Z18" s="161"/>
      <c r="AA18" s="162"/>
    </row>
    <row r="19" spans="1:28" s="35" customFormat="1" ht="45" customHeight="1">
      <c r="A19" s="21" t="s">
        <v>48</v>
      </c>
      <c r="B19" s="33" t="s">
        <v>49</v>
      </c>
      <c r="C19" s="34">
        <v>19.5</v>
      </c>
      <c r="D19" s="34">
        <v>0</v>
      </c>
      <c r="E19" s="24">
        <v>305.5</v>
      </c>
      <c r="F19" s="24">
        <v>348.3</v>
      </c>
      <c r="G19" s="24">
        <f t="shared" si="3"/>
        <v>5957.25</v>
      </c>
      <c r="H19" s="24">
        <f t="shared" si="3"/>
        <v>0</v>
      </c>
      <c r="I19" s="25">
        <f t="shared" si="0"/>
        <v>5957.25</v>
      </c>
      <c r="J19" s="25">
        <f t="shared" si="4"/>
        <v>375.96000000000004</v>
      </c>
      <c r="K19" s="25">
        <f>(C19+D19)*I6</f>
        <v>213.52499999999998</v>
      </c>
      <c r="L19" s="25"/>
      <c r="M19" s="25"/>
      <c r="N19" s="25">
        <v>0</v>
      </c>
      <c r="O19" s="25">
        <f t="shared" si="5"/>
        <v>6546.7349999999997</v>
      </c>
      <c r="P19" s="27">
        <f>IF('[11]Calculo ISR '!$BJ$34&lt;0,0,'[11]Calculo ISR '!$BJ$34)</f>
        <v>770.88836400000002</v>
      </c>
      <c r="Q19" s="28">
        <f>I19*N6</f>
        <v>625.51125000000002</v>
      </c>
      <c r="R19" s="28">
        <f>'[11]HT-DOCENTE'!P19</f>
        <v>0</v>
      </c>
      <c r="S19" s="28">
        <f>I19*T6</f>
        <v>59.572499999999998</v>
      </c>
      <c r="T19" s="28">
        <f>'[11]HT-DOCENTE'!R19</f>
        <v>0</v>
      </c>
      <c r="U19" s="28"/>
      <c r="V19" s="25">
        <f t="shared" si="1"/>
        <v>1455.9721139999999</v>
      </c>
      <c r="W19" s="28">
        <f>IF('[11]Calculo ISR '!$BJ$34&gt;0,0,('[11]Calculo ISR '!$BJ$34)*-1)</f>
        <v>0</v>
      </c>
      <c r="X19" s="25">
        <f t="shared" si="6"/>
        <v>4714.8028859999995</v>
      </c>
      <c r="Y19" s="25">
        <f t="shared" si="2"/>
        <v>375.96000000000004</v>
      </c>
      <c r="Z19" s="161"/>
      <c r="AA19" s="162"/>
    </row>
    <row r="20" spans="1:28" s="35" customFormat="1" ht="45" customHeight="1">
      <c r="A20" s="21" t="s">
        <v>50</v>
      </c>
      <c r="B20" s="33" t="s">
        <v>51</v>
      </c>
      <c r="C20" s="34">
        <v>18.5</v>
      </c>
      <c r="D20" s="34">
        <v>0</v>
      </c>
      <c r="E20" s="24">
        <v>305.5</v>
      </c>
      <c r="F20" s="24">
        <v>348.3</v>
      </c>
      <c r="G20" s="24">
        <f t="shared" si="3"/>
        <v>5651.75</v>
      </c>
      <c r="H20" s="24">
        <f t="shared" si="3"/>
        <v>0</v>
      </c>
      <c r="I20" s="25">
        <f t="shared" si="0"/>
        <v>5651.75</v>
      </c>
      <c r="J20" s="25">
        <f t="shared" si="4"/>
        <v>356.68</v>
      </c>
      <c r="K20" s="25">
        <f>(C20+D20)*I6</f>
        <v>202.57499999999999</v>
      </c>
      <c r="L20" s="25"/>
      <c r="M20" s="25"/>
      <c r="N20" s="25">
        <v>0</v>
      </c>
      <c r="O20" s="25">
        <f t="shared" si="5"/>
        <v>6211.0050000000001</v>
      </c>
      <c r="P20" s="27">
        <f>IF('[11]Calculo ISR '!$BK$34&lt;0,0,'[11]Calculo ISR '!$BK$34)</f>
        <v>703.29464400000006</v>
      </c>
      <c r="Q20" s="28">
        <f>I20*N6</f>
        <v>593.43375000000003</v>
      </c>
      <c r="R20" s="28">
        <v>1570</v>
      </c>
      <c r="S20" s="28">
        <f>I20*T6</f>
        <v>56.517499999999998</v>
      </c>
      <c r="T20" s="28"/>
      <c r="U20" s="28"/>
      <c r="V20" s="25">
        <f t="shared" si="1"/>
        <v>2923.2458940000001</v>
      </c>
      <c r="W20" s="28">
        <f>IF('[11]Calculo ISR '!$BK$34&gt;0,0,('[11]Calculo ISR '!$BK$34)*-1)</f>
        <v>0</v>
      </c>
      <c r="X20" s="25">
        <f t="shared" si="6"/>
        <v>2931.0791060000001</v>
      </c>
      <c r="Y20" s="25">
        <f t="shared" si="2"/>
        <v>356.68</v>
      </c>
      <c r="Z20" s="161"/>
      <c r="AA20" s="162"/>
    </row>
    <row r="21" spans="1:28" s="35" customFormat="1" ht="45" customHeight="1">
      <c r="A21" s="21" t="s">
        <v>52</v>
      </c>
      <c r="B21" s="33" t="s">
        <v>53</v>
      </c>
      <c r="C21" s="34">
        <v>19.5</v>
      </c>
      <c r="D21" s="34">
        <v>0</v>
      </c>
      <c r="E21" s="24">
        <v>305.5</v>
      </c>
      <c r="F21" s="24">
        <v>348.3</v>
      </c>
      <c r="G21" s="24">
        <f t="shared" si="3"/>
        <v>5957.25</v>
      </c>
      <c r="H21" s="24">
        <f t="shared" si="3"/>
        <v>0</v>
      </c>
      <c r="I21" s="25">
        <f t="shared" si="0"/>
        <v>5957.25</v>
      </c>
      <c r="J21" s="25">
        <f t="shared" si="4"/>
        <v>375.96000000000004</v>
      </c>
      <c r="K21" s="25">
        <f>(C21+D21)*I6</f>
        <v>213.52499999999998</v>
      </c>
      <c r="L21" s="25"/>
      <c r="M21" s="25"/>
      <c r="N21" s="25">
        <v>0</v>
      </c>
      <c r="O21" s="25">
        <f t="shared" si="5"/>
        <v>6546.7349999999997</v>
      </c>
      <c r="P21" s="27">
        <f>IF('[11]Calculo ISR '!$BL$34&lt;0,0,'[11]Calculo ISR '!$BL$34)</f>
        <v>770.88836400000002</v>
      </c>
      <c r="Q21" s="28">
        <f>I21*N6</f>
        <v>625.51125000000002</v>
      </c>
      <c r="R21" s="28">
        <f>'[11]HT-DOCENTE'!P21</f>
        <v>0</v>
      </c>
      <c r="S21" s="28">
        <f>I21*T6</f>
        <v>59.572499999999998</v>
      </c>
      <c r="T21" s="28"/>
      <c r="U21" s="28"/>
      <c r="V21" s="25">
        <f t="shared" si="1"/>
        <v>1455.9721139999999</v>
      </c>
      <c r="W21" s="28">
        <f>IF('[11]Calculo ISR '!$BL$34&gt;0,0,('[11]Calculo ISR '!$BL$34)*-1)</f>
        <v>0</v>
      </c>
      <c r="X21" s="25">
        <f t="shared" si="6"/>
        <v>4714.8028859999995</v>
      </c>
      <c r="Y21" s="25">
        <f t="shared" si="2"/>
        <v>375.96000000000004</v>
      </c>
      <c r="Z21" s="161"/>
      <c r="AA21" s="162"/>
    </row>
    <row r="22" spans="1:28" s="35" customFormat="1" ht="45" customHeight="1">
      <c r="A22" s="21" t="s">
        <v>54</v>
      </c>
      <c r="B22" s="33" t="s">
        <v>55</v>
      </c>
      <c r="C22" s="34">
        <v>19.5</v>
      </c>
      <c r="D22" s="34">
        <v>0</v>
      </c>
      <c r="E22" s="24">
        <v>305.5</v>
      </c>
      <c r="F22" s="24">
        <v>348.3</v>
      </c>
      <c r="G22" s="24">
        <f t="shared" si="3"/>
        <v>5957.25</v>
      </c>
      <c r="H22" s="24">
        <f t="shared" si="3"/>
        <v>0</v>
      </c>
      <c r="I22" s="25">
        <f t="shared" si="0"/>
        <v>5957.25</v>
      </c>
      <c r="J22" s="25">
        <f t="shared" si="4"/>
        <v>375.96000000000004</v>
      </c>
      <c r="K22" s="25">
        <f>(C22+D22)*I6</f>
        <v>213.52499999999998</v>
      </c>
      <c r="L22" s="25"/>
      <c r="M22" s="25"/>
      <c r="N22" s="25">
        <v>0</v>
      </c>
      <c r="O22" s="25">
        <f t="shared" si="5"/>
        <v>6546.7349999999997</v>
      </c>
      <c r="P22" s="27">
        <f>IF('[11]Calculo ISR '!$BM$34&lt;0,0,'[11]Calculo ISR '!$BM$34)</f>
        <v>770.88836400000002</v>
      </c>
      <c r="Q22" s="28">
        <f>I22*N6</f>
        <v>625.51125000000002</v>
      </c>
      <c r="R22" s="28">
        <v>1324</v>
      </c>
      <c r="S22" s="28">
        <f>I22*T6</f>
        <v>59.572499999999998</v>
      </c>
      <c r="T22" s="28">
        <f>'[11]HT-DOCENTE'!R22</f>
        <v>0</v>
      </c>
      <c r="U22" s="28"/>
      <c r="V22" s="25">
        <f t="shared" si="1"/>
        <v>2779.9721140000001</v>
      </c>
      <c r="W22" s="28">
        <f>IF('[11]Calculo ISR '!$BM$34&gt;0,0,('[11]Calculo ISR '!$BM$34)*-1)</f>
        <v>0</v>
      </c>
      <c r="X22" s="25">
        <f t="shared" si="6"/>
        <v>3390.8028859999995</v>
      </c>
      <c r="Y22" s="25">
        <f t="shared" si="2"/>
        <v>375.96000000000004</v>
      </c>
      <c r="Z22" s="161"/>
      <c r="AA22" s="162"/>
    </row>
    <row r="23" spans="1:28" s="35" customFormat="1" ht="45" customHeight="1">
      <c r="A23" s="21" t="s">
        <v>56</v>
      </c>
      <c r="B23" s="33" t="s">
        <v>57</v>
      </c>
      <c r="C23" s="34">
        <v>19</v>
      </c>
      <c r="D23" s="34">
        <v>0</v>
      </c>
      <c r="E23" s="24">
        <v>305.5</v>
      </c>
      <c r="F23" s="24">
        <v>348.3</v>
      </c>
      <c r="G23" s="24">
        <f t="shared" si="3"/>
        <v>5804.5</v>
      </c>
      <c r="H23" s="24">
        <f t="shared" si="3"/>
        <v>0</v>
      </c>
      <c r="I23" s="25">
        <f t="shared" si="0"/>
        <v>5804.5</v>
      </c>
      <c r="J23" s="25">
        <f t="shared" si="4"/>
        <v>366.32000000000005</v>
      </c>
      <c r="K23" s="25">
        <f>(C23+D23)*I6</f>
        <v>208.04999999999998</v>
      </c>
      <c r="L23" s="25">
        <f>(C23+D23)*E7</f>
        <v>423.7</v>
      </c>
      <c r="M23" s="25"/>
      <c r="N23" s="25">
        <v>0</v>
      </c>
      <c r="O23" s="25">
        <f t="shared" si="5"/>
        <v>6802.57</v>
      </c>
      <c r="P23" s="27">
        <f>IF('[11]Calculo ISR '!$BN$34&lt;0,0,'[11]Calculo ISR '!$BN$34)</f>
        <v>827.59382400000004</v>
      </c>
      <c r="Q23" s="28">
        <f>I23*N6</f>
        <v>609.47249999999997</v>
      </c>
      <c r="R23" s="28">
        <f>'[11]HT-DOCENTE'!P23</f>
        <v>0</v>
      </c>
      <c r="S23" s="28">
        <f>I23*T6</f>
        <v>58.045000000000002</v>
      </c>
      <c r="T23" s="28">
        <f>'[11]HT-DOCENTE'!R23</f>
        <v>0</v>
      </c>
      <c r="U23" s="30">
        <f>[11]descuentos!D7</f>
        <v>76.375</v>
      </c>
      <c r="V23" s="25">
        <f t="shared" si="1"/>
        <v>1571.486324</v>
      </c>
      <c r="W23" s="28">
        <f>IF('[11]Calculo ISR '!$BN$34&gt;0,0,('[11]Calculo ISR '!$BN$34)*-1)</f>
        <v>0</v>
      </c>
      <c r="X23" s="25">
        <f t="shared" si="6"/>
        <v>4864.7636760000005</v>
      </c>
      <c r="Y23" s="25">
        <f t="shared" si="2"/>
        <v>366.32000000000005</v>
      </c>
      <c r="Z23" s="161"/>
      <c r="AA23" s="162"/>
    </row>
    <row r="24" spans="1:28" s="35" customFormat="1" ht="45" customHeight="1">
      <c r="A24" s="21" t="s">
        <v>58</v>
      </c>
      <c r="B24" s="33" t="s">
        <v>59</v>
      </c>
      <c r="C24" s="34">
        <v>11</v>
      </c>
      <c r="D24" s="34">
        <v>0</v>
      </c>
      <c r="E24" s="24">
        <v>305.5</v>
      </c>
      <c r="F24" s="24">
        <v>348.3</v>
      </c>
      <c r="G24" s="24">
        <f t="shared" si="3"/>
        <v>3360.5</v>
      </c>
      <c r="H24" s="24">
        <f t="shared" si="3"/>
        <v>0</v>
      </c>
      <c r="I24" s="25">
        <f t="shared" si="0"/>
        <v>3360.5</v>
      </c>
      <c r="J24" s="25">
        <f t="shared" si="4"/>
        <v>212.08</v>
      </c>
      <c r="K24" s="25">
        <f>(C24+D24)*I6</f>
        <v>120.44999999999999</v>
      </c>
      <c r="L24" s="25"/>
      <c r="M24" s="25"/>
      <c r="N24" s="25"/>
      <c r="O24" s="25">
        <f t="shared" si="5"/>
        <v>3693.0299999999997</v>
      </c>
      <c r="P24" s="27">
        <f>IF('[11]Calculo ISR '!$BO$34&lt;0,0,'[11]Calculo ISR '!$BO$34)</f>
        <v>149.54427199999995</v>
      </c>
      <c r="Q24" s="28">
        <f>I24*N6</f>
        <v>352.85249999999996</v>
      </c>
      <c r="R24" s="28">
        <v>707</v>
      </c>
      <c r="S24" s="28">
        <f>I24*T6</f>
        <v>33.605000000000004</v>
      </c>
      <c r="T24" s="28"/>
      <c r="U24" s="28"/>
      <c r="V24" s="25">
        <f>P24+Q24+R24+S24+U24+T24</f>
        <v>1243.0017720000001</v>
      </c>
      <c r="W24" s="28">
        <f>IF('[11]Calculo ISR '!$BO$34&gt;0,0,('[11]Calculo ISR '!$BO$34)*-1)</f>
        <v>0</v>
      </c>
      <c r="X24" s="25">
        <f>O24-V24-Y24+W24</f>
        <v>2237.9482279999997</v>
      </c>
      <c r="Y24" s="25">
        <f t="shared" si="2"/>
        <v>212.08</v>
      </c>
      <c r="Z24" s="161"/>
      <c r="AA24" s="162"/>
    </row>
    <row r="25" spans="1:28" s="35" customFormat="1" ht="45" customHeight="1">
      <c r="A25" s="21" t="s">
        <v>60</v>
      </c>
      <c r="B25" s="33" t="s">
        <v>100</v>
      </c>
      <c r="C25" s="34">
        <v>18.5</v>
      </c>
      <c r="D25" s="34"/>
      <c r="E25" s="24">
        <v>305.5</v>
      </c>
      <c r="F25" s="24">
        <v>348.3</v>
      </c>
      <c r="G25" s="24">
        <f t="shared" si="3"/>
        <v>5651.75</v>
      </c>
      <c r="H25" s="24">
        <f t="shared" si="3"/>
        <v>0</v>
      </c>
      <c r="I25" s="25">
        <f t="shared" si="0"/>
        <v>5651.75</v>
      </c>
      <c r="J25" s="25">
        <f t="shared" si="4"/>
        <v>356.68</v>
      </c>
      <c r="K25" s="25">
        <f>(C25+D25)*I6</f>
        <v>202.57499999999999</v>
      </c>
      <c r="L25" s="25"/>
      <c r="M25" s="25"/>
      <c r="N25" s="25"/>
      <c r="O25" s="25">
        <f t="shared" si="5"/>
        <v>6211.0050000000001</v>
      </c>
      <c r="P25" s="27">
        <f>IF('[11]Calculo ISR '!$BP$34&lt;0,0,'[11]Calculo ISR '!$BP$34)</f>
        <v>703.29464400000006</v>
      </c>
      <c r="Q25" s="28">
        <f>I25*N6</f>
        <v>593.43375000000003</v>
      </c>
      <c r="R25" s="28"/>
      <c r="S25" s="28"/>
      <c r="T25" s="28"/>
      <c r="U25" s="28"/>
      <c r="V25" s="25">
        <f>P25+Q25+R25+S25+T25+U25</f>
        <v>1296.7283940000002</v>
      </c>
      <c r="W25" s="28">
        <f>IF('[11]Calculo ISR '!$BP$34&gt;0,0,('[11]Calculo ISR '!$BP$34)*-1)</f>
        <v>0</v>
      </c>
      <c r="X25" s="25">
        <f>O25-V25-Y25+W25</f>
        <v>4557.5966059999992</v>
      </c>
      <c r="Y25" s="25">
        <f t="shared" si="2"/>
        <v>356.68</v>
      </c>
      <c r="Z25" s="161"/>
      <c r="AA25" s="162"/>
    </row>
    <row r="26" spans="1:28" s="35" customFormat="1" ht="45" customHeight="1">
      <c r="A26" s="21" t="s">
        <v>62</v>
      </c>
      <c r="B26" s="33" t="s">
        <v>63</v>
      </c>
      <c r="C26" s="34">
        <v>17.5</v>
      </c>
      <c r="D26" s="34">
        <v>0</v>
      </c>
      <c r="E26" s="24">
        <v>305.5</v>
      </c>
      <c r="F26" s="24">
        <v>348.3</v>
      </c>
      <c r="G26" s="24">
        <f t="shared" si="3"/>
        <v>5346.25</v>
      </c>
      <c r="H26" s="24">
        <f t="shared" si="3"/>
        <v>0</v>
      </c>
      <c r="I26" s="25">
        <f t="shared" si="0"/>
        <v>5346.25</v>
      </c>
      <c r="J26" s="25">
        <f t="shared" si="4"/>
        <v>337.40000000000003</v>
      </c>
      <c r="K26" s="25">
        <f>(C26+D26)*I6</f>
        <v>191.625</v>
      </c>
      <c r="L26" s="25"/>
      <c r="M26" s="25"/>
      <c r="N26" s="25">
        <v>0</v>
      </c>
      <c r="O26" s="25">
        <f t="shared" si="5"/>
        <v>5875.2749999999996</v>
      </c>
      <c r="P26" s="27">
        <f>IF('[11]Calculo ISR '!$BQ$34&lt;0,0,'[11]Calculo ISR '!$BQ$34)</f>
        <v>635.7009240000001</v>
      </c>
      <c r="Q26" s="28">
        <f>I26*N6</f>
        <v>561.35624999999993</v>
      </c>
      <c r="R26" s="28"/>
      <c r="S26" s="28">
        <f>I26*T6</f>
        <v>53.462499999999999</v>
      </c>
      <c r="T26" s="28"/>
      <c r="U26" s="28"/>
      <c r="V26" s="25">
        <f>P26+Q26+R26+S26+T26+U26</f>
        <v>1250.5196740000001</v>
      </c>
      <c r="W26" s="28">
        <f>IF('[11]Calculo ISR '!$BQ$34&gt;0,0,('[11]Calculo ISR '!$BQ$34)*-1)</f>
        <v>0</v>
      </c>
      <c r="X26" s="25">
        <f>O26-V26+W26-Y26</f>
        <v>4287.3553259999999</v>
      </c>
      <c r="Y26" s="25">
        <f t="shared" si="2"/>
        <v>337.40000000000003</v>
      </c>
      <c r="Z26" s="161"/>
      <c r="AA26" s="162"/>
    </row>
    <row r="27" spans="1:28" s="35" customFormat="1" ht="45" customHeight="1">
      <c r="A27" s="21" t="s">
        <v>64</v>
      </c>
      <c r="B27" s="33" t="s">
        <v>65</v>
      </c>
      <c r="C27" s="34">
        <v>17</v>
      </c>
      <c r="D27" s="34">
        <v>0</v>
      </c>
      <c r="E27" s="24">
        <v>305.5</v>
      </c>
      <c r="F27" s="24">
        <v>348.3</v>
      </c>
      <c r="G27" s="24">
        <f t="shared" si="3"/>
        <v>5193.5</v>
      </c>
      <c r="H27" s="24">
        <f t="shared" si="3"/>
        <v>0</v>
      </c>
      <c r="I27" s="25">
        <f t="shared" si="0"/>
        <v>5193.5</v>
      </c>
      <c r="J27" s="25">
        <f t="shared" si="4"/>
        <v>327.76</v>
      </c>
      <c r="K27" s="25">
        <f>(C27+D27)*I6</f>
        <v>186.14999999999998</v>
      </c>
      <c r="L27" s="25"/>
      <c r="M27" s="25"/>
      <c r="N27" s="25">
        <v>0</v>
      </c>
      <c r="O27" s="25">
        <f t="shared" si="5"/>
        <v>5707.41</v>
      </c>
      <c r="P27" s="27">
        <f>IF('[11]Calculo ISR '!$BR$34&lt;0,0,'[11]Calculo ISR '!$BR$34)</f>
        <v>601.90406400000006</v>
      </c>
      <c r="Q27" s="28">
        <f>I27*N6</f>
        <v>545.3175</v>
      </c>
      <c r="R27" s="28"/>
      <c r="S27" s="28"/>
      <c r="T27" s="28"/>
      <c r="U27" s="28"/>
      <c r="V27" s="25">
        <f t="shared" ref="V27:V30" si="7">P27+Q27+R27+S27+T27+U27</f>
        <v>1147.2215639999999</v>
      </c>
      <c r="W27" s="28">
        <f>IF('[11]Calculo ISR '!$BR$34&gt;0,0,('[11]Calculo ISR '!$BR$34)*-1)</f>
        <v>0</v>
      </c>
      <c r="X27" s="25">
        <f t="shared" ref="X27:X38" si="8">O27-V27+W27-Y27</f>
        <v>4232.4284360000001</v>
      </c>
      <c r="Y27" s="25">
        <f t="shared" si="2"/>
        <v>327.76</v>
      </c>
      <c r="Z27" s="161"/>
      <c r="AA27" s="162"/>
    </row>
    <row r="28" spans="1:28" s="35" customFormat="1" ht="45" customHeight="1">
      <c r="A28" s="21" t="s">
        <v>66</v>
      </c>
      <c r="B28" s="36" t="s">
        <v>67</v>
      </c>
      <c r="C28" s="34">
        <v>11.5</v>
      </c>
      <c r="D28" s="34">
        <v>0</v>
      </c>
      <c r="E28" s="24">
        <v>305.5</v>
      </c>
      <c r="F28" s="24">
        <v>348.3</v>
      </c>
      <c r="G28" s="24">
        <f t="shared" si="3"/>
        <v>3513.25</v>
      </c>
      <c r="H28" s="24">
        <f t="shared" si="3"/>
        <v>0</v>
      </c>
      <c r="I28" s="25">
        <f t="shared" si="0"/>
        <v>3513.25</v>
      </c>
      <c r="J28" s="25">
        <f t="shared" si="4"/>
        <v>221.72000000000003</v>
      </c>
      <c r="K28" s="25">
        <f>(C28+D28)*I6</f>
        <v>125.925</v>
      </c>
      <c r="L28" s="25"/>
      <c r="M28" s="25"/>
      <c r="N28" s="25">
        <v>0</v>
      </c>
      <c r="O28" s="25">
        <f t="shared" si="5"/>
        <v>3860.8950000000004</v>
      </c>
      <c r="P28" s="27">
        <f>IF('[11]Calculo ISR '!$BS$34&lt;0,0,'[11]Calculo ISR '!$BS$34)</f>
        <v>184.45915199999999</v>
      </c>
      <c r="Q28" s="28">
        <f>I28*N6</f>
        <v>368.89125000000001</v>
      </c>
      <c r="R28" s="28"/>
      <c r="S28" s="28"/>
      <c r="T28" s="28"/>
      <c r="U28" s="28"/>
      <c r="V28" s="25">
        <f t="shared" si="7"/>
        <v>553.35040200000003</v>
      </c>
      <c r="W28" s="28">
        <f>IF('[11]Calculo ISR '!$BS$34&gt;0,0,('[11]Calculo ISR '!$BS$34)*-1)</f>
        <v>0</v>
      </c>
      <c r="X28" s="25">
        <f t="shared" si="8"/>
        <v>3085.8245980000002</v>
      </c>
      <c r="Y28" s="25">
        <f t="shared" si="2"/>
        <v>221.72000000000003</v>
      </c>
      <c r="Z28" s="161"/>
      <c r="AA28" s="162"/>
    </row>
    <row r="29" spans="1:28" s="35" customFormat="1" ht="45" customHeight="1">
      <c r="A29" s="21" t="s">
        <v>68</v>
      </c>
      <c r="B29" s="33" t="s">
        <v>69</v>
      </c>
      <c r="C29" s="34">
        <v>10.5</v>
      </c>
      <c r="D29" s="34">
        <v>0</v>
      </c>
      <c r="E29" s="24">
        <v>305.5</v>
      </c>
      <c r="F29" s="24">
        <v>348.3</v>
      </c>
      <c r="G29" s="24">
        <f t="shared" si="3"/>
        <v>3207.75</v>
      </c>
      <c r="H29" s="24">
        <f t="shared" si="3"/>
        <v>0</v>
      </c>
      <c r="I29" s="25">
        <f t="shared" si="0"/>
        <v>3207.75</v>
      </c>
      <c r="J29" s="25">
        <f t="shared" si="4"/>
        <v>202.44</v>
      </c>
      <c r="K29" s="25">
        <f>(C29+D29)*I6</f>
        <v>114.97499999999999</v>
      </c>
      <c r="L29" s="25"/>
      <c r="M29" s="25"/>
      <c r="N29" s="25">
        <v>0</v>
      </c>
      <c r="O29" s="25">
        <f t="shared" si="5"/>
        <v>3525.165</v>
      </c>
      <c r="P29" s="27">
        <f>IF('[11]Calculo ISR '!$BT$34&lt;0,0,'[11]Calculo ISR '!$BT$34)</f>
        <v>132.32939199999996</v>
      </c>
      <c r="Q29" s="28">
        <f>I29*N6</f>
        <v>336.81374999999997</v>
      </c>
      <c r="R29" s="28"/>
      <c r="S29" s="28"/>
      <c r="T29" s="28"/>
      <c r="U29" s="28"/>
      <c r="V29" s="25">
        <f>P29+Q29+R29+S29+T29+U29</f>
        <v>469.1431419999999</v>
      </c>
      <c r="W29" s="28">
        <f>IF('[11]Calculo ISR '!$BT$34&gt;0,0,('[11]Calculo ISR '!$BT$34)*-1)</f>
        <v>0</v>
      </c>
      <c r="X29" s="25">
        <f>O29-V29+W29-Y29</f>
        <v>2853.581858</v>
      </c>
      <c r="Y29" s="25">
        <f t="shared" si="2"/>
        <v>202.44</v>
      </c>
      <c r="Z29" s="161"/>
      <c r="AA29" s="162"/>
    </row>
    <row r="30" spans="1:28" s="35" customFormat="1" ht="45" customHeight="1">
      <c r="A30" s="21" t="s">
        <v>70</v>
      </c>
      <c r="B30" s="33" t="s">
        <v>71</v>
      </c>
      <c r="C30" s="34">
        <v>9.5</v>
      </c>
      <c r="D30" s="34">
        <v>0</v>
      </c>
      <c r="E30" s="24">
        <v>305.5</v>
      </c>
      <c r="F30" s="24">
        <v>348.3</v>
      </c>
      <c r="G30" s="24">
        <f t="shared" si="3"/>
        <v>2902.25</v>
      </c>
      <c r="H30" s="24">
        <f t="shared" si="3"/>
        <v>0</v>
      </c>
      <c r="I30" s="25">
        <f t="shared" si="0"/>
        <v>2902.25</v>
      </c>
      <c r="J30" s="25">
        <f t="shared" si="4"/>
        <v>183.16000000000003</v>
      </c>
      <c r="K30" s="25">
        <f>(C30+D30)*I6</f>
        <v>104.02499999999999</v>
      </c>
      <c r="L30" s="25"/>
      <c r="M30" s="25"/>
      <c r="N30" s="25"/>
      <c r="O30" s="25">
        <f t="shared" si="5"/>
        <v>3189.4349999999999</v>
      </c>
      <c r="P30" s="27">
        <f>IF('[11]Calculo ISR '!$BU$34&lt;0,0,'[11]Calculo ISR '!$BU$34)</f>
        <v>77.649631999999968</v>
      </c>
      <c r="Q30" s="28">
        <f>I30*N6</f>
        <v>304.73624999999998</v>
      </c>
      <c r="R30" s="28"/>
      <c r="S30" s="28"/>
      <c r="T30" s="28"/>
      <c r="U30" s="28"/>
      <c r="V30" s="25">
        <f t="shared" si="7"/>
        <v>382.38588199999992</v>
      </c>
      <c r="W30" s="28">
        <f>IF('[11]Calculo ISR '!$BU$34&gt;0,0,('[11]Calculo ISR '!$BU$34)*-1)</f>
        <v>0</v>
      </c>
      <c r="X30" s="25">
        <f t="shared" si="8"/>
        <v>2623.8891180000001</v>
      </c>
      <c r="Y30" s="25">
        <f t="shared" si="2"/>
        <v>183.16000000000003</v>
      </c>
      <c r="Z30" s="161"/>
      <c r="AA30" s="162"/>
    </row>
    <row r="31" spans="1:28" s="35" customFormat="1" ht="45" customHeight="1">
      <c r="A31" s="21" t="s">
        <v>72</v>
      </c>
      <c r="B31" s="33" t="s">
        <v>73</v>
      </c>
      <c r="C31" s="34">
        <v>10</v>
      </c>
      <c r="D31" s="34">
        <v>0</v>
      </c>
      <c r="E31" s="24">
        <v>305.5</v>
      </c>
      <c r="F31" s="24">
        <v>348.3</v>
      </c>
      <c r="G31" s="24">
        <f t="shared" si="3"/>
        <v>3055</v>
      </c>
      <c r="H31" s="24">
        <f t="shared" si="3"/>
        <v>0</v>
      </c>
      <c r="I31" s="25">
        <f t="shared" si="0"/>
        <v>3055</v>
      </c>
      <c r="J31" s="25">
        <f t="shared" si="4"/>
        <v>192.8</v>
      </c>
      <c r="K31" s="25">
        <f>(C31+D31)*I6</f>
        <v>109.5</v>
      </c>
      <c r="L31" s="25"/>
      <c r="M31" s="25"/>
      <c r="N31" s="25"/>
      <c r="O31" s="25">
        <f t="shared" si="5"/>
        <v>3357.3</v>
      </c>
      <c r="P31" s="27">
        <f>IF('[11]Calculo ISR '!$BV$34&lt;0,0,'[11]Calculo ISR '!$BV$34)</f>
        <v>115.11451199999996</v>
      </c>
      <c r="Q31" s="28">
        <f>I31*N6</f>
        <v>320.77499999999998</v>
      </c>
      <c r="R31" s="28"/>
      <c r="S31" s="28"/>
      <c r="T31" s="28"/>
      <c r="U31" s="28"/>
      <c r="V31" s="25">
        <f>P31+Q31+R31+S31+T31+U31</f>
        <v>435.88951199999997</v>
      </c>
      <c r="W31" s="28">
        <f>IF('[11]Calculo ISR '!$BV$34&gt;0,0,('[11]Calculo ISR '!$BV$34)*-1)</f>
        <v>0</v>
      </c>
      <c r="X31" s="25">
        <f t="shared" si="8"/>
        <v>2728.6104880000003</v>
      </c>
      <c r="Y31" s="25">
        <f t="shared" si="2"/>
        <v>192.8</v>
      </c>
      <c r="Z31" s="184"/>
      <c r="AA31" s="185"/>
      <c r="AB31" s="70"/>
    </row>
    <row r="32" spans="1:28" s="35" customFormat="1" ht="45" customHeight="1">
      <c r="A32" s="21" t="s">
        <v>94</v>
      </c>
      <c r="B32" s="33" t="s">
        <v>101</v>
      </c>
      <c r="C32" s="34">
        <v>14.5</v>
      </c>
      <c r="D32" s="34">
        <v>0</v>
      </c>
      <c r="E32" s="24">
        <v>305.5</v>
      </c>
      <c r="F32" s="24">
        <v>348.3</v>
      </c>
      <c r="G32" s="24">
        <f t="shared" si="3"/>
        <v>4429.75</v>
      </c>
      <c r="H32" s="24">
        <f t="shared" si="3"/>
        <v>0</v>
      </c>
      <c r="I32" s="25">
        <f t="shared" si="0"/>
        <v>4429.75</v>
      </c>
      <c r="J32" s="25">
        <f t="shared" si="4"/>
        <v>279.56</v>
      </c>
      <c r="K32" s="25">
        <f>(C32+D32)*I6</f>
        <v>158.77499999999998</v>
      </c>
      <c r="L32" s="25"/>
      <c r="M32" s="25"/>
      <c r="N32" s="25"/>
      <c r="O32" s="25">
        <f t="shared" si="5"/>
        <v>4868.085</v>
      </c>
      <c r="P32" s="27">
        <f>IF('[11]Calculo ISR '!$BW$34&lt;0,0,'[11]Calculo ISR '!$BW$34)</f>
        <v>449.76916800000004</v>
      </c>
      <c r="Q32" s="28">
        <f>I32*10.5%</f>
        <v>465.12374999999997</v>
      </c>
      <c r="R32" s="28"/>
      <c r="S32" s="28"/>
      <c r="T32" s="28"/>
      <c r="U32" s="28"/>
      <c r="V32" s="25">
        <f>P32+Q32+R32+S32+T32+U32</f>
        <v>914.89291800000001</v>
      </c>
      <c r="W32" s="28">
        <f>IF('[11]Calculo ISR '!$BW$34&gt;0,0,('[11]Calculo ISR '!$BW$34)*-1)</f>
        <v>0</v>
      </c>
      <c r="X32" s="25">
        <f t="shared" si="8"/>
        <v>3673.6320820000001</v>
      </c>
      <c r="Y32" s="71">
        <f t="shared" si="2"/>
        <v>279.56</v>
      </c>
      <c r="Z32" s="132"/>
      <c r="AA32" s="73"/>
      <c r="AB32" s="70"/>
    </row>
    <row r="33" spans="1:31" s="35" customFormat="1" ht="45" customHeight="1">
      <c r="A33" s="21" t="s">
        <v>96</v>
      </c>
      <c r="B33" s="33" t="s">
        <v>102</v>
      </c>
      <c r="C33" s="34">
        <v>7.5</v>
      </c>
      <c r="D33" s="34">
        <v>0</v>
      </c>
      <c r="E33" s="24">
        <v>305.5</v>
      </c>
      <c r="F33" s="24">
        <v>348.3</v>
      </c>
      <c r="G33" s="24">
        <f t="shared" si="3"/>
        <v>2291.25</v>
      </c>
      <c r="H33" s="24">
        <f t="shared" si="3"/>
        <v>0</v>
      </c>
      <c r="I33" s="25">
        <f t="shared" si="0"/>
        <v>2291.25</v>
      </c>
      <c r="J33" s="25">
        <f t="shared" si="4"/>
        <v>144.60000000000002</v>
      </c>
      <c r="K33" s="25">
        <f>(C33+D33)*I6</f>
        <v>82.125</v>
      </c>
      <c r="L33" s="25"/>
      <c r="M33" s="25"/>
      <c r="N33" s="25"/>
      <c r="O33" s="25">
        <f t="shared" si="5"/>
        <v>2517.9749999999999</v>
      </c>
      <c r="P33" s="27">
        <f>IF('[11]Calculo ISR '!$BX$34&lt;0,0,'[11]Calculo ISR '!$BX$34)</f>
        <v>0</v>
      </c>
      <c r="Q33" s="28">
        <f>I33*10.5%</f>
        <v>240.58124999999998</v>
      </c>
      <c r="R33" s="28"/>
      <c r="S33" s="28"/>
      <c r="T33" s="28"/>
      <c r="U33" s="28"/>
      <c r="V33" s="25">
        <f>P33+Q33+R33+S33+T33+U33</f>
        <v>240.58124999999998</v>
      </c>
      <c r="W33" s="28">
        <f>IF('[11]Calculo ISR '!$BX$34&gt;0,0,('[11]Calculo ISR '!$BX$34)*-1)</f>
        <v>6.2098880000000065</v>
      </c>
      <c r="X33" s="25">
        <f t="shared" si="8"/>
        <v>2139.0036379999997</v>
      </c>
      <c r="Y33" s="71">
        <f t="shared" si="2"/>
        <v>144.60000000000002</v>
      </c>
      <c r="Z33" s="132"/>
      <c r="AA33" s="73"/>
      <c r="AB33" s="70"/>
    </row>
    <row r="34" spans="1:31" s="35" customFormat="1" ht="45" customHeight="1">
      <c r="A34" s="21" t="s">
        <v>103</v>
      </c>
      <c r="B34" s="33" t="s">
        <v>104</v>
      </c>
      <c r="C34" s="34">
        <v>5</v>
      </c>
      <c r="D34" s="34">
        <v>0</v>
      </c>
      <c r="E34" s="24">
        <v>305.5</v>
      </c>
      <c r="F34" s="24">
        <v>348.3</v>
      </c>
      <c r="G34" s="24">
        <f t="shared" si="3"/>
        <v>1527.5</v>
      </c>
      <c r="H34" s="24">
        <f t="shared" si="3"/>
        <v>0</v>
      </c>
      <c r="I34" s="25">
        <f t="shared" si="0"/>
        <v>1527.5</v>
      </c>
      <c r="J34" s="25">
        <f t="shared" si="4"/>
        <v>96.4</v>
      </c>
      <c r="K34" s="25">
        <f>(C34+D34)*I6</f>
        <v>54.75</v>
      </c>
      <c r="L34" s="25"/>
      <c r="M34" s="25"/>
      <c r="N34" s="25"/>
      <c r="O34" s="25">
        <f t="shared" si="5"/>
        <v>1678.65</v>
      </c>
      <c r="P34" s="27">
        <f>IF('[11]Calculo ISR '!$BY$34&lt;0,0,'[11]Calculo ISR '!$BY$34)</f>
        <v>0</v>
      </c>
      <c r="Q34" s="28">
        <f t="shared" ref="Q34:Q36" si="9">I34*10.5%</f>
        <v>160.38749999999999</v>
      </c>
      <c r="R34" s="28"/>
      <c r="S34" s="28"/>
      <c r="T34" s="28"/>
      <c r="U34" s="28"/>
      <c r="V34" s="25">
        <f t="shared" ref="V34:V38" si="10">P34+Q34+R34+S34+T34+U34</f>
        <v>160.38749999999999</v>
      </c>
      <c r="W34" s="28">
        <f>IF('[11]Calculo ISR '!$BY$34&gt;0,0,('[11]Calculo ISR '!$BY$34)*-1)</f>
        <v>110.45383999999997</v>
      </c>
      <c r="X34" s="25">
        <f t="shared" si="8"/>
        <v>1532.3163399999999</v>
      </c>
      <c r="Y34" s="25">
        <f t="shared" si="2"/>
        <v>96.4</v>
      </c>
      <c r="Z34" s="132"/>
      <c r="AA34" s="73"/>
      <c r="AB34" s="70"/>
    </row>
    <row r="35" spans="1:31" s="35" customFormat="1" ht="45" customHeight="1">
      <c r="A35" s="21" t="s">
        <v>105</v>
      </c>
      <c r="B35" s="33" t="s">
        <v>106</v>
      </c>
      <c r="C35" s="34">
        <v>5</v>
      </c>
      <c r="D35" s="34">
        <v>0</v>
      </c>
      <c r="E35" s="24">
        <v>305.5</v>
      </c>
      <c r="F35" s="24">
        <v>348.3</v>
      </c>
      <c r="G35" s="24">
        <f t="shared" si="3"/>
        <v>1527.5</v>
      </c>
      <c r="H35" s="24">
        <f t="shared" si="3"/>
        <v>0</v>
      </c>
      <c r="I35" s="25">
        <f t="shared" si="0"/>
        <v>1527.5</v>
      </c>
      <c r="J35" s="25">
        <f t="shared" si="4"/>
        <v>96.4</v>
      </c>
      <c r="K35" s="25">
        <f>(C35+D35)*I$6</f>
        <v>54.75</v>
      </c>
      <c r="L35" s="25"/>
      <c r="M35" s="25"/>
      <c r="N35" s="25"/>
      <c r="O35" s="25">
        <f t="shared" si="5"/>
        <v>1678.65</v>
      </c>
      <c r="P35" s="27">
        <f>IF('[11]Calculo ISR '!$BZ$34&lt;0,0,'[11]Calculo ISR '!$BZ$34)</f>
        <v>0</v>
      </c>
      <c r="Q35" s="28">
        <f t="shared" si="9"/>
        <v>160.38749999999999</v>
      </c>
      <c r="R35" s="28"/>
      <c r="S35" s="28"/>
      <c r="T35" s="28"/>
      <c r="U35" s="28"/>
      <c r="V35" s="25">
        <f t="shared" si="10"/>
        <v>160.38749999999999</v>
      </c>
      <c r="W35" s="28">
        <f>IF('[11]Calculo ISR '!$BZ$34&gt;0,0,('[11]Calculo ISR '!$BZ$34)*-1)</f>
        <v>110.45383999999997</v>
      </c>
      <c r="X35" s="25">
        <f t="shared" si="8"/>
        <v>1532.3163399999999</v>
      </c>
      <c r="Y35" s="25">
        <f t="shared" si="2"/>
        <v>96.4</v>
      </c>
      <c r="Z35" s="132"/>
      <c r="AA35" s="73"/>
      <c r="AB35" s="70"/>
    </row>
    <row r="36" spans="1:31" s="35" customFormat="1" ht="45" customHeight="1">
      <c r="A36" s="21" t="s">
        <v>108</v>
      </c>
      <c r="B36" s="33" t="s">
        <v>109</v>
      </c>
      <c r="C36" s="34">
        <v>5</v>
      </c>
      <c r="D36" s="34">
        <v>0</v>
      </c>
      <c r="E36" s="24">
        <v>305.5</v>
      </c>
      <c r="F36" s="24">
        <v>348.3</v>
      </c>
      <c r="G36" s="24">
        <f t="shared" si="3"/>
        <v>1527.5</v>
      </c>
      <c r="H36" s="24">
        <f t="shared" si="3"/>
        <v>0</v>
      </c>
      <c r="I36" s="25">
        <f t="shared" si="0"/>
        <v>1527.5</v>
      </c>
      <c r="J36" s="25">
        <f t="shared" si="4"/>
        <v>96.4</v>
      </c>
      <c r="K36" s="25">
        <f>(C36+D36)*I$6</f>
        <v>54.75</v>
      </c>
      <c r="L36" s="25"/>
      <c r="M36" s="25"/>
      <c r="N36" s="25"/>
      <c r="O36" s="25">
        <f t="shared" si="5"/>
        <v>1678.65</v>
      </c>
      <c r="P36" s="27">
        <f>IF('[11]Calculo ISR '!$CA$34&lt;0,0,'[11]Calculo ISR '!$CA$34)</f>
        <v>0</v>
      </c>
      <c r="Q36" s="28">
        <f t="shared" si="9"/>
        <v>160.38749999999999</v>
      </c>
      <c r="R36" s="28"/>
      <c r="S36" s="28"/>
      <c r="T36" s="28"/>
      <c r="U36" s="28"/>
      <c r="V36" s="25">
        <f t="shared" si="10"/>
        <v>160.38749999999999</v>
      </c>
      <c r="W36" s="28">
        <f>IF('[11]Calculo ISR '!$CA$34&gt;0,0,('[11]Calculo ISR '!$CA$34)*-1)</f>
        <v>110.45383999999997</v>
      </c>
      <c r="X36" s="25">
        <f t="shared" si="8"/>
        <v>1532.3163399999999</v>
      </c>
      <c r="Y36" s="25">
        <f t="shared" si="2"/>
        <v>96.4</v>
      </c>
      <c r="Z36" s="93"/>
      <c r="AA36" s="73"/>
      <c r="AB36" s="70"/>
    </row>
    <row r="37" spans="1:31" s="35" customFormat="1" ht="45" customHeight="1">
      <c r="A37" s="21" t="s">
        <v>110</v>
      </c>
      <c r="B37" s="33" t="s">
        <v>111</v>
      </c>
      <c r="C37" s="34">
        <v>5</v>
      </c>
      <c r="D37" s="34">
        <v>0</v>
      </c>
      <c r="E37" s="24">
        <v>305.5</v>
      </c>
      <c r="F37" s="24">
        <v>348.3</v>
      </c>
      <c r="G37" s="24">
        <f t="shared" si="3"/>
        <v>1527.5</v>
      </c>
      <c r="H37" s="24">
        <f t="shared" si="3"/>
        <v>0</v>
      </c>
      <c r="I37" s="25">
        <f t="shared" si="0"/>
        <v>1527.5</v>
      </c>
      <c r="J37" s="25">
        <f t="shared" si="4"/>
        <v>96.4</v>
      </c>
      <c r="K37" s="25">
        <f>(C37+D37)*I$6</f>
        <v>54.75</v>
      </c>
      <c r="L37" s="25"/>
      <c r="M37" s="25"/>
      <c r="N37" s="25"/>
      <c r="O37" s="25">
        <f t="shared" si="5"/>
        <v>1678.65</v>
      </c>
      <c r="P37" s="27">
        <f>IF('[11]Calculo ISR '!$CB$34&lt;0,0,'[11]Calculo ISR '!$CB$34)</f>
        <v>0</v>
      </c>
      <c r="Q37" s="28">
        <f>I37*10.5%</f>
        <v>160.38749999999999</v>
      </c>
      <c r="R37" s="28"/>
      <c r="S37" s="28"/>
      <c r="T37" s="28"/>
      <c r="U37" s="28"/>
      <c r="V37" s="25">
        <f t="shared" si="10"/>
        <v>160.38749999999999</v>
      </c>
      <c r="W37" s="28">
        <f>IF('[11]Calculo ISR '!$CB$34&gt;0,0,('[11]Calculo ISR '!$CB$34)*-1)</f>
        <v>110.45383999999997</v>
      </c>
      <c r="X37" s="25">
        <f t="shared" si="8"/>
        <v>1532.3163399999999</v>
      </c>
      <c r="Y37" s="25">
        <f t="shared" si="2"/>
        <v>96.4</v>
      </c>
      <c r="Z37" s="93"/>
      <c r="AA37" s="73"/>
      <c r="AB37" s="70"/>
    </row>
    <row r="38" spans="1:31" s="35" customFormat="1" ht="45" customHeight="1">
      <c r="A38" s="21" t="s">
        <v>112</v>
      </c>
      <c r="B38" s="33" t="s">
        <v>113</v>
      </c>
      <c r="C38" s="34">
        <v>5</v>
      </c>
      <c r="D38" s="34">
        <v>0</v>
      </c>
      <c r="E38" s="24">
        <v>305.5</v>
      </c>
      <c r="F38" s="24">
        <v>348.3</v>
      </c>
      <c r="G38" s="24">
        <f t="shared" si="3"/>
        <v>1527.5</v>
      </c>
      <c r="H38" s="24">
        <f t="shared" si="3"/>
        <v>0</v>
      </c>
      <c r="I38" s="25">
        <f t="shared" si="0"/>
        <v>1527.5</v>
      </c>
      <c r="J38" s="25">
        <f t="shared" si="4"/>
        <v>96.4</v>
      </c>
      <c r="K38" s="25">
        <f>(C38+D38)*I$6</f>
        <v>54.75</v>
      </c>
      <c r="L38" s="25"/>
      <c r="M38" s="25"/>
      <c r="N38" s="25"/>
      <c r="O38" s="25">
        <f t="shared" si="5"/>
        <v>1678.65</v>
      </c>
      <c r="P38" s="27">
        <f>IF('[11]Calculo ISR '!$CC$34&lt;0,0,'[11]Calculo ISR '!$CC$34)</f>
        <v>0</v>
      </c>
      <c r="Q38" s="28">
        <f>I38*10.5%</f>
        <v>160.38749999999999</v>
      </c>
      <c r="R38" s="28"/>
      <c r="S38" s="28"/>
      <c r="T38" s="28"/>
      <c r="U38" s="28"/>
      <c r="V38" s="25">
        <f t="shared" si="10"/>
        <v>160.38749999999999</v>
      </c>
      <c r="W38" s="28">
        <f>IF('[11]Calculo ISR '!$CC$34&gt;0,0,('[11]Calculo ISR '!$CC$34)*-1)</f>
        <v>110.45383999999997</v>
      </c>
      <c r="X38" s="25">
        <f t="shared" si="8"/>
        <v>1532.3163399999999</v>
      </c>
      <c r="Y38" s="25">
        <f t="shared" si="2"/>
        <v>96.4</v>
      </c>
      <c r="Z38" s="93"/>
      <c r="AA38" s="73"/>
      <c r="AB38" s="70"/>
    </row>
    <row r="39" spans="1:31" s="2" customFormat="1" ht="30" customHeight="1" thickBot="1">
      <c r="A39" s="86"/>
      <c r="B39" s="38" t="s">
        <v>147</v>
      </c>
      <c r="C39" s="39">
        <f t="shared" ref="C39:M39" si="11">SUM(C10:C38)</f>
        <v>339</v>
      </c>
      <c r="D39" s="39">
        <f t="shared" si="11"/>
        <v>37.5</v>
      </c>
      <c r="E39" s="40">
        <f t="shared" si="11"/>
        <v>8859.5</v>
      </c>
      <c r="F39" s="40">
        <f t="shared" si="11"/>
        <v>10100.699999999999</v>
      </c>
      <c r="G39" s="40">
        <f t="shared" si="11"/>
        <v>103564.5</v>
      </c>
      <c r="H39" s="40">
        <f t="shared" si="11"/>
        <v>13061.25</v>
      </c>
      <c r="I39" s="40">
        <f t="shared" si="11"/>
        <v>116625.75</v>
      </c>
      <c r="J39" s="40">
        <f t="shared" si="11"/>
        <v>7258.9199999999992</v>
      </c>
      <c r="K39" s="40">
        <f t="shared" si="11"/>
        <v>4122.6750000000002</v>
      </c>
      <c r="L39" s="40">
        <f t="shared" si="11"/>
        <v>1650.2000000000003</v>
      </c>
      <c r="M39" s="40">
        <f t="shared" si="11"/>
        <v>590.54499999999996</v>
      </c>
      <c r="N39" s="40">
        <f t="shared" ref="N39" si="12">SUM(N10:N35)</f>
        <v>0</v>
      </c>
      <c r="O39" s="40">
        <f t="shared" ref="O39:X39" si="13">SUM(O10:O38)</f>
        <v>130248.08999999997</v>
      </c>
      <c r="P39" s="40">
        <f t="shared" si="13"/>
        <v>11754.654984000001</v>
      </c>
      <c r="Q39" s="40">
        <f t="shared" si="13"/>
        <v>12245.703750000001</v>
      </c>
      <c r="R39" s="40">
        <f t="shared" si="13"/>
        <v>9546</v>
      </c>
      <c r="S39" s="40">
        <f t="shared" si="13"/>
        <v>787.4375</v>
      </c>
      <c r="T39" s="40">
        <f t="shared" si="13"/>
        <v>0</v>
      </c>
      <c r="U39" s="74">
        <f t="shared" si="13"/>
        <v>1773.125</v>
      </c>
      <c r="V39" s="40">
        <f t="shared" si="13"/>
        <v>36106.921233999987</v>
      </c>
      <c r="W39" s="40">
        <f t="shared" si="13"/>
        <v>724.13252799999987</v>
      </c>
      <c r="X39" s="40">
        <f t="shared" si="13"/>
        <v>87606.381294000035</v>
      </c>
      <c r="Y39" s="40">
        <f>SUM(Y9:Y38)</f>
        <v>7258.9199999999992</v>
      </c>
      <c r="Z39" s="41"/>
      <c r="AA39" s="3"/>
      <c r="AB39" s="75"/>
      <c r="AC39" s="42"/>
    </row>
    <row r="40" spans="1:31" s="2" customFormat="1" ht="5.25" customHeight="1">
      <c r="A40" s="87"/>
      <c r="B40" s="44"/>
      <c r="C40" s="45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89"/>
      <c r="S40" s="46"/>
      <c r="T40" s="46"/>
      <c r="U40" s="46"/>
      <c r="V40" s="46"/>
      <c r="W40" s="46"/>
      <c r="X40" s="46"/>
      <c r="Y40" s="46"/>
      <c r="Z40" s="41"/>
      <c r="AA40" s="3"/>
      <c r="AB40" s="88"/>
    </row>
    <row r="41" spans="1:31" s="2" customFormat="1" ht="5.25" customHeight="1">
      <c r="A41" s="87"/>
      <c r="B41" s="44"/>
      <c r="C41" s="45"/>
      <c r="D41" s="45"/>
      <c r="E41" s="46"/>
      <c r="F41" s="46"/>
      <c r="G41" s="46"/>
      <c r="H41" s="46"/>
      <c r="I41" s="89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1"/>
      <c r="AA41" s="3"/>
      <c r="AB41" s="42"/>
    </row>
    <row r="42" spans="1:31" s="2" customFormat="1" ht="15" customHeight="1">
      <c r="A42" s="69"/>
      <c r="B42" s="133" t="s">
        <v>75</v>
      </c>
      <c r="C42" s="1"/>
      <c r="D42" s="1"/>
      <c r="E42" s="1"/>
      <c r="F42" s="1"/>
      <c r="G42" s="1"/>
      <c r="H42" s="66" t="s">
        <v>76</v>
      </c>
      <c r="I42" s="64"/>
      <c r="L42" s="66"/>
      <c r="M42" s="66"/>
      <c r="N42" s="66"/>
      <c r="O42" s="1" t="s">
        <v>136</v>
      </c>
      <c r="P42" s="49"/>
      <c r="Q42" s="50"/>
      <c r="R42" s="1"/>
      <c r="S42" s="1"/>
      <c r="T42" s="1"/>
      <c r="U42" s="1"/>
      <c r="X42" s="1"/>
      <c r="Y42" s="1"/>
      <c r="Z42" s="1"/>
      <c r="AB42" s="42"/>
      <c r="AE42" s="1"/>
    </row>
    <row r="43" spans="1:31" s="2" customFormat="1" hidden="1">
      <c r="A43" s="69"/>
      <c r="B43" s="1"/>
      <c r="C43" s="1"/>
      <c r="D43" s="1"/>
      <c r="E43" s="1"/>
      <c r="F43" s="1"/>
      <c r="G43" s="1"/>
      <c r="H43" s="1"/>
      <c r="K43" s="1"/>
      <c r="L43" s="1"/>
      <c r="M43" s="1"/>
      <c r="N43" s="1"/>
      <c r="O43" s="51"/>
      <c r="P43" s="51"/>
      <c r="Q43" s="51"/>
      <c r="R43" s="1"/>
      <c r="S43" s="1"/>
      <c r="T43" s="1"/>
      <c r="U43" s="1"/>
      <c r="V43" s="1"/>
      <c r="W43" s="1"/>
      <c r="X43" s="1"/>
      <c r="Y43" s="1"/>
      <c r="Z43" s="1"/>
      <c r="AB43" s="42"/>
      <c r="AE43" s="1"/>
    </row>
    <row r="44" spans="1:31" s="2" customFormat="1" hidden="1">
      <c r="A44" s="69"/>
      <c r="B44" s="1"/>
      <c r="C44" s="1"/>
      <c r="D44" s="1"/>
      <c r="E44" s="1"/>
      <c r="F44" s="1"/>
      <c r="G44" s="1"/>
      <c r="H44" s="1"/>
      <c r="K44" s="1"/>
      <c r="L44" s="1"/>
      <c r="M44" s="1"/>
      <c r="N44" s="1"/>
      <c r="O44" s="51"/>
      <c r="P44" s="51"/>
      <c r="Q44" s="51"/>
      <c r="R44" s="1"/>
      <c r="S44" s="1"/>
      <c r="T44" s="1"/>
      <c r="U44" s="1"/>
      <c r="V44" s="1"/>
      <c r="W44" s="1"/>
      <c r="X44" s="1"/>
      <c r="Y44" s="1"/>
      <c r="Z44" s="1"/>
      <c r="AB44" s="42"/>
      <c r="AE44" s="1"/>
    </row>
    <row r="45" spans="1:31" s="2" customFormat="1" ht="3" customHeight="1">
      <c r="A45" s="69"/>
      <c r="B45" s="1"/>
      <c r="C45" s="1"/>
      <c r="D45" s="1"/>
      <c r="E45" s="1"/>
      <c r="F45" s="1"/>
      <c r="G45" s="1"/>
      <c r="H45" s="1"/>
      <c r="K45" s="1"/>
      <c r="L45" s="1"/>
      <c r="M45" s="1"/>
      <c r="N45" s="1"/>
      <c r="O45" s="52"/>
      <c r="P45" s="52"/>
      <c r="Q45" s="52"/>
      <c r="R45" s="1"/>
      <c r="S45" s="3"/>
      <c r="T45" s="1"/>
      <c r="U45" s="1"/>
      <c r="W45" s="1"/>
      <c r="X45" s="1"/>
      <c r="Y45" s="1"/>
      <c r="Z45" s="1"/>
      <c r="AE45" s="1"/>
    </row>
    <row r="46" spans="1:31" s="2" customFormat="1">
      <c r="A46" s="69"/>
      <c r="B46" s="133" t="s">
        <v>78</v>
      </c>
      <c r="C46" s="1"/>
      <c r="D46" s="1"/>
      <c r="E46" s="1"/>
      <c r="F46" s="1"/>
      <c r="G46" s="53" t="s">
        <v>79</v>
      </c>
      <c r="H46" s="1"/>
      <c r="I46" s="42"/>
      <c r="L46" s="53"/>
      <c r="M46" s="53"/>
      <c r="N46" s="53"/>
      <c r="O46" s="53" t="s">
        <v>134</v>
      </c>
      <c r="P46" s="52"/>
      <c r="Q46" s="49"/>
      <c r="R46" s="1"/>
      <c r="S46" s="1"/>
      <c r="T46" s="1"/>
      <c r="V46" s="53"/>
      <c r="W46" s="53"/>
      <c r="X46" s="53"/>
      <c r="Y46" s="53"/>
      <c r="Z46" s="1"/>
      <c r="AE46" s="1"/>
    </row>
    <row r="47" spans="1:31" ht="12.75" customHeight="1">
      <c r="B47" s="54" t="s">
        <v>81</v>
      </c>
      <c r="G47" s="53" t="s">
        <v>82</v>
      </c>
      <c r="L47" s="53"/>
      <c r="M47" s="53"/>
      <c r="N47" s="53"/>
      <c r="O47" s="53" t="s">
        <v>83</v>
      </c>
      <c r="P47" s="53"/>
      <c r="Q47" s="52"/>
      <c r="W47" s="53"/>
      <c r="X47" s="53"/>
      <c r="Y47" s="53"/>
      <c r="AA47" s="3"/>
    </row>
    <row r="48" spans="1:31">
      <c r="AA48" s="3"/>
    </row>
    <row r="49" spans="1:27">
      <c r="R49" s="3"/>
      <c r="AA49" s="3"/>
    </row>
    <row r="50" spans="1:27">
      <c r="AA50" s="3"/>
    </row>
    <row r="51" spans="1:27">
      <c r="AA51" s="3"/>
    </row>
    <row r="52" spans="1:27">
      <c r="O52" s="6"/>
      <c r="AA52" s="3"/>
    </row>
    <row r="53" spans="1:27">
      <c r="AA53" s="3"/>
    </row>
    <row r="54" spans="1:27">
      <c r="AA54" s="3"/>
    </row>
    <row r="55" spans="1:27" s="56" customFormat="1">
      <c r="A55" s="6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7" s="56" customFormat="1">
      <c r="A56" s="6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7" s="57" customFormat="1">
      <c r="A57" s="6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7" s="57" customFormat="1">
      <c r="A58" s="6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7" s="57" customFormat="1">
      <c r="A59" s="6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7" s="57" customFormat="1">
      <c r="A60" s="6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7" s="57" customFormat="1">
      <c r="A61" s="6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7" s="57" customFormat="1">
      <c r="A62" s="6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7" s="57" customFormat="1">
      <c r="A63" s="6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7" s="57" customFormat="1">
      <c r="A64" s="6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57" customFormat="1">
      <c r="A65" s="6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57" customFormat="1">
      <c r="A66" s="6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8" spans="1:26">
      <c r="S68" s="3"/>
    </row>
  </sheetData>
  <mergeCells count="29">
    <mergeCell ref="Z27:AA27"/>
    <mergeCell ref="Z28:AA28"/>
    <mergeCell ref="Z29:AA29"/>
    <mergeCell ref="Z30:AA30"/>
    <mergeCell ref="Z31:AA31"/>
    <mergeCell ref="Z26:AA26"/>
    <mergeCell ref="Z15:AA15"/>
    <mergeCell ref="Z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Z14:AA14"/>
    <mergeCell ref="A8:A9"/>
    <mergeCell ref="B8:B9"/>
    <mergeCell ref="C8:I8"/>
    <mergeCell ref="J8:O8"/>
    <mergeCell ref="P8:V8"/>
    <mergeCell ref="W8:Y8"/>
    <mergeCell ref="Z9:AA9"/>
    <mergeCell ref="Z10:AA10"/>
    <mergeCell ref="Z11:AA11"/>
    <mergeCell ref="Z12:AA12"/>
    <mergeCell ref="Z13:AA13"/>
  </mergeCells>
  <pageMargins left="0.8" right="0.2" top="0.47244094488188981" bottom="0.51181102362204722" header="0.31496062992125984" footer="0.31496062992125984"/>
  <pageSetup paperSize="5"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E68"/>
  <sheetViews>
    <sheetView topLeftCell="A3" zoomScale="80" zoomScaleNormal="80" zoomScaleSheetLayoutView="100" workbookViewId="0">
      <pane xSplit="2" ySplit="7" topLeftCell="C37" activePane="bottomRight" state="frozen"/>
      <selection activeCell="A3" sqref="A3"/>
      <selection pane="topRight" activeCell="C3" sqref="C3"/>
      <selection pane="bottomLeft" activeCell="A10" sqref="A10"/>
      <selection pane="bottomRight" activeCell="F52" sqref="F52"/>
    </sheetView>
  </sheetViews>
  <sheetFormatPr baseColWidth="10" defaultRowHeight="12.75"/>
  <cols>
    <col min="1" max="1" width="12.7109375" style="69" customWidth="1"/>
    <col min="2" max="2" width="31.5703125" style="1" customWidth="1"/>
    <col min="3" max="4" width="7.140625" style="1" customWidth="1"/>
    <col min="5" max="5" width="10.42578125" style="1" customWidth="1"/>
    <col min="6" max="6" width="11" style="1" customWidth="1"/>
    <col min="7" max="7" width="13.28515625" style="1" customWidth="1"/>
    <col min="8" max="8" width="10.85546875" style="1" customWidth="1"/>
    <col min="9" max="9" width="13" style="1" customWidth="1"/>
    <col min="10" max="10" width="10.5703125" style="1" customWidth="1"/>
    <col min="11" max="11" width="9.85546875" style="1" customWidth="1"/>
    <col min="12" max="12" width="10.140625" style="1" customWidth="1"/>
    <col min="13" max="13" width="8.42578125" style="1" customWidth="1"/>
    <col min="14" max="14" width="5.42578125" style="1" customWidth="1"/>
    <col min="15" max="15" width="12.42578125" style="1" customWidth="1"/>
    <col min="16" max="16" width="11" style="1" hidden="1" customWidth="1"/>
    <col min="17" max="17" width="10.85546875" style="1" hidden="1" customWidth="1"/>
    <col min="18" max="18" width="11.140625" style="1" hidden="1" customWidth="1"/>
    <col min="19" max="19" width="8.5703125" style="1" hidden="1" customWidth="1"/>
    <col min="20" max="20" width="5" style="1" hidden="1" customWidth="1"/>
    <col min="21" max="21" width="9.85546875" style="1" hidden="1" customWidth="1"/>
    <col min="22" max="22" width="11.140625" style="1" customWidth="1"/>
    <col min="23" max="23" width="8.28515625" style="1" customWidth="1"/>
    <col min="24" max="24" width="12.42578125" style="1" customWidth="1"/>
    <col min="25" max="25" width="10.5703125" style="1" hidden="1" customWidth="1"/>
    <col min="26" max="26" width="31" style="1" hidden="1" customWidth="1"/>
    <col min="27" max="27" width="12.28515625" style="1" hidden="1" customWidth="1"/>
    <col min="28" max="16384" width="11.42578125" style="1"/>
  </cols>
  <sheetData>
    <row r="2" spans="1:27">
      <c r="B2" s="2" t="s">
        <v>0</v>
      </c>
    </row>
    <row r="3" spans="1:27">
      <c r="B3" s="2"/>
    </row>
    <row r="4" spans="1:27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7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2"/>
      <c r="P5" s="2"/>
      <c r="Q5" s="2"/>
      <c r="R5" s="2"/>
      <c r="S5" s="2"/>
      <c r="T5" s="2"/>
      <c r="U5" s="2"/>
      <c r="V5" s="2"/>
      <c r="W5" s="2"/>
    </row>
    <row r="6" spans="1:27">
      <c r="B6" s="2"/>
      <c r="C6" s="2"/>
      <c r="D6" s="2"/>
      <c r="E6" s="4">
        <v>19.28</v>
      </c>
      <c r="F6" s="4"/>
      <c r="G6" s="4"/>
      <c r="H6" s="4"/>
      <c r="I6" s="4">
        <v>10.95</v>
      </c>
      <c r="J6" s="4"/>
      <c r="K6" s="65"/>
      <c r="L6" s="65"/>
      <c r="M6" s="65"/>
      <c r="N6" s="58">
        <v>0.105</v>
      </c>
      <c r="O6" s="65"/>
      <c r="P6" s="65"/>
      <c r="Q6" s="65"/>
      <c r="R6" s="65"/>
      <c r="S6" s="65"/>
      <c r="T6" s="5">
        <v>0.01</v>
      </c>
      <c r="U6" s="65"/>
      <c r="V6" s="65"/>
      <c r="W6" s="65"/>
    </row>
    <row r="7" spans="1:27" ht="13.5" thickBot="1">
      <c r="A7" s="85" t="s">
        <v>0</v>
      </c>
      <c r="C7" s="2"/>
      <c r="D7" s="2"/>
      <c r="E7" s="4">
        <v>22.3</v>
      </c>
      <c r="F7" s="4"/>
      <c r="G7" s="4"/>
      <c r="H7" s="4"/>
      <c r="I7" s="7">
        <v>0.02</v>
      </c>
      <c r="J7" s="8">
        <v>0.04</v>
      </c>
      <c r="K7" s="6" t="s">
        <v>149</v>
      </c>
      <c r="L7" s="2"/>
      <c r="M7" s="2"/>
      <c r="N7" s="2"/>
      <c r="P7" s="2"/>
      <c r="Q7" s="2"/>
      <c r="R7" s="2"/>
      <c r="S7" s="2"/>
      <c r="T7" s="2"/>
      <c r="U7" s="2"/>
      <c r="V7" s="2"/>
      <c r="W7" s="2"/>
    </row>
    <row r="8" spans="1:27" ht="15.75" customHeight="1" thickBot="1">
      <c r="A8" s="164" t="s">
        <v>2</v>
      </c>
      <c r="B8" s="166" t="s">
        <v>3</v>
      </c>
      <c r="C8" s="168" t="s">
        <v>4</v>
      </c>
      <c r="D8" s="169"/>
      <c r="E8" s="169"/>
      <c r="F8" s="169"/>
      <c r="G8" s="169"/>
      <c r="H8" s="169"/>
      <c r="I8" s="170"/>
      <c r="J8" s="171" t="s">
        <v>5</v>
      </c>
      <c r="K8" s="172"/>
      <c r="L8" s="172"/>
      <c r="M8" s="173"/>
      <c r="N8" s="173"/>
      <c r="O8" s="174"/>
      <c r="P8" s="175" t="s">
        <v>6</v>
      </c>
      <c r="Q8" s="176"/>
      <c r="R8" s="176"/>
      <c r="S8" s="176"/>
      <c r="T8" s="176"/>
      <c r="U8" s="176"/>
      <c r="V8" s="176"/>
      <c r="W8" s="177" t="s">
        <v>7</v>
      </c>
      <c r="X8" s="177"/>
      <c r="Y8" s="177"/>
    </row>
    <row r="9" spans="1:27" s="20" customFormat="1" ht="72">
      <c r="A9" s="165"/>
      <c r="B9" s="167"/>
      <c r="C9" s="9" t="s">
        <v>87</v>
      </c>
      <c r="D9" s="9" t="s">
        <v>88</v>
      </c>
      <c r="E9" s="9" t="s">
        <v>89</v>
      </c>
      <c r="F9" s="9" t="s">
        <v>90</v>
      </c>
      <c r="G9" s="9" t="s">
        <v>91</v>
      </c>
      <c r="H9" s="9" t="s">
        <v>92</v>
      </c>
      <c r="I9" s="67" t="s">
        <v>10</v>
      </c>
      <c r="J9" s="11" t="s">
        <v>11</v>
      </c>
      <c r="K9" s="11" t="s">
        <v>12</v>
      </c>
      <c r="L9" s="12" t="s">
        <v>13</v>
      </c>
      <c r="M9" s="13" t="s">
        <v>14</v>
      </c>
      <c r="N9" s="134" t="s">
        <v>15</v>
      </c>
      <c r="O9" s="14" t="s">
        <v>16</v>
      </c>
      <c r="P9" s="15" t="s">
        <v>17</v>
      </c>
      <c r="Q9" s="16" t="s">
        <v>18</v>
      </c>
      <c r="R9" s="16" t="s">
        <v>19</v>
      </c>
      <c r="S9" s="16" t="s">
        <v>20</v>
      </c>
      <c r="T9" s="16" t="s">
        <v>21</v>
      </c>
      <c r="U9" s="16" t="s">
        <v>22</v>
      </c>
      <c r="V9" s="16" t="s">
        <v>23</v>
      </c>
      <c r="W9" s="17" t="s">
        <v>24</v>
      </c>
      <c r="X9" s="18" t="s">
        <v>25</v>
      </c>
      <c r="Y9" s="19" t="s">
        <v>26</v>
      </c>
      <c r="Z9" s="178" t="s">
        <v>27</v>
      </c>
      <c r="AA9" s="178"/>
    </row>
    <row r="10" spans="1:27" s="69" customFormat="1" ht="45" customHeight="1">
      <c r="A10" s="21" t="s">
        <v>28</v>
      </c>
      <c r="B10" s="68" t="s">
        <v>29</v>
      </c>
      <c r="C10" s="32">
        <v>7.5</v>
      </c>
      <c r="D10" s="23">
        <v>0</v>
      </c>
      <c r="E10" s="24">
        <v>305.5</v>
      </c>
      <c r="F10" s="24">
        <v>348.3</v>
      </c>
      <c r="G10" s="24">
        <f>C10*E10</f>
        <v>2291.25</v>
      </c>
      <c r="H10" s="24">
        <f>D10*F10</f>
        <v>0</v>
      </c>
      <c r="I10" s="25">
        <f t="shared" ref="I10:I38" si="0">G10+H10</f>
        <v>2291.25</v>
      </c>
      <c r="J10" s="25">
        <v>17.350000000000001</v>
      </c>
      <c r="K10" s="25">
        <v>9.86</v>
      </c>
      <c r="L10" s="25"/>
      <c r="M10" s="25">
        <v>11</v>
      </c>
      <c r="N10" s="26">
        <v>0</v>
      </c>
      <c r="O10" s="25">
        <f>SUM(I10:N10)</f>
        <v>2329.46</v>
      </c>
      <c r="P10" s="27">
        <f>IF('[12]Calculo ISR '!$AZ$34&lt;0,0,'[12]Calculo ISR '!$AZ$34)</f>
        <v>0</v>
      </c>
      <c r="Q10" s="28">
        <f>I10*N6</f>
        <v>240.58124999999998</v>
      </c>
      <c r="R10" s="29">
        <v>0</v>
      </c>
      <c r="S10" s="28">
        <f>I10*1%</f>
        <v>22.912500000000001</v>
      </c>
      <c r="T10" s="28"/>
      <c r="U10" s="30">
        <f>[12]descuentos!D6</f>
        <v>2046.8500000000001</v>
      </c>
      <c r="V10" s="25">
        <f t="shared" ref="V10:V24" si="1">P10+Q10+R10+S10+U10+T10</f>
        <v>2310.34375</v>
      </c>
      <c r="W10" s="28">
        <v>0</v>
      </c>
      <c r="X10" s="25">
        <f t="shared" ref="X10:X25" si="2">O10-V10-Y10+W10</f>
        <v>1.766250000000035</v>
      </c>
      <c r="Y10" s="25">
        <f t="shared" ref="Y10:Y38" si="3">J10</f>
        <v>17.350000000000001</v>
      </c>
      <c r="Z10" s="183"/>
      <c r="AA10" s="163"/>
    </row>
    <row r="11" spans="1:27" s="35" customFormat="1" ht="45" customHeight="1">
      <c r="A11" s="21" t="s">
        <v>30</v>
      </c>
      <c r="B11" s="33" t="s">
        <v>31</v>
      </c>
      <c r="C11" s="32">
        <v>12</v>
      </c>
      <c r="D11" s="32">
        <v>7.5</v>
      </c>
      <c r="E11" s="24">
        <v>305.5</v>
      </c>
      <c r="F11" s="24">
        <v>348.3</v>
      </c>
      <c r="G11" s="24">
        <f t="shared" ref="G11:H38" si="4">C11*E11</f>
        <v>3666</v>
      </c>
      <c r="H11" s="24">
        <f t="shared" si="4"/>
        <v>2612.25</v>
      </c>
      <c r="I11" s="25">
        <f t="shared" si="0"/>
        <v>6278.25</v>
      </c>
      <c r="J11" s="25">
        <f t="shared" ref="J11:J38" si="5">(C11+D11)*19.28</f>
        <v>375.96000000000004</v>
      </c>
      <c r="K11" s="25">
        <f>(C11+D11)*I6</f>
        <v>213.52499999999998</v>
      </c>
      <c r="L11" s="25"/>
      <c r="M11" s="25">
        <f>I11*J7</f>
        <v>251.13</v>
      </c>
      <c r="N11" s="25">
        <f>'[12]HT-DOCENTE'!J10</f>
        <v>0</v>
      </c>
      <c r="O11" s="25">
        <f t="shared" ref="O11:O38" si="6">SUM(I11:N11)</f>
        <v>7118.8649999999998</v>
      </c>
      <c r="P11" s="27">
        <f>IF('[12]Calculo ISR '!$BA$34&lt;0,0,'[12]Calculo ISR '!$BA$34)</f>
        <v>893.0953320000001</v>
      </c>
      <c r="Q11" s="28">
        <f>I11*N6</f>
        <v>659.21624999999995</v>
      </c>
      <c r="R11" s="28">
        <v>1986</v>
      </c>
      <c r="S11" s="28">
        <f>I11*T6</f>
        <v>62.782499999999999</v>
      </c>
      <c r="T11" s="28">
        <f>'[12]HT-DOCENTE'!R10</f>
        <v>0</v>
      </c>
      <c r="U11" s="28"/>
      <c r="V11" s="25">
        <f t="shared" si="1"/>
        <v>3601.0940820000001</v>
      </c>
      <c r="W11" s="28">
        <f>IF('[12]Calculo ISR '!$BA$34&gt;0,0,('[12]Calculo ISR '!$BA$34)*-1)</f>
        <v>0</v>
      </c>
      <c r="X11" s="25">
        <f t="shared" si="2"/>
        <v>3141.8109179999997</v>
      </c>
      <c r="Y11" s="25">
        <f t="shared" si="3"/>
        <v>375.96000000000004</v>
      </c>
      <c r="Z11" s="161"/>
      <c r="AA11" s="162"/>
    </row>
    <row r="12" spans="1:27" s="35" customFormat="1" ht="45" customHeight="1">
      <c r="A12" s="21" t="s">
        <v>32</v>
      </c>
      <c r="B12" s="33" t="s">
        <v>99</v>
      </c>
      <c r="C12" s="32">
        <v>10</v>
      </c>
      <c r="D12" s="32">
        <v>0</v>
      </c>
      <c r="E12" s="24">
        <v>305.5</v>
      </c>
      <c r="F12" s="24">
        <v>348.3</v>
      </c>
      <c r="G12" s="24">
        <f t="shared" si="4"/>
        <v>3055</v>
      </c>
      <c r="H12" s="24">
        <f t="shared" si="4"/>
        <v>0</v>
      </c>
      <c r="I12" s="25">
        <f t="shared" si="0"/>
        <v>3055</v>
      </c>
      <c r="J12" s="25">
        <f t="shared" si="5"/>
        <v>192.8</v>
      </c>
      <c r="K12" s="25">
        <f>(C12+D12)*I6</f>
        <v>109.5</v>
      </c>
      <c r="L12" s="25"/>
      <c r="M12" s="25">
        <f>I12*J7</f>
        <v>122.2</v>
      </c>
      <c r="N12" s="25">
        <v>0</v>
      </c>
      <c r="O12" s="25">
        <f t="shared" si="6"/>
        <v>3479.5</v>
      </c>
      <c r="P12" s="27">
        <f>IF('[12]Calculo ISR '!$BB$34&lt;0,0,'[12]Calculo ISR '!$BB$34)</f>
        <v>128.40987199999998</v>
      </c>
      <c r="Q12" s="28">
        <f>I12*N6</f>
        <v>320.77499999999998</v>
      </c>
      <c r="R12" s="28">
        <v>873</v>
      </c>
      <c r="S12" s="28">
        <f>I12*T6</f>
        <v>30.55</v>
      </c>
      <c r="T12" s="28">
        <f>'[12]HT-DOCENTE'!R11</f>
        <v>0</v>
      </c>
      <c r="U12" s="28"/>
      <c r="V12" s="25">
        <f t="shared" si="1"/>
        <v>1352.7348719999998</v>
      </c>
      <c r="W12" s="28">
        <f>IF('[12]Calculo ISR '!$BB$34&gt;0,0,('[12]Calculo ISR '!$BB$34)*-1)</f>
        <v>0</v>
      </c>
      <c r="X12" s="25">
        <f t="shared" si="2"/>
        <v>1933.965128</v>
      </c>
      <c r="Y12" s="25">
        <f t="shared" si="3"/>
        <v>192.8</v>
      </c>
      <c r="Z12" s="161"/>
      <c r="AA12" s="162"/>
    </row>
    <row r="13" spans="1:27" s="35" customFormat="1" ht="45" customHeight="1">
      <c r="A13" s="21" t="s">
        <v>34</v>
      </c>
      <c r="B13" s="33" t="s">
        <v>35</v>
      </c>
      <c r="C13" s="32">
        <v>12</v>
      </c>
      <c r="D13" s="32">
        <v>7.5</v>
      </c>
      <c r="E13" s="24">
        <v>305.5</v>
      </c>
      <c r="F13" s="24">
        <v>348.3</v>
      </c>
      <c r="G13" s="24">
        <f t="shared" si="4"/>
        <v>3666</v>
      </c>
      <c r="H13" s="24">
        <f>D13*F13</f>
        <v>2612.25</v>
      </c>
      <c r="I13" s="25">
        <f t="shared" si="0"/>
        <v>6278.25</v>
      </c>
      <c r="J13" s="25">
        <f t="shared" si="5"/>
        <v>375.96000000000004</v>
      </c>
      <c r="K13" s="25">
        <f>(C13+D13)*I6</f>
        <v>213.52499999999998</v>
      </c>
      <c r="L13" s="25"/>
      <c r="M13" s="25">
        <f>I13*I7</f>
        <v>125.565</v>
      </c>
      <c r="N13" s="25">
        <f>'[12]HT-DOCENTE'!J12</f>
        <v>0</v>
      </c>
      <c r="O13" s="25">
        <f t="shared" si="6"/>
        <v>6993.2999999999993</v>
      </c>
      <c r="P13" s="27">
        <f>IF('[12]Calculo ISR '!$BC$34&lt;0,0,'[12]Calculo ISR '!$BC$34)</f>
        <v>866.27464799999996</v>
      </c>
      <c r="Q13" s="28">
        <f>I13*N6</f>
        <v>659.21624999999995</v>
      </c>
      <c r="R13" s="28">
        <f>'[12]HT-DOCENTE'!P12</f>
        <v>0</v>
      </c>
      <c r="S13" s="28">
        <f>I13*T6</f>
        <v>62.782499999999999</v>
      </c>
      <c r="T13" s="28">
        <f>'[12]HT-DOCENTE'!R12</f>
        <v>0</v>
      </c>
      <c r="U13" s="28"/>
      <c r="V13" s="25">
        <f t="shared" si="1"/>
        <v>1588.273398</v>
      </c>
      <c r="W13" s="28">
        <f>IF('[12]Calculo ISR '!$BC$34&gt;0,0,('[12]Calculo ISR '!$BC$34)*-1)</f>
        <v>0</v>
      </c>
      <c r="X13" s="25">
        <f t="shared" si="2"/>
        <v>5029.066601999999</v>
      </c>
      <c r="Y13" s="25">
        <f t="shared" si="3"/>
        <v>375.96000000000004</v>
      </c>
      <c r="Z13" s="161"/>
      <c r="AA13" s="162"/>
    </row>
    <row r="14" spans="1:27" s="35" customFormat="1" ht="45" customHeight="1">
      <c r="A14" s="21" t="s">
        <v>36</v>
      </c>
      <c r="B14" s="33" t="s">
        <v>37</v>
      </c>
      <c r="C14" s="32">
        <v>5.5</v>
      </c>
      <c r="D14" s="32">
        <v>7.5</v>
      </c>
      <c r="E14" s="24">
        <v>305.5</v>
      </c>
      <c r="F14" s="24">
        <v>348.3</v>
      </c>
      <c r="G14" s="24">
        <f t="shared" si="4"/>
        <v>1680.25</v>
      </c>
      <c r="H14" s="24">
        <f t="shared" si="4"/>
        <v>2612.25</v>
      </c>
      <c r="I14" s="25">
        <f t="shared" si="0"/>
        <v>4292.5</v>
      </c>
      <c r="J14" s="25">
        <f t="shared" si="5"/>
        <v>250.64000000000001</v>
      </c>
      <c r="K14" s="25">
        <f>(C14+D14)*I6</f>
        <v>142.35</v>
      </c>
      <c r="L14" s="25">
        <f>(C14+D14)*E7</f>
        <v>289.90000000000003</v>
      </c>
      <c r="M14" s="25"/>
      <c r="N14" s="25">
        <f>'[12]HT-DOCENTE'!J13</f>
        <v>0</v>
      </c>
      <c r="O14" s="25">
        <f t="shared" si="6"/>
        <v>4975.3900000000003</v>
      </c>
      <c r="P14" s="27">
        <f>IF('[12]Calculo ISR '!$BD$34&lt;0,0,'[12]Calculo ISR '!$BD$34)</f>
        <v>474.18068800000009</v>
      </c>
      <c r="Q14" s="28">
        <f>I14*N6</f>
        <v>450.71249999999998</v>
      </c>
      <c r="R14" s="28">
        <v>1431</v>
      </c>
      <c r="S14" s="28">
        <f>I14*T6</f>
        <v>42.925000000000004</v>
      </c>
      <c r="T14" s="28">
        <f>'[12]HT-DOCENTE'!R13</f>
        <v>0</v>
      </c>
      <c r="U14" s="28"/>
      <c r="V14" s="25">
        <f t="shared" si="1"/>
        <v>2398.8181880000002</v>
      </c>
      <c r="W14" s="28">
        <f>IF('[12]Calculo ISR '!$BD$34&gt;0,0,('[12]Calculo ISR '!$BD$34)*-1)</f>
        <v>0</v>
      </c>
      <c r="X14" s="25">
        <f t="shared" si="2"/>
        <v>2325.9318120000003</v>
      </c>
      <c r="Y14" s="25">
        <f t="shared" si="3"/>
        <v>250.64000000000001</v>
      </c>
      <c r="Z14" s="161"/>
      <c r="AA14" s="162"/>
    </row>
    <row r="15" spans="1:27" s="35" customFormat="1" ht="45" customHeight="1">
      <c r="A15" s="21" t="s">
        <v>38</v>
      </c>
      <c r="B15" s="33" t="s">
        <v>39</v>
      </c>
      <c r="C15" s="32">
        <v>11</v>
      </c>
      <c r="D15" s="32">
        <v>7.5</v>
      </c>
      <c r="E15" s="24">
        <v>305.5</v>
      </c>
      <c r="F15" s="24">
        <v>348.3</v>
      </c>
      <c r="G15" s="24">
        <f t="shared" si="4"/>
        <v>3360.5</v>
      </c>
      <c r="H15" s="24">
        <f t="shared" si="4"/>
        <v>2612.25</v>
      </c>
      <c r="I15" s="25">
        <f t="shared" si="0"/>
        <v>5972.75</v>
      </c>
      <c r="J15" s="25">
        <f t="shared" si="5"/>
        <v>356.68</v>
      </c>
      <c r="K15" s="25">
        <f>(C15+D15)*I6</f>
        <v>202.57499999999999</v>
      </c>
      <c r="L15" s="25">
        <f>(C15+D15)*E7</f>
        <v>412.55</v>
      </c>
      <c r="M15" s="25"/>
      <c r="N15" s="25">
        <f>'[12]HT-DOCENTE'!J14</f>
        <v>0</v>
      </c>
      <c r="O15" s="25">
        <f t="shared" si="6"/>
        <v>6944.5550000000003</v>
      </c>
      <c r="P15" s="27">
        <f>IF('[12]Calculo ISR '!$BE$34&lt;0,0,'[12]Calculo ISR '!$BE$34)</f>
        <v>859.98092400000007</v>
      </c>
      <c r="Q15" s="28">
        <f>I15*N6</f>
        <v>627.13874999999996</v>
      </c>
      <c r="R15" s="28">
        <v>1655</v>
      </c>
      <c r="S15" s="28">
        <f>I15*T6</f>
        <v>59.727499999999999</v>
      </c>
      <c r="T15" s="28">
        <f>'[12]HT-DOCENTE'!R14</f>
        <v>0</v>
      </c>
      <c r="U15" s="28"/>
      <c r="V15" s="25">
        <f t="shared" si="1"/>
        <v>3201.847174</v>
      </c>
      <c r="W15" s="28">
        <f>IF('[12]Calculo ISR '!$BE$34&gt;0,0,('[12]Calculo ISR '!$BE$34)*-1)</f>
        <v>0</v>
      </c>
      <c r="X15" s="25">
        <f t="shared" si="2"/>
        <v>3386.0278260000005</v>
      </c>
      <c r="Y15" s="25">
        <f t="shared" si="3"/>
        <v>356.68</v>
      </c>
      <c r="Z15" s="161"/>
      <c r="AA15" s="162"/>
    </row>
    <row r="16" spans="1:27" s="35" customFormat="1" ht="45" customHeight="1">
      <c r="A16" s="21" t="s">
        <v>40</v>
      </c>
      <c r="B16" s="33" t="s">
        <v>41</v>
      </c>
      <c r="C16" s="32">
        <f>'[12]HT-DOCENTE'!C15</f>
        <v>19.5</v>
      </c>
      <c r="D16" s="32">
        <v>0</v>
      </c>
      <c r="E16" s="24">
        <v>305.5</v>
      </c>
      <c r="F16" s="24">
        <v>348.3</v>
      </c>
      <c r="G16" s="24">
        <f t="shared" si="4"/>
        <v>5957.25</v>
      </c>
      <c r="H16" s="24">
        <f t="shared" si="4"/>
        <v>0</v>
      </c>
      <c r="I16" s="25">
        <f t="shared" si="0"/>
        <v>5957.25</v>
      </c>
      <c r="J16" s="25">
        <f t="shared" si="5"/>
        <v>375.96000000000004</v>
      </c>
      <c r="K16" s="25">
        <f>(C16+D16)*I6</f>
        <v>213.52499999999998</v>
      </c>
      <c r="L16" s="25">
        <f>(C16+D16)*E7</f>
        <v>434.85</v>
      </c>
      <c r="M16" s="25"/>
      <c r="N16" s="25">
        <f>'[12]HT-DOCENTE'!J15</f>
        <v>0</v>
      </c>
      <c r="O16" s="25">
        <f t="shared" si="6"/>
        <v>6981.585</v>
      </c>
      <c r="P16" s="27">
        <f>IF('[12]Calculo ISR '!$BF$34&lt;0,0,'[12]Calculo ISR '!$BF$34)</f>
        <v>863.77232400000003</v>
      </c>
      <c r="Q16" s="28">
        <f>I16*N6</f>
        <v>625.51125000000002</v>
      </c>
      <c r="R16" s="28">
        <f>'[12]HT-DOCENTE'!P15</f>
        <v>0</v>
      </c>
      <c r="S16" s="28">
        <f>I16*T6</f>
        <v>59.572499999999998</v>
      </c>
      <c r="T16" s="28">
        <v>0</v>
      </c>
      <c r="U16" s="28"/>
      <c r="V16" s="25">
        <f t="shared" si="1"/>
        <v>1548.856074</v>
      </c>
      <c r="W16" s="28">
        <f>IF('[12]Calculo ISR '!$BF$34&gt;0,0,('[12]Calculo ISR '!$BF$34)*-1)</f>
        <v>0</v>
      </c>
      <c r="X16" s="25">
        <f t="shared" si="2"/>
        <v>5056.7689259999997</v>
      </c>
      <c r="Y16" s="25">
        <f t="shared" si="3"/>
        <v>375.96000000000004</v>
      </c>
      <c r="Z16" s="161"/>
      <c r="AA16" s="162"/>
    </row>
    <row r="17" spans="1:28" s="35" customFormat="1" ht="45" customHeight="1">
      <c r="A17" s="21" t="s">
        <v>42</v>
      </c>
      <c r="B17" s="33" t="s">
        <v>43</v>
      </c>
      <c r="C17" s="32">
        <v>2</v>
      </c>
      <c r="D17" s="32">
        <v>0</v>
      </c>
      <c r="E17" s="24">
        <v>305.5</v>
      </c>
      <c r="F17" s="24">
        <v>348.3</v>
      </c>
      <c r="G17" s="24">
        <f t="shared" si="4"/>
        <v>611</v>
      </c>
      <c r="H17" s="24">
        <f t="shared" si="4"/>
        <v>0</v>
      </c>
      <c r="I17" s="25">
        <f t="shared" si="0"/>
        <v>611</v>
      </c>
      <c r="J17" s="25">
        <f t="shared" si="5"/>
        <v>38.56</v>
      </c>
      <c r="K17" s="25">
        <f>(C17+D17)*I6</f>
        <v>21.9</v>
      </c>
      <c r="L17" s="25">
        <f>(C17+D17)*E7*2</f>
        <v>89.2</v>
      </c>
      <c r="M17" s="25"/>
      <c r="N17" s="25">
        <f>'[12]HT-DOCENTE'!J16</f>
        <v>0</v>
      </c>
      <c r="O17" s="25">
        <f t="shared" si="6"/>
        <v>760.66</v>
      </c>
      <c r="P17" s="27">
        <f>IF('[12]Calculo ISR '!$BG$34&lt;0,0,'[12]Calculo ISR '!$BG$34)</f>
        <v>0</v>
      </c>
      <c r="Q17" s="28">
        <f>I17*N6</f>
        <v>64.155000000000001</v>
      </c>
      <c r="R17" s="28">
        <v>0</v>
      </c>
      <c r="S17" s="28">
        <f>I17*T6</f>
        <v>6.11</v>
      </c>
      <c r="T17" s="28">
        <f>'[12]HT-DOCENTE'!R16</f>
        <v>0</v>
      </c>
      <c r="U17" s="28"/>
      <c r="V17" s="25">
        <f t="shared" si="1"/>
        <v>70.265000000000001</v>
      </c>
      <c r="W17" s="28">
        <f>IF('[12]Calculo ISR '!$BG$34&gt;0,0,('[12]Calculo ISR '!$BG$34)*-1)</f>
        <v>165.65343999999999</v>
      </c>
      <c r="X17" s="25">
        <f t="shared" si="2"/>
        <v>817.48844000000008</v>
      </c>
      <c r="Y17" s="25">
        <f t="shared" si="3"/>
        <v>38.56</v>
      </c>
      <c r="Z17" s="161"/>
      <c r="AA17" s="162"/>
    </row>
    <row r="18" spans="1:28" s="35" customFormat="1" ht="45" customHeight="1">
      <c r="A18" s="21" t="s">
        <v>44</v>
      </c>
      <c r="B18" s="33" t="s">
        <v>45</v>
      </c>
      <c r="C18" s="34">
        <v>11</v>
      </c>
      <c r="D18" s="34">
        <v>7.5</v>
      </c>
      <c r="E18" s="24">
        <v>305.5</v>
      </c>
      <c r="F18" s="24">
        <v>348.3</v>
      </c>
      <c r="G18" s="24">
        <f t="shared" si="4"/>
        <v>3360.5</v>
      </c>
      <c r="H18" s="24">
        <f t="shared" si="4"/>
        <v>2612.25</v>
      </c>
      <c r="I18" s="25">
        <f t="shared" si="0"/>
        <v>5972.75</v>
      </c>
      <c r="J18" s="25">
        <f t="shared" si="5"/>
        <v>356.68</v>
      </c>
      <c r="K18" s="25">
        <f>(C18+D18)*I6</f>
        <v>202.57499999999999</v>
      </c>
      <c r="L18" s="25"/>
      <c r="M18" s="25"/>
      <c r="N18" s="25">
        <f>'[12]HT-DOCENTE'!J17</f>
        <v>0</v>
      </c>
      <c r="O18" s="25">
        <f t="shared" si="6"/>
        <v>6532.0050000000001</v>
      </c>
      <c r="P18" s="27">
        <f>IF('[12]Calculo ISR '!$BH$34&lt;0,0,'[12]Calculo ISR '!$BH$34)</f>
        <v>771.86024400000008</v>
      </c>
      <c r="Q18" s="28">
        <f>I18*N6</f>
        <v>627.13874999999996</v>
      </c>
      <c r="R18" s="28">
        <f>'[12]HT-DOCENTE'!P17</f>
        <v>0</v>
      </c>
      <c r="S18" s="28">
        <f>I18*T6</f>
        <v>59.727499999999999</v>
      </c>
      <c r="T18" s="28">
        <f>'[12]HT-DOCENTE'!R17</f>
        <v>0</v>
      </c>
      <c r="U18" s="28"/>
      <c r="V18" s="25">
        <f t="shared" si="1"/>
        <v>1458.726494</v>
      </c>
      <c r="W18" s="28">
        <f>IF('[12]Calculo ISR '!$BH$34&gt;0,0,('[12]Calculo ISR '!$BH$34)*-1)</f>
        <v>0</v>
      </c>
      <c r="X18" s="25">
        <f t="shared" si="2"/>
        <v>4716.5985060000003</v>
      </c>
      <c r="Y18" s="25">
        <f t="shared" si="3"/>
        <v>356.68</v>
      </c>
      <c r="Z18" s="161"/>
      <c r="AA18" s="162"/>
    </row>
    <row r="19" spans="1:28" s="35" customFormat="1" ht="45" customHeight="1">
      <c r="A19" s="21" t="s">
        <v>48</v>
      </c>
      <c r="B19" s="33" t="s">
        <v>49</v>
      </c>
      <c r="C19" s="34">
        <v>19.5</v>
      </c>
      <c r="D19" s="34">
        <v>0</v>
      </c>
      <c r="E19" s="24">
        <v>305.5</v>
      </c>
      <c r="F19" s="24">
        <v>348.3</v>
      </c>
      <c r="G19" s="24">
        <f t="shared" si="4"/>
        <v>5957.25</v>
      </c>
      <c r="H19" s="24">
        <f t="shared" si="4"/>
        <v>0</v>
      </c>
      <c r="I19" s="25">
        <f t="shared" si="0"/>
        <v>5957.25</v>
      </c>
      <c r="J19" s="25">
        <f t="shared" si="5"/>
        <v>375.96000000000004</v>
      </c>
      <c r="K19" s="25">
        <f>(C19+D19)*I6</f>
        <v>213.52499999999998</v>
      </c>
      <c r="L19" s="25"/>
      <c r="M19" s="25"/>
      <c r="N19" s="25">
        <v>0</v>
      </c>
      <c r="O19" s="25">
        <f t="shared" si="6"/>
        <v>6546.7349999999997</v>
      </c>
      <c r="P19" s="27">
        <f>IF('[12]Calculo ISR '!$BJ$34&lt;0,0,'[12]Calculo ISR '!$BJ$34)</f>
        <v>770.88836400000002</v>
      </c>
      <c r="Q19" s="28">
        <f>I19*N6</f>
        <v>625.51125000000002</v>
      </c>
      <c r="R19" s="28">
        <f>'[12]HT-DOCENTE'!P19</f>
        <v>0</v>
      </c>
      <c r="S19" s="28">
        <f>I19*T6</f>
        <v>59.572499999999998</v>
      </c>
      <c r="T19" s="28">
        <f>'[12]HT-DOCENTE'!R19</f>
        <v>0</v>
      </c>
      <c r="U19" s="28"/>
      <c r="V19" s="25">
        <f t="shared" si="1"/>
        <v>1455.9721139999999</v>
      </c>
      <c r="W19" s="28">
        <f>IF('[12]Calculo ISR '!$BJ$34&gt;0,0,('[12]Calculo ISR '!$BJ$34)*-1)</f>
        <v>0</v>
      </c>
      <c r="X19" s="25">
        <f t="shared" si="2"/>
        <v>4714.8028859999995</v>
      </c>
      <c r="Y19" s="25">
        <f t="shared" si="3"/>
        <v>375.96000000000004</v>
      </c>
      <c r="Z19" s="161"/>
      <c r="AA19" s="162"/>
    </row>
    <row r="20" spans="1:28" s="35" customFormat="1" ht="45" customHeight="1">
      <c r="A20" s="21" t="s">
        <v>50</v>
      </c>
      <c r="B20" s="33" t="s">
        <v>51</v>
      </c>
      <c r="C20" s="34">
        <v>18.5</v>
      </c>
      <c r="D20" s="34">
        <v>0</v>
      </c>
      <c r="E20" s="24">
        <v>305.5</v>
      </c>
      <c r="F20" s="24">
        <v>348.3</v>
      </c>
      <c r="G20" s="24">
        <f t="shared" si="4"/>
        <v>5651.75</v>
      </c>
      <c r="H20" s="24">
        <f t="shared" si="4"/>
        <v>0</v>
      </c>
      <c r="I20" s="25">
        <f t="shared" si="0"/>
        <v>5651.75</v>
      </c>
      <c r="J20" s="25">
        <f t="shared" si="5"/>
        <v>356.68</v>
      </c>
      <c r="K20" s="25">
        <f>(C20+D20)*I6</f>
        <v>202.57499999999999</v>
      </c>
      <c r="L20" s="25"/>
      <c r="M20" s="25"/>
      <c r="N20" s="25">
        <v>0</v>
      </c>
      <c r="O20" s="25">
        <f t="shared" si="6"/>
        <v>6211.0050000000001</v>
      </c>
      <c r="P20" s="27">
        <f>IF('[12]Calculo ISR '!$BK$34&lt;0,0,'[12]Calculo ISR '!$BK$34)</f>
        <v>703.29464400000006</v>
      </c>
      <c r="Q20" s="28">
        <f>I20*N6</f>
        <v>593.43375000000003</v>
      </c>
      <c r="R20" s="28">
        <v>1570</v>
      </c>
      <c r="S20" s="28">
        <f>I20*T6</f>
        <v>56.517499999999998</v>
      </c>
      <c r="T20" s="28"/>
      <c r="U20" s="28"/>
      <c r="V20" s="25">
        <f t="shared" si="1"/>
        <v>2923.2458940000001</v>
      </c>
      <c r="W20" s="28">
        <f>IF('[12]Calculo ISR '!$BK$34&gt;0,0,('[12]Calculo ISR '!$BK$34)*-1)</f>
        <v>0</v>
      </c>
      <c r="X20" s="25">
        <f t="shared" si="2"/>
        <v>2931.0791060000001</v>
      </c>
      <c r="Y20" s="25">
        <f t="shared" si="3"/>
        <v>356.68</v>
      </c>
      <c r="Z20" s="161"/>
      <c r="AA20" s="162"/>
    </row>
    <row r="21" spans="1:28" s="35" customFormat="1" ht="45" customHeight="1">
      <c r="A21" s="21" t="s">
        <v>52</v>
      </c>
      <c r="B21" s="33" t="s">
        <v>53</v>
      </c>
      <c r="C21" s="34">
        <v>19.5</v>
      </c>
      <c r="D21" s="34">
        <v>0</v>
      </c>
      <c r="E21" s="24">
        <v>305.5</v>
      </c>
      <c r="F21" s="24">
        <v>348.3</v>
      </c>
      <c r="G21" s="24">
        <f t="shared" si="4"/>
        <v>5957.25</v>
      </c>
      <c r="H21" s="24">
        <f t="shared" si="4"/>
        <v>0</v>
      </c>
      <c r="I21" s="25">
        <f t="shared" si="0"/>
        <v>5957.25</v>
      </c>
      <c r="J21" s="25">
        <f t="shared" si="5"/>
        <v>375.96000000000004</v>
      </c>
      <c r="K21" s="25">
        <f>(C21+D21)*I6</f>
        <v>213.52499999999998</v>
      </c>
      <c r="L21" s="25"/>
      <c r="M21" s="25"/>
      <c r="N21" s="25">
        <v>0</v>
      </c>
      <c r="O21" s="25">
        <f t="shared" si="6"/>
        <v>6546.7349999999997</v>
      </c>
      <c r="P21" s="27">
        <f>IF('[12]Calculo ISR '!$BL$34&lt;0,0,'[12]Calculo ISR '!$BL$34)</f>
        <v>770.88836400000002</v>
      </c>
      <c r="Q21" s="28">
        <f>I21*N6</f>
        <v>625.51125000000002</v>
      </c>
      <c r="R21" s="28">
        <f>'[12]HT-DOCENTE'!P21</f>
        <v>0</v>
      </c>
      <c r="S21" s="28">
        <f>I21*T6</f>
        <v>59.572499999999998</v>
      </c>
      <c r="T21" s="28"/>
      <c r="U21" s="28"/>
      <c r="V21" s="25">
        <f t="shared" si="1"/>
        <v>1455.9721139999999</v>
      </c>
      <c r="W21" s="28">
        <f>IF('[12]Calculo ISR '!$BL$34&gt;0,0,('[12]Calculo ISR '!$BL$34)*-1)</f>
        <v>0</v>
      </c>
      <c r="X21" s="25">
        <f t="shared" si="2"/>
        <v>4714.8028859999995</v>
      </c>
      <c r="Y21" s="25">
        <f t="shared" si="3"/>
        <v>375.96000000000004</v>
      </c>
      <c r="Z21" s="161"/>
      <c r="AA21" s="162"/>
    </row>
    <row r="22" spans="1:28" s="35" customFormat="1" ht="45" customHeight="1">
      <c r="A22" s="21" t="s">
        <v>54</v>
      </c>
      <c r="B22" s="33" t="s">
        <v>55</v>
      </c>
      <c r="C22" s="34">
        <v>19.5</v>
      </c>
      <c r="D22" s="34">
        <v>0</v>
      </c>
      <c r="E22" s="24">
        <v>305.5</v>
      </c>
      <c r="F22" s="24">
        <v>348.3</v>
      </c>
      <c r="G22" s="24">
        <f t="shared" si="4"/>
        <v>5957.25</v>
      </c>
      <c r="H22" s="24">
        <f t="shared" si="4"/>
        <v>0</v>
      </c>
      <c r="I22" s="25">
        <f t="shared" si="0"/>
        <v>5957.25</v>
      </c>
      <c r="J22" s="25">
        <f t="shared" si="5"/>
        <v>375.96000000000004</v>
      </c>
      <c r="K22" s="25">
        <f>(C22+D22)*I6</f>
        <v>213.52499999999998</v>
      </c>
      <c r="L22" s="25"/>
      <c r="M22" s="25"/>
      <c r="N22" s="25">
        <v>0</v>
      </c>
      <c r="O22" s="25">
        <f t="shared" si="6"/>
        <v>6546.7349999999997</v>
      </c>
      <c r="P22" s="27">
        <f>IF('[12]Calculo ISR '!$BM$34&lt;0,0,'[12]Calculo ISR '!$BM$34)</f>
        <v>770.88836400000002</v>
      </c>
      <c r="Q22" s="28">
        <f>I22*N6</f>
        <v>625.51125000000002</v>
      </c>
      <c r="R22" s="28">
        <v>1324</v>
      </c>
      <c r="S22" s="28">
        <f>I22*T6</f>
        <v>59.572499999999998</v>
      </c>
      <c r="T22" s="28">
        <f>'[12]HT-DOCENTE'!R22</f>
        <v>0</v>
      </c>
      <c r="U22" s="28"/>
      <c r="V22" s="25">
        <f t="shared" si="1"/>
        <v>2779.9721140000001</v>
      </c>
      <c r="W22" s="28">
        <f>IF('[12]Calculo ISR '!$BM$34&gt;0,0,('[12]Calculo ISR '!$BM$34)*-1)</f>
        <v>0</v>
      </c>
      <c r="X22" s="25">
        <f t="shared" si="2"/>
        <v>3390.8028859999995</v>
      </c>
      <c r="Y22" s="25">
        <f t="shared" si="3"/>
        <v>375.96000000000004</v>
      </c>
      <c r="Z22" s="161"/>
      <c r="AA22" s="162"/>
    </row>
    <row r="23" spans="1:28" s="35" customFormat="1" ht="45" customHeight="1">
      <c r="A23" s="21" t="s">
        <v>56</v>
      </c>
      <c r="B23" s="33" t="s">
        <v>57</v>
      </c>
      <c r="C23" s="34">
        <v>19</v>
      </c>
      <c r="D23" s="34">
        <v>0</v>
      </c>
      <c r="E23" s="24">
        <v>305.5</v>
      </c>
      <c r="F23" s="24">
        <v>348.3</v>
      </c>
      <c r="G23" s="24">
        <f t="shared" si="4"/>
        <v>5804.5</v>
      </c>
      <c r="H23" s="24">
        <f t="shared" si="4"/>
        <v>0</v>
      </c>
      <c r="I23" s="25">
        <f t="shared" si="0"/>
        <v>5804.5</v>
      </c>
      <c r="J23" s="25">
        <f t="shared" si="5"/>
        <v>366.32000000000005</v>
      </c>
      <c r="K23" s="25">
        <f>(C23+D23)*I6</f>
        <v>208.04999999999998</v>
      </c>
      <c r="L23" s="25">
        <f>(C23+D23)*E7</f>
        <v>423.7</v>
      </c>
      <c r="M23" s="25"/>
      <c r="N23" s="25">
        <v>0</v>
      </c>
      <c r="O23" s="25">
        <f t="shared" si="6"/>
        <v>6802.57</v>
      </c>
      <c r="P23" s="27">
        <f>IF('[12]Calculo ISR '!$BN$34&lt;0,0,'[12]Calculo ISR '!$BN$34)</f>
        <v>827.59382400000004</v>
      </c>
      <c r="Q23" s="28">
        <f>I23*N6</f>
        <v>609.47249999999997</v>
      </c>
      <c r="R23" s="28">
        <f>'[12]HT-DOCENTE'!P23</f>
        <v>0</v>
      </c>
      <c r="S23" s="28">
        <f>I23*T6</f>
        <v>58.045000000000002</v>
      </c>
      <c r="T23" s="28">
        <f>'[12]HT-DOCENTE'!R23</f>
        <v>0</v>
      </c>
      <c r="U23" s="30">
        <f>[12]descuentos!D7</f>
        <v>0</v>
      </c>
      <c r="V23" s="25">
        <f t="shared" si="1"/>
        <v>1495.111324</v>
      </c>
      <c r="W23" s="28">
        <f>IF('[12]Calculo ISR '!$BN$34&gt;0,0,('[12]Calculo ISR '!$BN$34)*-1)</f>
        <v>0</v>
      </c>
      <c r="X23" s="25">
        <f t="shared" si="2"/>
        <v>4941.1386760000005</v>
      </c>
      <c r="Y23" s="25">
        <f t="shared" si="3"/>
        <v>366.32000000000005</v>
      </c>
      <c r="Z23" s="161"/>
      <c r="AA23" s="162"/>
    </row>
    <row r="24" spans="1:28" s="35" customFormat="1" ht="45" customHeight="1">
      <c r="A24" s="21" t="s">
        <v>58</v>
      </c>
      <c r="B24" s="33" t="s">
        <v>59</v>
      </c>
      <c r="C24" s="34">
        <v>11</v>
      </c>
      <c r="D24" s="34">
        <v>0</v>
      </c>
      <c r="E24" s="24">
        <v>305.5</v>
      </c>
      <c r="F24" s="24">
        <v>348.3</v>
      </c>
      <c r="G24" s="24">
        <f t="shared" si="4"/>
        <v>3360.5</v>
      </c>
      <c r="H24" s="24">
        <f t="shared" si="4"/>
        <v>0</v>
      </c>
      <c r="I24" s="25">
        <f t="shared" si="0"/>
        <v>3360.5</v>
      </c>
      <c r="J24" s="25">
        <f t="shared" si="5"/>
        <v>212.08</v>
      </c>
      <c r="K24" s="25">
        <f>(C24+D24)*I6</f>
        <v>120.44999999999999</v>
      </c>
      <c r="L24" s="25"/>
      <c r="M24" s="25"/>
      <c r="N24" s="25"/>
      <c r="O24" s="25">
        <f t="shared" si="6"/>
        <v>3693.0299999999997</v>
      </c>
      <c r="P24" s="27">
        <f>IF('[12]Calculo ISR '!$BO$34&lt;0,0,'[12]Calculo ISR '!$BO$34)</f>
        <v>149.54427199999995</v>
      </c>
      <c r="Q24" s="28">
        <f>I24*N6</f>
        <v>352.85249999999996</v>
      </c>
      <c r="R24" s="28">
        <v>707</v>
      </c>
      <c r="S24" s="28">
        <f>I24*T6</f>
        <v>33.605000000000004</v>
      </c>
      <c r="T24" s="28"/>
      <c r="U24" s="28"/>
      <c r="V24" s="25">
        <f t="shared" si="1"/>
        <v>1243.0017720000001</v>
      </c>
      <c r="W24" s="28">
        <f>IF('[12]Calculo ISR '!$BO$34&gt;0,0,('[12]Calculo ISR '!$BO$34)*-1)</f>
        <v>0</v>
      </c>
      <c r="X24" s="25">
        <f t="shared" si="2"/>
        <v>2237.9482279999997</v>
      </c>
      <c r="Y24" s="25">
        <f t="shared" si="3"/>
        <v>212.08</v>
      </c>
      <c r="Z24" s="161"/>
      <c r="AA24" s="162"/>
    </row>
    <row r="25" spans="1:28" s="35" customFormat="1" ht="45" customHeight="1">
      <c r="A25" s="21" t="s">
        <v>60</v>
      </c>
      <c r="B25" s="33" t="s">
        <v>100</v>
      </c>
      <c r="C25" s="34">
        <v>18.5</v>
      </c>
      <c r="D25" s="34"/>
      <c r="E25" s="24">
        <v>305.5</v>
      </c>
      <c r="F25" s="24">
        <v>348.3</v>
      </c>
      <c r="G25" s="24">
        <f t="shared" si="4"/>
        <v>5651.75</v>
      </c>
      <c r="H25" s="24">
        <f t="shared" si="4"/>
        <v>0</v>
      </c>
      <c r="I25" s="25">
        <f t="shared" si="0"/>
        <v>5651.75</v>
      </c>
      <c r="J25" s="25">
        <f t="shared" si="5"/>
        <v>356.68</v>
      </c>
      <c r="K25" s="25">
        <f>(C25+D25)*I6</f>
        <v>202.57499999999999</v>
      </c>
      <c r="L25" s="25"/>
      <c r="M25" s="25"/>
      <c r="N25" s="25"/>
      <c r="O25" s="25">
        <f t="shared" si="6"/>
        <v>6211.0050000000001</v>
      </c>
      <c r="P25" s="27">
        <f>IF('[12]Calculo ISR '!$BP$34&lt;0,0,'[12]Calculo ISR '!$BP$34)</f>
        <v>703.29464400000006</v>
      </c>
      <c r="Q25" s="28">
        <f>I25*N6</f>
        <v>593.43375000000003</v>
      </c>
      <c r="R25" s="28"/>
      <c r="S25" s="28"/>
      <c r="T25" s="28"/>
      <c r="U25" s="28"/>
      <c r="V25" s="25">
        <f t="shared" ref="V25:V38" si="7">P25+Q25+R25+S25+T25+U25</f>
        <v>1296.7283940000002</v>
      </c>
      <c r="W25" s="28">
        <f>IF('[12]Calculo ISR '!$BP$34&gt;0,0,('[12]Calculo ISR '!$BP$34)*-1)</f>
        <v>0</v>
      </c>
      <c r="X25" s="25">
        <f t="shared" si="2"/>
        <v>4557.5966059999992</v>
      </c>
      <c r="Y25" s="25">
        <f t="shared" si="3"/>
        <v>356.68</v>
      </c>
      <c r="Z25" s="161"/>
      <c r="AA25" s="162"/>
    </row>
    <row r="26" spans="1:28" s="35" customFormat="1" ht="45" customHeight="1">
      <c r="A26" s="21" t="s">
        <v>62</v>
      </c>
      <c r="B26" s="33" t="s">
        <v>63</v>
      </c>
      <c r="C26" s="34">
        <v>17.5</v>
      </c>
      <c r="D26" s="34">
        <v>0</v>
      </c>
      <c r="E26" s="24">
        <v>305.5</v>
      </c>
      <c r="F26" s="24">
        <v>348.3</v>
      </c>
      <c r="G26" s="24">
        <f t="shared" si="4"/>
        <v>5346.25</v>
      </c>
      <c r="H26" s="24">
        <f t="shared" si="4"/>
        <v>0</v>
      </c>
      <c r="I26" s="25">
        <f t="shared" si="0"/>
        <v>5346.25</v>
      </c>
      <c r="J26" s="25">
        <f t="shared" si="5"/>
        <v>337.40000000000003</v>
      </c>
      <c r="K26" s="25">
        <f>(C26+D26)*I6</f>
        <v>191.625</v>
      </c>
      <c r="L26" s="25"/>
      <c r="M26" s="25"/>
      <c r="N26" s="25">
        <v>0</v>
      </c>
      <c r="O26" s="25">
        <f t="shared" si="6"/>
        <v>5875.2749999999996</v>
      </c>
      <c r="P26" s="27">
        <f>IF('[12]Calculo ISR '!$BQ$34&lt;0,0,'[12]Calculo ISR '!$BQ$34)</f>
        <v>635.7009240000001</v>
      </c>
      <c r="Q26" s="28">
        <f>I26*N6</f>
        <v>561.35624999999993</v>
      </c>
      <c r="R26" s="28"/>
      <c r="S26" s="28">
        <f>I26*T6</f>
        <v>53.462499999999999</v>
      </c>
      <c r="T26" s="28"/>
      <c r="U26" s="28"/>
      <c r="V26" s="25">
        <f t="shared" si="7"/>
        <v>1250.5196740000001</v>
      </c>
      <c r="W26" s="28">
        <f>IF('[12]Calculo ISR '!$BQ$34&gt;0,0,('[12]Calculo ISR '!$BQ$34)*-1)</f>
        <v>0</v>
      </c>
      <c r="X26" s="25">
        <f t="shared" ref="X26:X38" si="8">O26-V26+W26-Y26</f>
        <v>4287.3553259999999</v>
      </c>
      <c r="Y26" s="25">
        <f t="shared" si="3"/>
        <v>337.40000000000003</v>
      </c>
      <c r="Z26" s="161"/>
      <c r="AA26" s="162"/>
    </row>
    <row r="27" spans="1:28" s="35" customFormat="1" ht="45" customHeight="1">
      <c r="A27" s="21" t="s">
        <v>64</v>
      </c>
      <c r="B27" s="33" t="s">
        <v>65</v>
      </c>
      <c r="C27" s="34">
        <v>17</v>
      </c>
      <c r="D27" s="34">
        <v>0</v>
      </c>
      <c r="E27" s="24">
        <v>305.5</v>
      </c>
      <c r="F27" s="24">
        <v>348.3</v>
      </c>
      <c r="G27" s="24">
        <f t="shared" si="4"/>
        <v>5193.5</v>
      </c>
      <c r="H27" s="24">
        <f t="shared" si="4"/>
        <v>0</v>
      </c>
      <c r="I27" s="25">
        <f t="shared" si="0"/>
        <v>5193.5</v>
      </c>
      <c r="J27" s="25">
        <f t="shared" si="5"/>
        <v>327.76</v>
      </c>
      <c r="K27" s="25">
        <f>(C27+D27)*I6</f>
        <v>186.14999999999998</v>
      </c>
      <c r="L27" s="25"/>
      <c r="M27" s="25"/>
      <c r="N27" s="25">
        <v>0</v>
      </c>
      <c r="O27" s="25">
        <f t="shared" si="6"/>
        <v>5707.41</v>
      </c>
      <c r="P27" s="27">
        <f>IF('[12]Calculo ISR '!$BR$34&lt;0,0,'[12]Calculo ISR '!$BR$34)</f>
        <v>601.90406400000006</v>
      </c>
      <c r="Q27" s="28">
        <f>I27*N6</f>
        <v>545.3175</v>
      </c>
      <c r="R27" s="28"/>
      <c r="S27" s="28"/>
      <c r="T27" s="28"/>
      <c r="U27" s="28"/>
      <c r="V27" s="25">
        <f t="shared" si="7"/>
        <v>1147.2215639999999</v>
      </c>
      <c r="W27" s="28">
        <f>IF('[12]Calculo ISR '!$BR$34&gt;0,0,('[12]Calculo ISR '!$BR$34)*-1)</f>
        <v>0</v>
      </c>
      <c r="X27" s="25">
        <f t="shared" si="8"/>
        <v>4232.4284360000001</v>
      </c>
      <c r="Y27" s="25">
        <f t="shared" si="3"/>
        <v>327.76</v>
      </c>
      <c r="Z27" s="161"/>
      <c r="AA27" s="162"/>
    </row>
    <row r="28" spans="1:28" s="35" customFormat="1" ht="45" customHeight="1">
      <c r="A28" s="21" t="s">
        <v>66</v>
      </c>
      <c r="B28" s="36" t="s">
        <v>67</v>
      </c>
      <c r="C28" s="34">
        <v>11.5</v>
      </c>
      <c r="D28" s="34">
        <v>0</v>
      </c>
      <c r="E28" s="24">
        <v>305.5</v>
      </c>
      <c r="F28" s="24">
        <v>348.3</v>
      </c>
      <c r="G28" s="24">
        <f t="shared" si="4"/>
        <v>3513.25</v>
      </c>
      <c r="H28" s="24">
        <f t="shared" si="4"/>
        <v>0</v>
      </c>
      <c r="I28" s="25">
        <f t="shared" si="0"/>
        <v>3513.25</v>
      </c>
      <c r="J28" s="25">
        <f t="shared" si="5"/>
        <v>221.72000000000003</v>
      </c>
      <c r="K28" s="25">
        <f>(C28+D28)*I6</f>
        <v>125.925</v>
      </c>
      <c r="L28" s="25"/>
      <c r="M28" s="25"/>
      <c r="N28" s="25">
        <v>0</v>
      </c>
      <c r="O28" s="25">
        <f t="shared" si="6"/>
        <v>3860.8950000000004</v>
      </c>
      <c r="P28" s="27">
        <f>IF('[12]Calculo ISR '!$BS$34&lt;0,0,'[12]Calculo ISR '!$BS$34)</f>
        <v>184.45915199999999</v>
      </c>
      <c r="Q28" s="28">
        <f>I28*N6</f>
        <v>368.89125000000001</v>
      </c>
      <c r="R28" s="28"/>
      <c r="S28" s="28"/>
      <c r="T28" s="28"/>
      <c r="U28" s="28"/>
      <c r="V28" s="25">
        <f t="shared" si="7"/>
        <v>553.35040200000003</v>
      </c>
      <c r="W28" s="28">
        <f>IF('[12]Calculo ISR '!$BS$34&gt;0,0,('[12]Calculo ISR '!$BS$34)*-1)</f>
        <v>0</v>
      </c>
      <c r="X28" s="25">
        <f t="shared" si="8"/>
        <v>3085.8245980000002</v>
      </c>
      <c r="Y28" s="25">
        <f t="shared" si="3"/>
        <v>221.72000000000003</v>
      </c>
      <c r="Z28" s="161"/>
      <c r="AA28" s="162"/>
    </row>
    <row r="29" spans="1:28" s="35" customFormat="1" ht="45" customHeight="1">
      <c r="A29" s="21" t="s">
        <v>68</v>
      </c>
      <c r="B29" s="33" t="s">
        <v>69</v>
      </c>
      <c r="C29" s="34">
        <v>10.5</v>
      </c>
      <c r="D29" s="34">
        <v>0</v>
      </c>
      <c r="E29" s="24">
        <v>305.5</v>
      </c>
      <c r="F29" s="24">
        <v>348.3</v>
      </c>
      <c r="G29" s="24">
        <f t="shared" si="4"/>
        <v>3207.75</v>
      </c>
      <c r="H29" s="24">
        <f t="shared" si="4"/>
        <v>0</v>
      </c>
      <c r="I29" s="25">
        <f t="shared" si="0"/>
        <v>3207.75</v>
      </c>
      <c r="J29" s="25">
        <f t="shared" si="5"/>
        <v>202.44</v>
      </c>
      <c r="K29" s="25">
        <f>(C29+D29)*I6</f>
        <v>114.97499999999999</v>
      </c>
      <c r="L29" s="25"/>
      <c r="M29" s="25"/>
      <c r="N29" s="25">
        <v>0</v>
      </c>
      <c r="O29" s="25">
        <f t="shared" si="6"/>
        <v>3525.165</v>
      </c>
      <c r="P29" s="27">
        <f>IF('[12]Calculo ISR '!$BT$34&lt;0,0,'[12]Calculo ISR '!$BT$34)</f>
        <v>132.32939199999996</v>
      </c>
      <c r="Q29" s="28">
        <f>I29*N6</f>
        <v>336.81374999999997</v>
      </c>
      <c r="R29" s="28"/>
      <c r="S29" s="28"/>
      <c r="T29" s="28"/>
      <c r="U29" s="28"/>
      <c r="V29" s="25">
        <f t="shared" si="7"/>
        <v>469.1431419999999</v>
      </c>
      <c r="W29" s="28">
        <f>IF('[12]Calculo ISR '!$BT$34&gt;0,0,('[12]Calculo ISR '!$BT$34)*-1)</f>
        <v>0</v>
      </c>
      <c r="X29" s="25">
        <f t="shared" si="8"/>
        <v>2853.581858</v>
      </c>
      <c r="Y29" s="25">
        <f t="shared" si="3"/>
        <v>202.44</v>
      </c>
      <c r="Z29" s="161"/>
      <c r="AA29" s="162"/>
    </row>
    <row r="30" spans="1:28" s="35" customFormat="1" ht="45" customHeight="1">
      <c r="A30" s="21" t="s">
        <v>70</v>
      </c>
      <c r="B30" s="33" t="s">
        <v>71</v>
      </c>
      <c r="C30" s="34">
        <v>9.5</v>
      </c>
      <c r="D30" s="34">
        <v>0</v>
      </c>
      <c r="E30" s="24">
        <v>305.5</v>
      </c>
      <c r="F30" s="24">
        <v>348.3</v>
      </c>
      <c r="G30" s="24">
        <f t="shared" si="4"/>
        <v>2902.25</v>
      </c>
      <c r="H30" s="24">
        <f t="shared" si="4"/>
        <v>0</v>
      </c>
      <c r="I30" s="25">
        <f t="shared" si="0"/>
        <v>2902.25</v>
      </c>
      <c r="J30" s="25">
        <f t="shared" si="5"/>
        <v>183.16000000000003</v>
      </c>
      <c r="K30" s="25">
        <f>(C30+D30)*I6</f>
        <v>104.02499999999999</v>
      </c>
      <c r="L30" s="25"/>
      <c r="M30" s="25"/>
      <c r="N30" s="25"/>
      <c r="O30" s="25">
        <f t="shared" si="6"/>
        <v>3189.4349999999999</v>
      </c>
      <c r="P30" s="27">
        <f>IF('[12]Calculo ISR '!$BU$34&lt;0,0,'[12]Calculo ISR '!$BU$34)</f>
        <v>77.649631999999968</v>
      </c>
      <c r="Q30" s="28">
        <f>I30*N6</f>
        <v>304.73624999999998</v>
      </c>
      <c r="R30" s="28"/>
      <c r="S30" s="28"/>
      <c r="T30" s="28"/>
      <c r="U30" s="28"/>
      <c r="V30" s="25">
        <f t="shared" si="7"/>
        <v>382.38588199999992</v>
      </c>
      <c r="W30" s="28">
        <f>IF('[12]Calculo ISR '!$BU$34&gt;0,0,('[12]Calculo ISR '!$BU$34)*-1)</f>
        <v>0</v>
      </c>
      <c r="X30" s="25">
        <f t="shared" si="8"/>
        <v>2623.8891180000001</v>
      </c>
      <c r="Y30" s="25">
        <f t="shared" si="3"/>
        <v>183.16000000000003</v>
      </c>
      <c r="Z30" s="161"/>
      <c r="AA30" s="162"/>
    </row>
    <row r="31" spans="1:28" s="35" customFormat="1" ht="45" customHeight="1">
      <c r="A31" s="21" t="s">
        <v>72</v>
      </c>
      <c r="B31" s="33" t="s">
        <v>73</v>
      </c>
      <c r="C31" s="34">
        <v>10</v>
      </c>
      <c r="D31" s="34">
        <v>0</v>
      </c>
      <c r="E31" s="24">
        <v>305.5</v>
      </c>
      <c r="F31" s="24">
        <v>348.3</v>
      </c>
      <c r="G31" s="24">
        <f t="shared" si="4"/>
        <v>3055</v>
      </c>
      <c r="H31" s="24">
        <f t="shared" si="4"/>
        <v>0</v>
      </c>
      <c r="I31" s="25">
        <f t="shared" si="0"/>
        <v>3055</v>
      </c>
      <c r="J31" s="25">
        <f t="shared" si="5"/>
        <v>192.8</v>
      </c>
      <c r="K31" s="25">
        <f>(C31+D31)*I6</f>
        <v>109.5</v>
      </c>
      <c r="L31" s="25"/>
      <c r="M31" s="25"/>
      <c r="N31" s="25"/>
      <c r="O31" s="25">
        <f t="shared" si="6"/>
        <v>3357.3</v>
      </c>
      <c r="P31" s="27">
        <f>IF('[12]Calculo ISR '!$BV$34&lt;0,0,'[12]Calculo ISR '!$BV$34)</f>
        <v>115.11451199999996</v>
      </c>
      <c r="Q31" s="28">
        <f>I31*N6</f>
        <v>320.77499999999998</v>
      </c>
      <c r="R31" s="28"/>
      <c r="S31" s="28"/>
      <c r="T31" s="28"/>
      <c r="U31" s="28"/>
      <c r="V31" s="25">
        <f t="shared" si="7"/>
        <v>435.88951199999997</v>
      </c>
      <c r="W31" s="28">
        <f>IF('[12]Calculo ISR '!$BV$34&gt;0,0,('[12]Calculo ISR '!$BV$34)*-1)</f>
        <v>0</v>
      </c>
      <c r="X31" s="25">
        <f t="shared" si="8"/>
        <v>2728.6104880000003</v>
      </c>
      <c r="Y31" s="25">
        <f t="shared" si="3"/>
        <v>192.8</v>
      </c>
      <c r="Z31" s="184"/>
      <c r="AA31" s="185"/>
      <c r="AB31" s="70"/>
    </row>
    <row r="32" spans="1:28" s="35" customFormat="1" ht="45" customHeight="1">
      <c r="A32" s="21" t="s">
        <v>94</v>
      </c>
      <c r="B32" s="33" t="s">
        <v>101</v>
      </c>
      <c r="C32" s="34">
        <v>14.5</v>
      </c>
      <c r="D32" s="34">
        <v>0</v>
      </c>
      <c r="E32" s="24">
        <v>305.5</v>
      </c>
      <c r="F32" s="24">
        <v>348.3</v>
      </c>
      <c r="G32" s="24">
        <f t="shared" si="4"/>
        <v>4429.75</v>
      </c>
      <c r="H32" s="24">
        <f t="shared" si="4"/>
        <v>0</v>
      </c>
      <c r="I32" s="25">
        <f t="shared" si="0"/>
        <v>4429.75</v>
      </c>
      <c r="J32" s="25">
        <f t="shared" si="5"/>
        <v>279.56</v>
      </c>
      <c r="K32" s="25">
        <f>(C32+D32)*I6</f>
        <v>158.77499999999998</v>
      </c>
      <c r="L32" s="25"/>
      <c r="M32" s="25"/>
      <c r="N32" s="25"/>
      <c r="O32" s="25">
        <f t="shared" si="6"/>
        <v>4868.085</v>
      </c>
      <c r="P32" s="27">
        <f>IF('[12]Calculo ISR '!$BW$34&lt;0,0,'[12]Calculo ISR '!$BW$34)</f>
        <v>449.76916800000004</v>
      </c>
      <c r="Q32" s="28">
        <f>I32*10.5%</f>
        <v>465.12374999999997</v>
      </c>
      <c r="R32" s="28"/>
      <c r="S32" s="28"/>
      <c r="T32" s="28"/>
      <c r="U32" s="28"/>
      <c r="V32" s="25">
        <f t="shared" si="7"/>
        <v>914.89291800000001</v>
      </c>
      <c r="W32" s="28">
        <f>IF('[12]Calculo ISR '!$BW$34&gt;0,0,('[12]Calculo ISR '!$BW$34)*-1)</f>
        <v>0</v>
      </c>
      <c r="X32" s="25">
        <f t="shared" si="8"/>
        <v>3673.6320820000001</v>
      </c>
      <c r="Y32" s="71">
        <f t="shared" si="3"/>
        <v>279.56</v>
      </c>
      <c r="Z32" s="132"/>
      <c r="AA32" s="73"/>
      <c r="AB32" s="70"/>
    </row>
    <row r="33" spans="1:31" s="35" customFormat="1" ht="45" customHeight="1">
      <c r="A33" s="21" t="s">
        <v>96</v>
      </c>
      <c r="B33" s="33" t="s">
        <v>102</v>
      </c>
      <c r="C33" s="34">
        <v>7.5</v>
      </c>
      <c r="D33" s="34">
        <v>0</v>
      </c>
      <c r="E33" s="24">
        <v>305.5</v>
      </c>
      <c r="F33" s="24">
        <v>348.3</v>
      </c>
      <c r="G33" s="24">
        <f t="shared" si="4"/>
        <v>2291.25</v>
      </c>
      <c r="H33" s="24">
        <f t="shared" si="4"/>
        <v>0</v>
      </c>
      <c r="I33" s="25">
        <f t="shared" si="0"/>
        <v>2291.25</v>
      </c>
      <c r="J33" s="25">
        <f t="shared" si="5"/>
        <v>144.60000000000002</v>
      </c>
      <c r="K33" s="25">
        <f>(C33+D33)*I6</f>
        <v>82.125</v>
      </c>
      <c r="L33" s="25"/>
      <c r="M33" s="25"/>
      <c r="N33" s="25"/>
      <c r="O33" s="25">
        <f t="shared" si="6"/>
        <v>2517.9749999999999</v>
      </c>
      <c r="P33" s="27">
        <f>IF('[12]Calculo ISR '!$BX$34&lt;0,0,'[12]Calculo ISR '!$BX$34)</f>
        <v>0</v>
      </c>
      <c r="Q33" s="28">
        <f>I33*10.5%</f>
        <v>240.58124999999998</v>
      </c>
      <c r="R33" s="28"/>
      <c r="S33" s="28"/>
      <c r="T33" s="28"/>
      <c r="U33" s="28"/>
      <c r="V33" s="25">
        <f t="shared" si="7"/>
        <v>240.58124999999998</v>
      </c>
      <c r="W33" s="28">
        <f>IF('[12]Calculo ISR '!$BX$34&gt;0,0,('[12]Calculo ISR '!$BX$34)*-1)</f>
        <v>6.2098880000000065</v>
      </c>
      <c r="X33" s="25">
        <f t="shared" si="8"/>
        <v>2139.0036379999997</v>
      </c>
      <c r="Y33" s="71">
        <f t="shared" si="3"/>
        <v>144.60000000000002</v>
      </c>
      <c r="Z33" s="132"/>
      <c r="AA33" s="73"/>
      <c r="AB33" s="70"/>
    </row>
    <row r="34" spans="1:31" s="35" customFormat="1" ht="45" customHeight="1">
      <c r="A34" s="21" t="s">
        <v>103</v>
      </c>
      <c r="B34" s="33" t="s">
        <v>104</v>
      </c>
      <c r="C34" s="34">
        <v>5</v>
      </c>
      <c r="D34" s="34">
        <v>0</v>
      </c>
      <c r="E34" s="24">
        <v>305.5</v>
      </c>
      <c r="F34" s="24">
        <v>348.3</v>
      </c>
      <c r="G34" s="24">
        <f t="shared" si="4"/>
        <v>1527.5</v>
      </c>
      <c r="H34" s="24">
        <f t="shared" si="4"/>
        <v>0</v>
      </c>
      <c r="I34" s="25">
        <f t="shared" si="0"/>
        <v>1527.5</v>
      </c>
      <c r="J34" s="25">
        <f t="shared" si="5"/>
        <v>96.4</v>
      </c>
      <c r="K34" s="25">
        <f>(C34+D34)*I6</f>
        <v>54.75</v>
      </c>
      <c r="L34" s="25"/>
      <c r="M34" s="25"/>
      <c r="N34" s="25"/>
      <c r="O34" s="25">
        <f t="shared" si="6"/>
        <v>1678.65</v>
      </c>
      <c r="P34" s="27">
        <f>IF('[12]Calculo ISR '!$BY$34&lt;0,0,'[12]Calculo ISR '!$BY$34)</f>
        <v>0</v>
      </c>
      <c r="Q34" s="28">
        <f t="shared" ref="Q34:Q36" si="9">I34*10.5%</f>
        <v>160.38749999999999</v>
      </c>
      <c r="R34" s="28"/>
      <c r="S34" s="28"/>
      <c r="T34" s="28"/>
      <c r="U34" s="28"/>
      <c r="V34" s="25">
        <f t="shared" si="7"/>
        <v>160.38749999999999</v>
      </c>
      <c r="W34" s="28">
        <f>IF('[12]Calculo ISR '!$BY$34&gt;0,0,('[12]Calculo ISR '!$BY$34)*-1)</f>
        <v>110.45383999999997</v>
      </c>
      <c r="X34" s="25">
        <f t="shared" si="8"/>
        <v>1532.3163399999999</v>
      </c>
      <c r="Y34" s="25">
        <f t="shared" si="3"/>
        <v>96.4</v>
      </c>
      <c r="Z34" s="132"/>
      <c r="AA34" s="73"/>
      <c r="AB34" s="70"/>
    </row>
    <row r="35" spans="1:31" s="35" customFormat="1" ht="45" customHeight="1">
      <c r="A35" s="21" t="s">
        <v>105</v>
      </c>
      <c r="B35" s="33" t="s">
        <v>106</v>
      </c>
      <c r="C35" s="34">
        <v>5</v>
      </c>
      <c r="D35" s="34">
        <v>0</v>
      </c>
      <c r="E35" s="24">
        <v>305.5</v>
      </c>
      <c r="F35" s="24">
        <v>348.3</v>
      </c>
      <c r="G35" s="24">
        <f t="shared" si="4"/>
        <v>1527.5</v>
      </c>
      <c r="H35" s="24">
        <f t="shared" si="4"/>
        <v>0</v>
      </c>
      <c r="I35" s="25">
        <f t="shared" si="0"/>
        <v>1527.5</v>
      </c>
      <c r="J35" s="25">
        <f t="shared" si="5"/>
        <v>96.4</v>
      </c>
      <c r="K35" s="25">
        <f>(C35+D35)*I$6</f>
        <v>54.75</v>
      </c>
      <c r="L35" s="25"/>
      <c r="M35" s="25"/>
      <c r="N35" s="25"/>
      <c r="O35" s="25">
        <f t="shared" si="6"/>
        <v>1678.65</v>
      </c>
      <c r="P35" s="27">
        <f>IF('[12]Calculo ISR '!$BZ$34&lt;0,0,'[12]Calculo ISR '!$BZ$34)</f>
        <v>0</v>
      </c>
      <c r="Q35" s="28">
        <f t="shared" si="9"/>
        <v>160.38749999999999</v>
      </c>
      <c r="R35" s="28"/>
      <c r="S35" s="28"/>
      <c r="T35" s="28"/>
      <c r="U35" s="28"/>
      <c r="V35" s="25">
        <f t="shared" si="7"/>
        <v>160.38749999999999</v>
      </c>
      <c r="W35" s="28">
        <f>IF('[12]Calculo ISR '!$BZ$34&gt;0,0,('[12]Calculo ISR '!$BZ$34)*-1)</f>
        <v>110.45383999999997</v>
      </c>
      <c r="X35" s="25">
        <f t="shared" si="8"/>
        <v>1532.3163399999999</v>
      </c>
      <c r="Y35" s="25">
        <f t="shared" si="3"/>
        <v>96.4</v>
      </c>
      <c r="Z35" s="132"/>
      <c r="AA35" s="73"/>
      <c r="AB35" s="70"/>
    </row>
    <row r="36" spans="1:31" s="35" customFormat="1" ht="45" customHeight="1">
      <c r="A36" s="21" t="s">
        <v>108</v>
      </c>
      <c r="B36" s="33" t="s">
        <v>109</v>
      </c>
      <c r="C36" s="34">
        <v>5</v>
      </c>
      <c r="D36" s="34">
        <v>0</v>
      </c>
      <c r="E36" s="24">
        <v>305.5</v>
      </c>
      <c r="F36" s="24">
        <v>348.3</v>
      </c>
      <c r="G36" s="24">
        <f t="shared" si="4"/>
        <v>1527.5</v>
      </c>
      <c r="H36" s="24">
        <f t="shared" si="4"/>
        <v>0</v>
      </c>
      <c r="I36" s="25">
        <f t="shared" si="0"/>
        <v>1527.5</v>
      </c>
      <c r="J36" s="25">
        <f t="shared" si="5"/>
        <v>96.4</v>
      </c>
      <c r="K36" s="25">
        <f>(C36+D36)*I$6</f>
        <v>54.75</v>
      </c>
      <c r="L36" s="25"/>
      <c r="M36" s="25"/>
      <c r="N36" s="25"/>
      <c r="O36" s="25">
        <f t="shared" si="6"/>
        <v>1678.65</v>
      </c>
      <c r="P36" s="27">
        <f>IF('[12]Calculo ISR '!$CA$34&lt;0,0,'[12]Calculo ISR '!$CA$34)</f>
        <v>0</v>
      </c>
      <c r="Q36" s="28">
        <f t="shared" si="9"/>
        <v>160.38749999999999</v>
      </c>
      <c r="R36" s="28"/>
      <c r="S36" s="28"/>
      <c r="T36" s="28"/>
      <c r="U36" s="28"/>
      <c r="V36" s="25">
        <f t="shared" si="7"/>
        <v>160.38749999999999</v>
      </c>
      <c r="W36" s="28">
        <f>IF('[12]Calculo ISR '!$CA$34&gt;0,0,('[12]Calculo ISR '!$CA$34)*-1)</f>
        <v>110.45383999999997</v>
      </c>
      <c r="X36" s="25">
        <f t="shared" si="8"/>
        <v>1532.3163399999999</v>
      </c>
      <c r="Y36" s="25">
        <f t="shared" si="3"/>
        <v>96.4</v>
      </c>
      <c r="Z36" s="93"/>
      <c r="AA36" s="73"/>
      <c r="AB36" s="70"/>
    </row>
    <row r="37" spans="1:31" s="35" customFormat="1" ht="45" customHeight="1">
      <c r="A37" s="21" t="s">
        <v>110</v>
      </c>
      <c r="B37" s="33" t="s">
        <v>111</v>
      </c>
      <c r="C37" s="34">
        <v>5</v>
      </c>
      <c r="D37" s="34">
        <v>0</v>
      </c>
      <c r="E37" s="24">
        <v>305.5</v>
      </c>
      <c r="F37" s="24">
        <v>348.3</v>
      </c>
      <c r="G37" s="24">
        <f t="shared" si="4"/>
        <v>1527.5</v>
      </c>
      <c r="H37" s="24">
        <f t="shared" si="4"/>
        <v>0</v>
      </c>
      <c r="I37" s="25">
        <f t="shared" si="0"/>
        <v>1527.5</v>
      </c>
      <c r="J37" s="25">
        <f t="shared" si="5"/>
        <v>96.4</v>
      </c>
      <c r="K37" s="25">
        <f>(C37+D37)*I$6</f>
        <v>54.75</v>
      </c>
      <c r="L37" s="25"/>
      <c r="M37" s="25"/>
      <c r="N37" s="25"/>
      <c r="O37" s="25">
        <f t="shared" si="6"/>
        <v>1678.65</v>
      </c>
      <c r="P37" s="27">
        <f>IF('[12]Calculo ISR '!$CB$34&lt;0,0,'[12]Calculo ISR '!$CB$34)</f>
        <v>0</v>
      </c>
      <c r="Q37" s="28">
        <f>I37*10.5%</f>
        <v>160.38749999999999</v>
      </c>
      <c r="R37" s="28"/>
      <c r="S37" s="28"/>
      <c r="T37" s="28"/>
      <c r="U37" s="28"/>
      <c r="V37" s="25">
        <f t="shared" si="7"/>
        <v>160.38749999999999</v>
      </c>
      <c r="W37" s="28">
        <f>IF('[12]Calculo ISR '!$CB$34&gt;0,0,('[12]Calculo ISR '!$CB$34)*-1)</f>
        <v>110.45383999999997</v>
      </c>
      <c r="X37" s="25">
        <f t="shared" si="8"/>
        <v>1532.3163399999999</v>
      </c>
      <c r="Y37" s="25">
        <f t="shared" si="3"/>
        <v>96.4</v>
      </c>
      <c r="Z37" s="93"/>
      <c r="AA37" s="73"/>
      <c r="AB37" s="70"/>
    </row>
    <row r="38" spans="1:31" s="35" customFormat="1" ht="45" customHeight="1">
      <c r="A38" s="21" t="s">
        <v>112</v>
      </c>
      <c r="B38" s="33" t="s">
        <v>113</v>
      </c>
      <c r="C38" s="34">
        <v>5</v>
      </c>
      <c r="D38" s="34">
        <v>0</v>
      </c>
      <c r="E38" s="24">
        <v>305.5</v>
      </c>
      <c r="F38" s="24">
        <v>348.3</v>
      </c>
      <c r="G38" s="24">
        <f t="shared" si="4"/>
        <v>1527.5</v>
      </c>
      <c r="H38" s="24">
        <f t="shared" si="4"/>
        <v>0</v>
      </c>
      <c r="I38" s="25">
        <f t="shared" si="0"/>
        <v>1527.5</v>
      </c>
      <c r="J38" s="25">
        <f t="shared" si="5"/>
        <v>96.4</v>
      </c>
      <c r="K38" s="25">
        <f>(C38+D38)*I$6</f>
        <v>54.75</v>
      </c>
      <c r="L38" s="25"/>
      <c r="M38" s="25"/>
      <c r="N38" s="25"/>
      <c r="O38" s="25">
        <f t="shared" si="6"/>
        <v>1678.65</v>
      </c>
      <c r="P38" s="27">
        <f>IF('[12]Calculo ISR '!$CC$34&lt;0,0,'[12]Calculo ISR '!$CC$34)</f>
        <v>0</v>
      </c>
      <c r="Q38" s="28">
        <f>I38*10.5%</f>
        <v>160.38749999999999</v>
      </c>
      <c r="R38" s="28"/>
      <c r="S38" s="28"/>
      <c r="T38" s="28"/>
      <c r="U38" s="28"/>
      <c r="V38" s="25">
        <f t="shared" si="7"/>
        <v>160.38749999999999</v>
      </c>
      <c r="W38" s="28">
        <f>IF('[12]Calculo ISR '!$CC$34&gt;0,0,('[12]Calculo ISR '!$CC$34)*-1)</f>
        <v>110.45383999999997</v>
      </c>
      <c r="X38" s="25">
        <f t="shared" si="8"/>
        <v>1532.3163399999999</v>
      </c>
      <c r="Y38" s="25">
        <f t="shared" si="3"/>
        <v>96.4</v>
      </c>
      <c r="Z38" s="93"/>
      <c r="AA38" s="73"/>
      <c r="AB38" s="70"/>
    </row>
    <row r="39" spans="1:31" s="2" customFormat="1" ht="30" customHeight="1" thickBot="1">
      <c r="A39" s="86"/>
      <c r="B39" s="38" t="s">
        <v>147</v>
      </c>
      <c r="C39" s="39">
        <f t="shared" ref="C39:M39" si="10">SUM(C10:C38)</f>
        <v>339</v>
      </c>
      <c r="D39" s="39">
        <f t="shared" si="10"/>
        <v>37.5</v>
      </c>
      <c r="E39" s="40">
        <f t="shared" si="10"/>
        <v>8859.5</v>
      </c>
      <c r="F39" s="40">
        <f t="shared" si="10"/>
        <v>10100.699999999999</v>
      </c>
      <c r="G39" s="40">
        <f t="shared" si="10"/>
        <v>103564.5</v>
      </c>
      <c r="H39" s="40">
        <f t="shared" si="10"/>
        <v>13061.25</v>
      </c>
      <c r="I39" s="40">
        <f t="shared" si="10"/>
        <v>116625.75</v>
      </c>
      <c r="J39" s="40">
        <f t="shared" si="10"/>
        <v>7131.6699999999992</v>
      </c>
      <c r="K39" s="40">
        <f t="shared" si="10"/>
        <v>4050.4100000000003</v>
      </c>
      <c r="L39" s="40">
        <f t="shared" si="10"/>
        <v>1650.2000000000003</v>
      </c>
      <c r="M39" s="40">
        <f t="shared" si="10"/>
        <v>509.89499999999998</v>
      </c>
      <c r="N39" s="40">
        <f t="shared" ref="N39" si="11">SUM(N10:N35)</f>
        <v>0</v>
      </c>
      <c r="O39" s="40">
        <f t="shared" ref="O39:X39" si="12">SUM(O10:O38)</f>
        <v>129967.92499999999</v>
      </c>
      <c r="P39" s="40">
        <f t="shared" si="12"/>
        <v>11750.893352000001</v>
      </c>
      <c r="Q39" s="40">
        <f t="shared" si="12"/>
        <v>12245.703750000001</v>
      </c>
      <c r="R39" s="40">
        <f t="shared" si="12"/>
        <v>9546</v>
      </c>
      <c r="S39" s="40">
        <f t="shared" si="12"/>
        <v>787.4375</v>
      </c>
      <c r="T39" s="40">
        <f t="shared" si="12"/>
        <v>0</v>
      </c>
      <c r="U39" s="74">
        <f t="shared" si="12"/>
        <v>2046.8500000000001</v>
      </c>
      <c r="V39" s="40">
        <f t="shared" si="12"/>
        <v>36376.884601999991</v>
      </c>
      <c r="W39" s="40">
        <f t="shared" si="12"/>
        <v>724.13252799999987</v>
      </c>
      <c r="X39" s="40">
        <f t="shared" si="12"/>
        <v>87183.502926000016</v>
      </c>
      <c r="Y39" s="40">
        <f>SUM(Y9:Y38)</f>
        <v>7131.6699999999992</v>
      </c>
      <c r="Z39" s="41"/>
      <c r="AA39" s="3"/>
      <c r="AB39" s="75"/>
      <c r="AC39" s="42"/>
    </row>
    <row r="40" spans="1:31" s="2" customFormat="1" ht="9" customHeight="1">
      <c r="A40" s="87"/>
      <c r="B40" s="44"/>
      <c r="C40" s="45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62">
        <f>R39+'[12]HT-ADMINISTRATIVOS FIRMA '!O45</f>
        <v>35752.130000000005</v>
      </c>
      <c r="S40" s="46"/>
      <c r="T40" s="46"/>
      <c r="U40" s="46"/>
      <c r="V40" s="46"/>
      <c r="W40" s="46"/>
      <c r="X40" s="46"/>
      <c r="Y40" s="46"/>
      <c r="Z40" s="41"/>
      <c r="AA40" s="3"/>
      <c r="AB40" s="88"/>
    </row>
    <row r="41" spans="1:31" s="2" customFormat="1" ht="9" customHeight="1">
      <c r="A41" s="87"/>
      <c r="B41" s="44"/>
      <c r="C41" s="45"/>
      <c r="D41" s="45"/>
      <c r="E41" s="46"/>
      <c r="F41" s="46"/>
      <c r="G41" s="46"/>
      <c r="H41" s="46"/>
      <c r="I41" s="89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1"/>
      <c r="AA41" s="3"/>
      <c r="AB41" s="42"/>
    </row>
    <row r="42" spans="1:31" s="2" customFormat="1" ht="15" customHeight="1">
      <c r="A42" s="69"/>
      <c r="B42" s="133" t="s">
        <v>75</v>
      </c>
      <c r="C42" s="1"/>
      <c r="D42" s="1"/>
      <c r="E42" s="1"/>
      <c r="F42" s="1"/>
      <c r="G42" s="1"/>
      <c r="H42" s="66" t="s">
        <v>76</v>
      </c>
      <c r="I42" s="64"/>
      <c r="L42" s="66"/>
      <c r="M42" s="66"/>
      <c r="N42" s="66"/>
      <c r="O42" s="66"/>
      <c r="P42" s="49"/>
      <c r="Q42" s="50"/>
      <c r="R42" s="1"/>
      <c r="S42" s="1"/>
      <c r="T42" s="1"/>
      <c r="U42" s="1"/>
      <c r="V42" s="1" t="s">
        <v>136</v>
      </c>
      <c r="W42" s="1"/>
      <c r="X42" s="1"/>
      <c r="Y42" s="1"/>
      <c r="Z42" s="1"/>
      <c r="AB42" s="42"/>
      <c r="AE42" s="1"/>
    </row>
    <row r="43" spans="1:31" s="2" customFormat="1" hidden="1">
      <c r="A43" s="69"/>
      <c r="B43" s="1"/>
      <c r="C43" s="1"/>
      <c r="D43" s="1"/>
      <c r="E43" s="1"/>
      <c r="F43" s="1"/>
      <c r="G43" s="1"/>
      <c r="H43" s="1"/>
      <c r="K43" s="1"/>
      <c r="L43" s="1"/>
      <c r="M43" s="1"/>
      <c r="N43" s="1"/>
      <c r="O43" s="51"/>
      <c r="P43" s="51"/>
      <c r="Q43" s="51"/>
      <c r="R43" s="1"/>
      <c r="S43" s="1"/>
      <c r="T43" s="1"/>
      <c r="U43" s="1"/>
      <c r="V43" s="1"/>
      <c r="W43" s="1"/>
      <c r="X43" s="1"/>
      <c r="Y43" s="1"/>
      <c r="Z43" s="1"/>
      <c r="AB43" s="42"/>
      <c r="AE43" s="1"/>
    </row>
    <row r="44" spans="1:31" s="2" customFormat="1" hidden="1">
      <c r="A44" s="69"/>
      <c r="B44" s="1"/>
      <c r="C44" s="1"/>
      <c r="D44" s="1"/>
      <c r="E44" s="1"/>
      <c r="F44" s="1"/>
      <c r="G44" s="1"/>
      <c r="H44" s="1"/>
      <c r="K44" s="1"/>
      <c r="L44" s="1"/>
      <c r="M44" s="1"/>
      <c r="N44" s="1"/>
      <c r="O44" s="51"/>
      <c r="P44" s="51"/>
      <c r="Q44" s="51"/>
      <c r="R44" s="1"/>
      <c r="S44" s="1"/>
      <c r="T44" s="1"/>
      <c r="U44" s="1"/>
      <c r="V44" s="1"/>
      <c r="W44" s="1"/>
      <c r="X44" s="1"/>
      <c r="Y44" s="1"/>
      <c r="Z44" s="1"/>
      <c r="AB44" s="42"/>
      <c r="AE44" s="1"/>
    </row>
    <row r="45" spans="1:31" s="2" customFormat="1" hidden="1">
      <c r="A45" s="69"/>
      <c r="B45" s="1"/>
      <c r="C45" s="1"/>
      <c r="D45" s="1"/>
      <c r="E45" s="1"/>
      <c r="F45" s="1"/>
      <c r="G45" s="1"/>
      <c r="H45" s="1"/>
      <c r="K45" s="1"/>
      <c r="L45" s="1"/>
      <c r="M45" s="1"/>
      <c r="N45" s="1"/>
      <c r="O45" s="52"/>
      <c r="P45" s="52"/>
      <c r="Q45" s="52"/>
      <c r="R45" s="1"/>
      <c r="S45" s="3"/>
      <c r="T45" s="1"/>
      <c r="U45" s="1"/>
      <c r="V45" s="1"/>
      <c r="W45" s="1"/>
      <c r="X45" s="1"/>
      <c r="Y45" s="1"/>
      <c r="Z45" s="1"/>
      <c r="AE45" s="1"/>
    </row>
    <row r="46" spans="1:31" s="2" customFormat="1">
      <c r="A46" s="69"/>
      <c r="B46" s="133" t="s">
        <v>78</v>
      </c>
      <c r="C46" s="1"/>
      <c r="D46" s="1"/>
      <c r="E46" s="1"/>
      <c r="F46" s="1"/>
      <c r="G46" s="53" t="s">
        <v>79</v>
      </c>
      <c r="H46" s="1"/>
      <c r="I46" s="42"/>
      <c r="L46" s="53"/>
      <c r="M46" s="53"/>
      <c r="N46" s="53"/>
      <c r="O46" s="53" t="s">
        <v>134</v>
      </c>
      <c r="P46" s="52"/>
      <c r="Q46" s="49"/>
      <c r="R46" s="1"/>
      <c r="S46" s="1"/>
      <c r="T46" s="1"/>
      <c r="V46" s="53"/>
      <c r="X46" s="53"/>
      <c r="Y46" s="53"/>
      <c r="Z46" s="1"/>
      <c r="AE46" s="1"/>
    </row>
    <row r="47" spans="1:31" ht="12.75" customHeight="1">
      <c r="B47" s="54" t="s">
        <v>81</v>
      </c>
      <c r="G47" s="53" t="s">
        <v>82</v>
      </c>
      <c r="L47" s="53"/>
      <c r="M47" s="53"/>
      <c r="N47" s="53"/>
      <c r="O47" s="53"/>
      <c r="P47" s="53"/>
      <c r="Q47" s="52"/>
      <c r="V47" s="53" t="s">
        <v>83</v>
      </c>
      <c r="W47" s="53"/>
      <c r="Y47" s="53"/>
      <c r="AA47" s="3"/>
    </row>
    <row r="48" spans="1:31">
      <c r="AA48" s="3"/>
    </row>
    <row r="49" spans="1:27">
      <c r="R49" s="3"/>
      <c r="AA49" s="3"/>
    </row>
    <row r="50" spans="1:27">
      <c r="AA50" s="3"/>
    </row>
    <row r="51" spans="1:27">
      <c r="AA51" s="3"/>
    </row>
    <row r="52" spans="1:27">
      <c r="O52" s="6"/>
      <c r="AA52" s="3"/>
    </row>
    <row r="53" spans="1:27">
      <c r="AA53" s="3"/>
    </row>
    <row r="54" spans="1:27">
      <c r="AA54" s="3"/>
    </row>
    <row r="55" spans="1:27" s="56" customFormat="1">
      <c r="A55" s="6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7" s="56" customFormat="1">
      <c r="A56" s="6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7" s="57" customFormat="1">
      <c r="A57" s="6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7" s="57" customFormat="1">
      <c r="A58" s="6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7" s="57" customFormat="1">
      <c r="A59" s="6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7" s="57" customFormat="1">
      <c r="A60" s="6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7" s="57" customFormat="1">
      <c r="A61" s="6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7" s="57" customFormat="1">
      <c r="A62" s="6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7" s="57" customFormat="1">
      <c r="A63" s="6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7" s="57" customFormat="1">
      <c r="A64" s="6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57" customFormat="1">
      <c r="A65" s="6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57" customFormat="1">
      <c r="A66" s="6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8" spans="1:26">
      <c r="S68" s="3"/>
    </row>
  </sheetData>
  <mergeCells count="29">
    <mergeCell ref="Z27:AA27"/>
    <mergeCell ref="Z28:AA28"/>
    <mergeCell ref="Z29:AA29"/>
    <mergeCell ref="Z30:AA30"/>
    <mergeCell ref="Z31:AA31"/>
    <mergeCell ref="Z26:AA26"/>
    <mergeCell ref="Z15:AA15"/>
    <mergeCell ref="Z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Z14:AA14"/>
    <mergeCell ref="A8:A9"/>
    <mergeCell ref="B8:B9"/>
    <mergeCell ref="C8:I8"/>
    <mergeCell ref="J8:O8"/>
    <mergeCell ref="P8:V8"/>
    <mergeCell ref="W8:Y8"/>
    <mergeCell ref="Z9:AA9"/>
    <mergeCell ref="Z10:AA10"/>
    <mergeCell ref="Z11:AA11"/>
    <mergeCell ref="Z12:AA12"/>
    <mergeCell ref="Z13:AA13"/>
  </mergeCells>
  <pageMargins left="0.8" right="0.2" top="0.47244094488188981" bottom="0.51181102362204722" header="0.31496062992125984" footer="0.31496062992125984"/>
  <pageSetup paperSize="5" scale="5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E68"/>
  <sheetViews>
    <sheetView topLeftCell="A3" zoomScale="80" zoomScaleNormal="80" zoomScaleSheetLayoutView="100" workbookViewId="0">
      <pane xSplit="2" ySplit="7" topLeftCell="C37" activePane="bottomRight" state="frozen"/>
      <selection activeCell="A3" sqref="A3"/>
      <selection pane="topRight" activeCell="C3" sqref="C3"/>
      <selection pane="bottomLeft" activeCell="A10" sqref="A10"/>
      <selection pane="bottomRight" activeCell="J53" sqref="J53"/>
    </sheetView>
  </sheetViews>
  <sheetFormatPr baseColWidth="10" defaultRowHeight="12.75"/>
  <cols>
    <col min="1" max="1" width="12.7109375" style="69" customWidth="1"/>
    <col min="2" max="2" width="31.5703125" style="1" customWidth="1"/>
    <col min="3" max="4" width="7.140625" style="1" customWidth="1"/>
    <col min="5" max="5" width="10.42578125" style="1" customWidth="1"/>
    <col min="6" max="6" width="11" style="1" customWidth="1"/>
    <col min="7" max="7" width="13.28515625" style="1" customWidth="1"/>
    <col min="8" max="8" width="10.85546875" style="1" customWidth="1"/>
    <col min="9" max="9" width="13" style="1" customWidth="1"/>
    <col min="10" max="10" width="10.5703125" style="1" customWidth="1"/>
    <col min="11" max="11" width="9.85546875" style="1" customWidth="1"/>
    <col min="12" max="12" width="10.140625" style="1" customWidth="1"/>
    <col min="13" max="13" width="8.42578125" style="1" customWidth="1"/>
    <col min="14" max="14" width="5.42578125" style="1" customWidth="1"/>
    <col min="15" max="15" width="12.42578125" style="1" customWidth="1"/>
    <col min="16" max="16" width="11" style="1" hidden="1" customWidth="1"/>
    <col min="17" max="17" width="10.85546875" style="1" hidden="1" customWidth="1"/>
    <col min="18" max="18" width="11.140625" style="1" hidden="1" customWidth="1"/>
    <col min="19" max="19" width="8.5703125" style="1" hidden="1" customWidth="1"/>
    <col min="20" max="20" width="5" style="1" hidden="1" customWidth="1"/>
    <col min="21" max="21" width="9.85546875" style="1" hidden="1" customWidth="1"/>
    <col min="22" max="22" width="11.140625" style="1" customWidth="1"/>
    <col min="23" max="23" width="8.28515625" style="1" customWidth="1"/>
    <col min="24" max="24" width="12.42578125" style="1" customWidth="1"/>
    <col min="25" max="25" width="10.5703125" style="1" hidden="1" customWidth="1"/>
    <col min="26" max="26" width="31" style="1" hidden="1" customWidth="1"/>
    <col min="27" max="27" width="12.28515625" style="1" hidden="1" customWidth="1"/>
    <col min="28" max="16384" width="11.42578125" style="1"/>
  </cols>
  <sheetData>
    <row r="2" spans="1:27">
      <c r="B2" s="2" t="s">
        <v>0</v>
      </c>
    </row>
    <row r="3" spans="1:27">
      <c r="B3" s="2"/>
    </row>
    <row r="4" spans="1:27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7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2"/>
      <c r="P5" s="2"/>
      <c r="Q5" s="2"/>
      <c r="R5" s="2"/>
      <c r="S5" s="2"/>
      <c r="T5" s="2"/>
      <c r="U5" s="2"/>
      <c r="V5" s="2"/>
      <c r="W5" s="2"/>
    </row>
    <row r="6" spans="1:27">
      <c r="B6" s="2"/>
      <c r="C6" s="2"/>
      <c r="D6" s="2"/>
      <c r="E6" s="4">
        <v>19.28</v>
      </c>
      <c r="F6" s="4"/>
      <c r="G6" s="4"/>
      <c r="H6" s="4"/>
      <c r="I6" s="4">
        <v>10.95</v>
      </c>
      <c r="J6" s="4"/>
      <c r="K6" s="65"/>
      <c r="L6" s="65"/>
      <c r="M6" s="65"/>
      <c r="N6" s="58">
        <v>0.105</v>
      </c>
      <c r="O6" s="65"/>
      <c r="P6" s="65"/>
      <c r="Q6" s="65"/>
      <c r="R6" s="65"/>
      <c r="S6" s="65"/>
      <c r="T6" s="5">
        <v>0.01</v>
      </c>
      <c r="U6" s="65"/>
      <c r="V6" s="65"/>
      <c r="W6" s="65"/>
    </row>
    <row r="7" spans="1:27" ht="13.5" thickBot="1">
      <c r="A7" s="85" t="s">
        <v>0</v>
      </c>
      <c r="C7" s="2"/>
      <c r="D7" s="2"/>
      <c r="E7" s="4">
        <v>22.3</v>
      </c>
      <c r="F7" s="4"/>
      <c r="G7" s="4"/>
      <c r="H7" s="4"/>
      <c r="I7" s="7">
        <v>0.02</v>
      </c>
      <c r="J7" s="8">
        <v>0.04</v>
      </c>
      <c r="K7" s="6" t="s">
        <v>150</v>
      </c>
      <c r="L7" s="2"/>
      <c r="M7" s="2"/>
      <c r="N7" s="2"/>
      <c r="P7" s="2"/>
      <c r="Q7" s="2"/>
      <c r="R7" s="2"/>
      <c r="S7" s="2"/>
      <c r="T7" s="2"/>
      <c r="U7" s="2"/>
      <c r="V7" s="2"/>
      <c r="W7" s="2"/>
    </row>
    <row r="8" spans="1:27" ht="15.75" customHeight="1" thickBot="1">
      <c r="A8" s="164" t="s">
        <v>2</v>
      </c>
      <c r="B8" s="166" t="s">
        <v>3</v>
      </c>
      <c r="C8" s="168" t="s">
        <v>4</v>
      </c>
      <c r="D8" s="169"/>
      <c r="E8" s="169"/>
      <c r="F8" s="169"/>
      <c r="G8" s="169"/>
      <c r="H8" s="169"/>
      <c r="I8" s="170"/>
      <c r="J8" s="171" t="s">
        <v>5</v>
      </c>
      <c r="K8" s="172"/>
      <c r="L8" s="172"/>
      <c r="M8" s="173"/>
      <c r="N8" s="173"/>
      <c r="O8" s="174"/>
      <c r="P8" s="175" t="s">
        <v>6</v>
      </c>
      <c r="Q8" s="176"/>
      <c r="R8" s="176"/>
      <c r="S8" s="176"/>
      <c r="T8" s="176"/>
      <c r="U8" s="176"/>
      <c r="V8" s="176"/>
      <c r="W8" s="177" t="s">
        <v>7</v>
      </c>
      <c r="X8" s="177"/>
      <c r="Y8" s="177"/>
    </row>
    <row r="9" spans="1:27" s="20" customFormat="1" ht="72">
      <c r="A9" s="165"/>
      <c r="B9" s="167"/>
      <c r="C9" s="9" t="s">
        <v>87</v>
      </c>
      <c r="D9" s="9" t="s">
        <v>88</v>
      </c>
      <c r="E9" s="9" t="s">
        <v>89</v>
      </c>
      <c r="F9" s="9" t="s">
        <v>90</v>
      </c>
      <c r="G9" s="9" t="s">
        <v>91</v>
      </c>
      <c r="H9" s="9" t="s">
        <v>92</v>
      </c>
      <c r="I9" s="67" t="s">
        <v>10</v>
      </c>
      <c r="J9" s="11" t="s">
        <v>11</v>
      </c>
      <c r="K9" s="11" t="s">
        <v>12</v>
      </c>
      <c r="L9" s="12" t="s">
        <v>13</v>
      </c>
      <c r="M9" s="13" t="s">
        <v>14</v>
      </c>
      <c r="N9" s="134" t="s">
        <v>15</v>
      </c>
      <c r="O9" s="14" t="s">
        <v>16</v>
      </c>
      <c r="P9" s="15" t="s">
        <v>17</v>
      </c>
      <c r="Q9" s="16" t="s">
        <v>18</v>
      </c>
      <c r="R9" s="16" t="s">
        <v>19</v>
      </c>
      <c r="S9" s="16" t="s">
        <v>20</v>
      </c>
      <c r="T9" s="16" t="s">
        <v>21</v>
      </c>
      <c r="U9" s="16" t="s">
        <v>22</v>
      </c>
      <c r="V9" s="16" t="s">
        <v>23</v>
      </c>
      <c r="W9" s="17" t="s">
        <v>24</v>
      </c>
      <c r="X9" s="18" t="s">
        <v>25</v>
      </c>
      <c r="Y9" s="19" t="s">
        <v>26</v>
      </c>
      <c r="Z9" s="178" t="s">
        <v>27</v>
      </c>
      <c r="AA9" s="178"/>
    </row>
    <row r="10" spans="1:27" s="69" customFormat="1" ht="45" customHeight="1">
      <c r="A10" s="21" t="s">
        <v>28</v>
      </c>
      <c r="B10" s="68" t="s">
        <v>29</v>
      </c>
      <c r="C10" s="32">
        <v>7.5</v>
      </c>
      <c r="D10" s="23">
        <v>0</v>
      </c>
      <c r="E10" s="24">
        <v>305.5</v>
      </c>
      <c r="F10" s="24">
        <v>348.3</v>
      </c>
      <c r="G10" s="24">
        <f>C10*E10</f>
        <v>2291.25</v>
      </c>
      <c r="H10" s="24">
        <f>D10*F10</f>
        <v>0</v>
      </c>
      <c r="I10" s="25">
        <f t="shared" ref="I10:I38" si="0">G10+H10</f>
        <v>2291.25</v>
      </c>
      <c r="J10" s="25">
        <v>17.350000000000001</v>
      </c>
      <c r="K10" s="25">
        <v>9.86</v>
      </c>
      <c r="L10" s="25"/>
      <c r="M10" s="25">
        <v>11</v>
      </c>
      <c r="N10" s="26">
        <v>0</v>
      </c>
      <c r="O10" s="25">
        <f>SUM(I10:N10)</f>
        <v>2329.46</v>
      </c>
      <c r="P10" s="27">
        <f>IF('[13]Calculo ISR '!$AZ$34&lt;0,0,'[13]Calculo ISR '!$AZ$34)</f>
        <v>0</v>
      </c>
      <c r="Q10" s="28">
        <f>I10*N6</f>
        <v>240.58124999999998</v>
      </c>
      <c r="R10" s="29">
        <v>0</v>
      </c>
      <c r="S10" s="28">
        <f>I10*1%</f>
        <v>22.912500000000001</v>
      </c>
      <c r="T10" s="28"/>
      <c r="U10" s="30">
        <f>[13]descuentos!D6</f>
        <v>2046.8500000000001</v>
      </c>
      <c r="V10" s="25">
        <f t="shared" ref="V10:V24" si="1">P10+Q10+R10+S10+U10+T10</f>
        <v>2310.34375</v>
      </c>
      <c r="W10" s="28">
        <v>0</v>
      </c>
      <c r="X10" s="25">
        <f t="shared" ref="X10:X25" si="2">O10-V10-Y10+W10</f>
        <v>1.766250000000035</v>
      </c>
      <c r="Y10" s="25">
        <f t="shared" ref="Y10:Y38" si="3">J10</f>
        <v>17.350000000000001</v>
      </c>
      <c r="Z10" s="183"/>
      <c r="AA10" s="163"/>
    </row>
    <row r="11" spans="1:27" s="35" customFormat="1" ht="45" customHeight="1">
      <c r="A11" s="21" t="s">
        <v>30</v>
      </c>
      <c r="B11" s="33" t="s">
        <v>31</v>
      </c>
      <c r="C11" s="32">
        <v>12</v>
      </c>
      <c r="D11" s="32">
        <v>7.5</v>
      </c>
      <c r="E11" s="24">
        <v>305.5</v>
      </c>
      <c r="F11" s="24">
        <v>348.3</v>
      </c>
      <c r="G11" s="24">
        <f t="shared" ref="G11:H38" si="4">C11*E11</f>
        <v>3666</v>
      </c>
      <c r="H11" s="24">
        <f t="shared" si="4"/>
        <v>2612.25</v>
      </c>
      <c r="I11" s="25">
        <f t="shared" si="0"/>
        <v>6278.25</v>
      </c>
      <c r="J11" s="25">
        <f t="shared" ref="J11:J38" si="5">(C11+D11)*19.28</f>
        <v>375.96000000000004</v>
      </c>
      <c r="K11" s="25">
        <f>(C11+D11)*I6</f>
        <v>213.52499999999998</v>
      </c>
      <c r="L11" s="25"/>
      <c r="M11" s="25">
        <f>I11*J7</f>
        <v>251.13</v>
      </c>
      <c r="N11" s="25">
        <f>'[13]HT-DOCENTE'!J10</f>
        <v>0</v>
      </c>
      <c r="O11" s="25">
        <f t="shared" ref="O11:O38" si="6">SUM(I11:N11)</f>
        <v>7118.8649999999998</v>
      </c>
      <c r="P11" s="27">
        <f>IF('[13]Calculo ISR '!$BA$34&lt;0,0,'[13]Calculo ISR '!$BA$34)</f>
        <v>893.0953320000001</v>
      </c>
      <c r="Q11" s="28">
        <f>I11*N6</f>
        <v>659.21624999999995</v>
      </c>
      <c r="R11" s="28">
        <v>1986</v>
      </c>
      <c r="S11" s="28">
        <f>I11*T6</f>
        <v>62.782499999999999</v>
      </c>
      <c r="T11" s="28">
        <f>'[13]HT-DOCENTE'!R10</f>
        <v>0</v>
      </c>
      <c r="U11" s="28"/>
      <c r="V11" s="25">
        <f t="shared" si="1"/>
        <v>3601.0940820000001</v>
      </c>
      <c r="W11" s="28">
        <f>IF('[13]Calculo ISR '!$BA$34&gt;0,0,('[13]Calculo ISR '!$BA$34)*-1)</f>
        <v>0</v>
      </c>
      <c r="X11" s="25">
        <f t="shared" si="2"/>
        <v>3141.8109179999997</v>
      </c>
      <c r="Y11" s="25">
        <f t="shared" si="3"/>
        <v>375.96000000000004</v>
      </c>
      <c r="Z11" s="161"/>
      <c r="AA11" s="162"/>
    </row>
    <row r="12" spans="1:27" s="35" customFormat="1" ht="45" customHeight="1">
      <c r="A12" s="21" t="s">
        <v>32</v>
      </c>
      <c r="B12" s="33" t="s">
        <v>99</v>
      </c>
      <c r="C12" s="32">
        <v>10</v>
      </c>
      <c r="D12" s="32">
        <v>0</v>
      </c>
      <c r="E12" s="24">
        <v>305.5</v>
      </c>
      <c r="F12" s="24">
        <v>348.3</v>
      </c>
      <c r="G12" s="24">
        <f t="shared" si="4"/>
        <v>3055</v>
      </c>
      <c r="H12" s="24">
        <f t="shared" si="4"/>
        <v>0</v>
      </c>
      <c r="I12" s="25">
        <f t="shared" si="0"/>
        <v>3055</v>
      </c>
      <c r="J12" s="25">
        <f t="shared" si="5"/>
        <v>192.8</v>
      </c>
      <c r="K12" s="25">
        <f>(C12+D12)*I6</f>
        <v>109.5</v>
      </c>
      <c r="L12" s="25"/>
      <c r="M12" s="25">
        <f>I12*J7</f>
        <v>122.2</v>
      </c>
      <c r="N12" s="25">
        <v>0</v>
      </c>
      <c r="O12" s="25">
        <f t="shared" si="6"/>
        <v>3479.5</v>
      </c>
      <c r="P12" s="27">
        <f>IF('[13]Calculo ISR '!$BB$34&lt;0,0,'[13]Calculo ISR '!$BB$34)</f>
        <v>128.40987199999998</v>
      </c>
      <c r="Q12" s="28">
        <f>I12*N6</f>
        <v>320.77499999999998</v>
      </c>
      <c r="R12" s="28">
        <v>873</v>
      </c>
      <c r="S12" s="28">
        <f>I12*T6</f>
        <v>30.55</v>
      </c>
      <c r="T12" s="28">
        <f>'[13]HT-DOCENTE'!R11</f>
        <v>0</v>
      </c>
      <c r="U12" s="28"/>
      <c r="V12" s="25">
        <f t="shared" si="1"/>
        <v>1352.7348719999998</v>
      </c>
      <c r="W12" s="28">
        <f>IF('[13]Calculo ISR '!$BB$34&gt;0,0,('[13]Calculo ISR '!$BB$34)*-1)</f>
        <v>0</v>
      </c>
      <c r="X12" s="25">
        <f t="shared" si="2"/>
        <v>1933.965128</v>
      </c>
      <c r="Y12" s="25">
        <f t="shared" si="3"/>
        <v>192.8</v>
      </c>
      <c r="Z12" s="161"/>
      <c r="AA12" s="162"/>
    </row>
    <row r="13" spans="1:27" s="35" customFormat="1" ht="45" customHeight="1">
      <c r="A13" s="21" t="s">
        <v>34</v>
      </c>
      <c r="B13" s="33" t="s">
        <v>35</v>
      </c>
      <c r="C13" s="32">
        <v>12</v>
      </c>
      <c r="D13" s="32">
        <v>7.5</v>
      </c>
      <c r="E13" s="24">
        <v>305.5</v>
      </c>
      <c r="F13" s="24">
        <v>348.3</v>
      </c>
      <c r="G13" s="24">
        <f t="shared" si="4"/>
        <v>3666</v>
      </c>
      <c r="H13" s="24">
        <f>D13*F13</f>
        <v>2612.25</v>
      </c>
      <c r="I13" s="25">
        <f t="shared" si="0"/>
        <v>6278.25</v>
      </c>
      <c r="J13" s="25">
        <f t="shared" si="5"/>
        <v>375.96000000000004</v>
      </c>
      <c r="K13" s="25">
        <f>(C13+D13)*I6</f>
        <v>213.52499999999998</v>
      </c>
      <c r="L13" s="25"/>
      <c r="M13" s="25">
        <f>I13*I7</f>
        <v>125.565</v>
      </c>
      <c r="N13" s="25">
        <f>'[13]HT-DOCENTE'!J12</f>
        <v>0</v>
      </c>
      <c r="O13" s="25">
        <f t="shared" si="6"/>
        <v>6993.2999999999993</v>
      </c>
      <c r="P13" s="27">
        <f>IF('[13]Calculo ISR '!$BC$34&lt;0,0,'[13]Calculo ISR '!$BC$34)</f>
        <v>866.27464799999996</v>
      </c>
      <c r="Q13" s="28">
        <f>I13*N6</f>
        <v>659.21624999999995</v>
      </c>
      <c r="R13" s="28">
        <f>'[13]HT-DOCENTE'!P12</f>
        <v>0</v>
      </c>
      <c r="S13" s="28">
        <f>I13*T6</f>
        <v>62.782499999999999</v>
      </c>
      <c r="T13" s="28">
        <f>'[13]HT-DOCENTE'!R12</f>
        <v>0</v>
      </c>
      <c r="U13" s="28"/>
      <c r="V13" s="25">
        <f t="shared" si="1"/>
        <v>1588.273398</v>
      </c>
      <c r="W13" s="28">
        <f>IF('[13]Calculo ISR '!$BC$34&gt;0,0,('[13]Calculo ISR '!$BC$34)*-1)</f>
        <v>0</v>
      </c>
      <c r="X13" s="25">
        <f t="shared" si="2"/>
        <v>5029.066601999999</v>
      </c>
      <c r="Y13" s="25">
        <f t="shared" si="3"/>
        <v>375.96000000000004</v>
      </c>
      <c r="Z13" s="161"/>
      <c r="AA13" s="162"/>
    </row>
    <row r="14" spans="1:27" s="35" customFormat="1" ht="45" customHeight="1">
      <c r="A14" s="21" t="s">
        <v>36</v>
      </c>
      <c r="B14" s="33" t="s">
        <v>37</v>
      </c>
      <c r="C14" s="32">
        <v>5.5</v>
      </c>
      <c r="D14" s="32">
        <v>7.5</v>
      </c>
      <c r="E14" s="24">
        <v>305.5</v>
      </c>
      <c r="F14" s="24">
        <v>348.3</v>
      </c>
      <c r="G14" s="24">
        <f t="shared" si="4"/>
        <v>1680.25</v>
      </c>
      <c r="H14" s="24">
        <f t="shared" si="4"/>
        <v>2612.25</v>
      </c>
      <c r="I14" s="25">
        <f t="shared" si="0"/>
        <v>4292.5</v>
      </c>
      <c r="J14" s="25">
        <f t="shared" si="5"/>
        <v>250.64000000000001</v>
      </c>
      <c r="K14" s="25">
        <f>(C14+D14)*I6</f>
        <v>142.35</v>
      </c>
      <c r="L14" s="25">
        <f>(C14+D14)*E7</f>
        <v>289.90000000000003</v>
      </c>
      <c r="M14" s="25"/>
      <c r="N14" s="25">
        <f>'[13]HT-DOCENTE'!J13</f>
        <v>0</v>
      </c>
      <c r="O14" s="25">
        <f t="shared" si="6"/>
        <v>4975.3900000000003</v>
      </c>
      <c r="P14" s="27">
        <f>IF('[13]Calculo ISR '!$BD$34&lt;0,0,'[13]Calculo ISR '!$BD$34)</f>
        <v>474.18068800000009</v>
      </c>
      <c r="Q14" s="28">
        <f>I14*N6</f>
        <v>450.71249999999998</v>
      </c>
      <c r="R14" s="28">
        <v>1431</v>
      </c>
      <c r="S14" s="28">
        <f>I14*T6</f>
        <v>42.925000000000004</v>
      </c>
      <c r="T14" s="28">
        <f>'[13]HT-DOCENTE'!R13</f>
        <v>0</v>
      </c>
      <c r="U14" s="28"/>
      <c r="V14" s="25">
        <f t="shared" si="1"/>
        <v>2398.8181880000002</v>
      </c>
      <c r="W14" s="28">
        <f>IF('[13]Calculo ISR '!$BD$34&gt;0,0,('[13]Calculo ISR '!$BD$34)*-1)</f>
        <v>0</v>
      </c>
      <c r="X14" s="25">
        <f t="shared" si="2"/>
        <v>2325.9318120000003</v>
      </c>
      <c r="Y14" s="25">
        <f t="shared" si="3"/>
        <v>250.64000000000001</v>
      </c>
      <c r="Z14" s="161"/>
      <c r="AA14" s="162"/>
    </row>
    <row r="15" spans="1:27" s="35" customFormat="1" ht="45" customHeight="1">
      <c r="A15" s="21" t="s">
        <v>38</v>
      </c>
      <c r="B15" s="33" t="s">
        <v>39</v>
      </c>
      <c r="C15" s="32">
        <v>11</v>
      </c>
      <c r="D15" s="32">
        <v>7.5</v>
      </c>
      <c r="E15" s="24">
        <v>305.5</v>
      </c>
      <c r="F15" s="24">
        <v>348.3</v>
      </c>
      <c r="G15" s="24">
        <f t="shared" si="4"/>
        <v>3360.5</v>
      </c>
      <c r="H15" s="24">
        <f t="shared" si="4"/>
        <v>2612.25</v>
      </c>
      <c r="I15" s="25">
        <f t="shared" si="0"/>
        <v>5972.75</v>
      </c>
      <c r="J15" s="25">
        <f t="shared" si="5"/>
        <v>356.68</v>
      </c>
      <c r="K15" s="25">
        <f>(C15+D15)*I6</f>
        <v>202.57499999999999</v>
      </c>
      <c r="L15" s="25">
        <f>(C15+D15)*E7</f>
        <v>412.55</v>
      </c>
      <c r="M15" s="25"/>
      <c r="N15" s="25">
        <f>'[13]HT-DOCENTE'!J14</f>
        <v>0</v>
      </c>
      <c r="O15" s="25">
        <f t="shared" si="6"/>
        <v>6944.5550000000003</v>
      </c>
      <c r="P15" s="27">
        <f>IF('[13]Calculo ISR '!$BE$34&lt;0,0,'[13]Calculo ISR '!$BE$34)</f>
        <v>859.98092400000007</v>
      </c>
      <c r="Q15" s="28">
        <f>I15*N6</f>
        <v>627.13874999999996</v>
      </c>
      <c r="R15" s="28">
        <v>1655</v>
      </c>
      <c r="S15" s="28">
        <f>I15*T6</f>
        <v>59.727499999999999</v>
      </c>
      <c r="T15" s="28">
        <f>'[13]HT-DOCENTE'!R14</f>
        <v>0</v>
      </c>
      <c r="U15" s="28"/>
      <c r="V15" s="25">
        <f t="shared" si="1"/>
        <v>3201.847174</v>
      </c>
      <c r="W15" s="28">
        <f>IF('[13]Calculo ISR '!$BE$34&gt;0,0,('[13]Calculo ISR '!$BE$34)*-1)</f>
        <v>0</v>
      </c>
      <c r="X15" s="25">
        <f t="shared" si="2"/>
        <v>3386.0278260000005</v>
      </c>
      <c r="Y15" s="25">
        <f t="shared" si="3"/>
        <v>356.68</v>
      </c>
      <c r="Z15" s="161"/>
      <c r="AA15" s="162"/>
    </row>
    <row r="16" spans="1:27" s="35" customFormat="1" ht="45" customHeight="1">
      <c r="A16" s="21" t="s">
        <v>40</v>
      </c>
      <c r="B16" s="33" t="s">
        <v>41</v>
      </c>
      <c r="C16" s="32">
        <f>'[13]HT-DOCENTE'!C15</f>
        <v>19.5</v>
      </c>
      <c r="D16" s="32">
        <v>0</v>
      </c>
      <c r="E16" s="24">
        <v>305.5</v>
      </c>
      <c r="F16" s="24">
        <v>348.3</v>
      </c>
      <c r="G16" s="24">
        <f t="shared" si="4"/>
        <v>5957.25</v>
      </c>
      <c r="H16" s="24">
        <f t="shared" si="4"/>
        <v>0</v>
      </c>
      <c r="I16" s="25">
        <f t="shared" si="0"/>
        <v>5957.25</v>
      </c>
      <c r="J16" s="25">
        <f t="shared" si="5"/>
        <v>375.96000000000004</v>
      </c>
      <c r="K16" s="25">
        <f>(C16+D16)*I6</f>
        <v>213.52499999999998</v>
      </c>
      <c r="L16" s="25">
        <f>(C16+D16)*E7</f>
        <v>434.85</v>
      </c>
      <c r="M16" s="25"/>
      <c r="N16" s="25">
        <f>'[13]HT-DOCENTE'!J15</f>
        <v>0</v>
      </c>
      <c r="O16" s="25">
        <f t="shared" si="6"/>
        <v>6981.585</v>
      </c>
      <c r="P16" s="27">
        <f>IF('[13]Calculo ISR '!$BF$34&lt;0,0,'[13]Calculo ISR '!$BF$34)</f>
        <v>863.77232400000003</v>
      </c>
      <c r="Q16" s="28">
        <f>I16*N6</f>
        <v>625.51125000000002</v>
      </c>
      <c r="R16" s="28">
        <f>'[13]HT-DOCENTE'!P15</f>
        <v>0</v>
      </c>
      <c r="S16" s="28">
        <f>I16*T6</f>
        <v>59.572499999999998</v>
      </c>
      <c r="T16" s="28">
        <v>0</v>
      </c>
      <c r="U16" s="28"/>
      <c r="V16" s="25">
        <f t="shared" si="1"/>
        <v>1548.856074</v>
      </c>
      <c r="W16" s="28">
        <f>IF('[13]Calculo ISR '!$BF$34&gt;0,0,('[13]Calculo ISR '!$BF$34)*-1)</f>
        <v>0</v>
      </c>
      <c r="X16" s="25">
        <f t="shared" si="2"/>
        <v>5056.7689259999997</v>
      </c>
      <c r="Y16" s="25">
        <f t="shared" si="3"/>
        <v>375.96000000000004</v>
      </c>
      <c r="Z16" s="161"/>
      <c r="AA16" s="162"/>
    </row>
    <row r="17" spans="1:28" s="35" customFormat="1" ht="45" customHeight="1">
      <c r="A17" s="21" t="s">
        <v>42</v>
      </c>
      <c r="B17" s="33" t="s">
        <v>43</v>
      </c>
      <c r="C17" s="32">
        <v>2</v>
      </c>
      <c r="D17" s="32">
        <v>0</v>
      </c>
      <c r="E17" s="24">
        <v>305.5</v>
      </c>
      <c r="F17" s="24">
        <v>348.3</v>
      </c>
      <c r="G17" s="24">
        <f t="shared" si="4"/>
        <v>611</v>
      </c>
      <c r="H17" s="24">
        <f t="shared" si="4"/>
        <v>0</v>
      </c>
      <c r="I17" s="25">
        <f t="shared" si="0"/>
        <v>611</v>
      </c>
      <c r="J17" s="25">
        <f t="shared" si="5"/>
        <v>38.56</v>
      </c>
      <c r="K17" s="25">
        <f>(C17+D17)*I6</f>
        <v>21.9</v>
      </c>
      <c r="L17" s="25">
        <f>(C17+D17)*E7*2</f>
        <v>89.2</v>
      </c>
      <c r="M17" s="25"/>
      <c r="N17" s="25">
        <f>'[13]HT-DOCENTE'!J16</f>
        <v>0</v>
      </c>
      <c r="O17" s="25">
        <f t="shared" si="6"/>
        <v>760.66</v>
      </c>
      <c r="P17" s="27">
        <f>IF('[13]Calculo ISR '!$BG$34&lt;0,0,'[13]Calculo ISR '!$BG$34)</f>
        <v>0</v>
      </c>
      <c r="Q17" s="28">
        <f>I17*N6</f>
        <v>64.155000000000001</v>
      </c>
      <c r="R17" s="28">
        <v>0</v>
      </c>
      <c r="S17" s="28">
        <f>I17*T6</f>
        <v>6.11</v>
      </c>
      <c r="T17" s="28">
        <f>'[13]HT-DOCENTE'!R16</f>
        <v>0</v>
      </c>
      <c r="U17" s="28"/>
      <c r="V17" s="25">
        <f t="shared" si="1"/>
        <v>70.265000000000001</v>
      </c>
      <c r="W17" s="28">
        <f>IF('[13]Calculo ISR '!$BG$34&gt;0,0,('[13]Calculo ISR '!$BG$34)*-1)</f>
        <v>165.65343999999999</v>
      </c>
      <c r="X17" s="25">
        <f t="shared" si="2"/>
        <v>817.48844000000008</v>
      </c>
      <c r="Y17" s="25">
        <f t="shared" si="3"/>
        <v>38.56</v>
      </c>
      <c r="Z17" s="161"/>
      <c r="AA17" s="162"/>
    </row>
    <row r="18" spans="1:28" s="35" customFormat="1" ht="45" customHeight="1">
      <c r="A18" s="21" t="s">
        <v>44</v>
      </c>
      <c r="B18" s="33" t="s">
        <v>45</v>
      </c>
      <c r="C18" s="34">
        <v>11</v>
      </c>
      <c r="D18" s="34">
        <v>7.5</v>
      </c>
      <c r="E18" s="24">
        <v>305.5</v>
      </c>
      <c r="F18" s="24">
        <v>348.3</v>
      </c>
      <c r="G18" s="24">
        <f t="shared" si="4"/>
        <v>3360.5</v>
      </c>
      <c r="H18" s="24">
        <f t="shared" si="4"/>
        <v>2612.25</v>
      </c>
      <c r="I18" s="25">
        <f t="shared" si="0"/>
        <v>5972.75</v>
      </c>
      <c r="J18" s="25">
        <f t="shared" si="5"/>
        <v>356.68</v>
      </c>
      <c r="K18" s="25">
        <f>(C18+D18)*I6</f>
        <v>202.57499999999999</v>
      </c>
      <c r="L18" s="25"/>
      <c r="M18" s="25"/>
      <c r="N18" s="25">
        <f>'[13]HT-DOCENTE'!J17</f>
        <v>0</v>
      </c>
      <c r="O18" s="25">
        <f t="shared" si="6"/>
        <v>6532.0050000000001</v>
      </c>
      <c r="P18" s="27">
        <f>IF('[13]Calculo ISR '!$BH$34&lt;0,0,'[13]Calculo ISR '!$BH$34)</f>
        <v>771.86024400000008</v>
      </c>
      <c r="Q18" s="28">
        <f>I18*N6</f>
        <v>627.13874999999996</v>
      </c>
      <c r="R18" s="28">
        <f>'[13]HT-DOCENTE'!P17</f>
        <v>0</v>
      </c>
      <c r="S18" s="28">
        <f>I18*T6</f>
        <v>59.727499999999999</v>
      </c>
      <c r="T18" s="28">
        <f>'[13]HT-DOCENTE'!R17</f>
        <v>0</v>
      </c>
      <c r="U18" s="28"/>
      <c r="V18" s="25">
        <f t="shared" si="1"/>
        <v>1458.726494</v>
      </c>
      <c r="W18" s="28">
        <f>IF('[13]Calculo ISR '!$BH$34&gt;0,0,('[13]Calculo ISR '!$BH$34)*-1)</f>
        <v>0</v>
      </c>
      <c r="X18" s="25">
        <f t="shared" si="2"/>
        <v>4716.5985060000003</v>
      </c>
      <c r="Y18" s="25">
        <f t="shared" si="3"/>
        <v>356.68</v>
      </c>
      <c r="Z18" s="161"/>
      <c r="AA18" s="162"/>
    </row>
    <row r="19" spans="1:28" s="35" customFormat="1" ht="45" customHeight="1">
      <c r="A19" s="21" t="s">
        <v>48</v>
      </c>
      <c r="B19" s="33" t="s">
        <v>49</v>
      </c>
      <c r="C19" s="34">
        <v>19.5</v>
      </c>
      <c r="D19" s="34">
        <v>0</v>
      </c>
      <c r="E19" s="24">
        <v>305.5</v>
      </c>
      <c r="F19" s="24">
        <v>348.3</v>
      </c>
      <c r="G19" s="24">
        <f t="shared" si="4"/>
        <v>5957.25</v>
      </c>
      <c r="H19" s="24">
        <f t="shared" si="4"/>
        <v>0</v>
      </c>
      <c r="I19" s="25">
        <f t="shared" si="0"/>
        <v>5957.25</v>
      </c>
      <c r="J19" s="25">
        <f t="shared" si="5"/>
        <v>375.96000000000004</v>
      </c>
      <c r="K19" s="25">
        <f>(C19+D19)*I6</f>
        <v>213.52499999999998</v>
      </c>
      <c r="L19" s="25"/>
      <c r="M19" s="25"/>
      <c r="N19" s="25">
        <v>0</v>
      </c>
      <c r="O19" s="25">
        <f t="shared" si="6"/>
        <v>6546.7349999999997</v>
      </c>
      <c r="P19" s="27">
        <f>IF('[13]Calculo ISR '!$BJ$34&lt;0,0,'[13]Calculo ISR '!$BJ$34)</f>
        <v>770.88836400000002</v>
      </c>
      <c r="Q19" s="28">
        <f>I19*N6</f>
        <v>625.51125000000002</v>
      </c>
      <c r="R19" s="28">
        <f>'[13]HT-DOCENTE'!P19</f>
        <v>0</v>
      </c>
      <c r="S19" s="28">
        <f>I19*T6</f>
        <v>59.572499999999998</v>
      </c>
      <c r="T19" s="28">
        <f>'[13]HT-DOCENTE'!R19</f>
        <v>0</v>
      </c>
      <c r="U19" s="28"/>
      <c r="V19" s="25">
        <f t="shared" si="1"/>
        <v>1455.9721139999999</v>
      </c>
      <c r="W19" s="28">
        <f>IF('[13]Calculo ISR '!$BJ$34&gt;0,0,('[13]Calculo ISR '!$BJ$34)*-1)</f>
        <v>0</v>
      </c>
      <c r="X19" s="25">
        <f t="shared" si="2"/>
        <v>4714.8028859999995</v>
      </c>
      <c r="Y19" s="25">
        <f t="shared" si="3"/>
        <v>375.96000000000004</v>
      </c>
      <c r="Z19" s="161"/>
      <c r="AA19" s="162"/>
    </row>
    <row r="20" spans="1:28" s="35" customFormat="1" ht="45" customHeight="1">
      <c r="A20" s="21" t="s">
        <v>50</v>
      </c>
      <c r="B20" s="33" t="s">
        <v>51</v>
      </c>
      <c r="C20" s="34">
        <v>18.5</v>
      </c>
      <c r="D20" s="34">
        <v>0</v>
      </c>
      <c r="E20" s="24">
        <v>305.5</v>
      </c>
      <c r="F20" s="24">
        <v>348.3</v>
      </c>
      <c r="G20" s="24">
        <f t="shared" si="4"/>
        <v>5651.75</v>
      </c>
      <c r="H20" s="24">
        <f t="shared" si="4"/>
        <v>0</v>
      </c>
      <c r="I20" s="25">
        <f t="shared" si="0"/>
        <v>5651.75</v>
      </c>
      <c r="J20" s="25">
        <f t="shared" si="5"/>
        <v>356.68</v>
      </c>
      <c r="K20" s="25">
        <f>(C20+D20)*I6</f>
        <v>202.57499999999999</v>
      </c>
      <c r="L20" s="25"/>
      <c r="M20" s="25"/>
      <c r="N20" s="25">
        <v>0</v>
      </c>
      <c r="O20" s="25">
        <f t="shared" si="6"/>
        <v>6211.0050000000001</v>
      </c>
      <c r="P20" s="27">
        <f>IF('[13]Calculo ISR '!$BK$34&lt;0,0,'[13]Calculo ISR '!$BK$34)</f>
        <v>703.29464400000006</v>
      </c>
      <c r="Q20" s="28">
        <f>I20*N6</f>
        <v>593.43375000000003</v>
      </c>
      <c r="R20" s="28">
        <v>1570</v>
      </c>
      <c r="S20" s="28">
        <f>I20*T6</f>
        <v>56.517499999999998</v>
      </c>
      <c r="T20" s="28"/>
      <c r="U20" s="28"/>
      <c r="V20" s="25">
        <f t="shared" si="1"/>
        <v>2923.2458940000001</v>
      </c>
      <c r="W20" s="28">
        <f>IF('[13]Calculo ISR '!$BK$34&gt;0,0,('[13]Calculo ISR '!$BK$34)*-1)</f>
        <v>0</v>
      </c>
      <c r="X20" s="25">
        <f t="shared" si="2"/>
        <v>2931.0791060000001</v>
      </c>
      <c r="Y20" s="25">
        <f t="shared" si="3"/>
        <v>356.68</v>
      </c>
      <c r="Z20" s="161"/>
      <c r="AA20" s="162"/>
    </row>
    <row r="21" spans="1:28" s="35" customFormat="1" ht="45" customHeight="1">
      <c r="A21" s="21" t="s">
        <v>52</v>
      </c>
      <c r="B21" s="33" t="s">
        <v>53</v>
      </c>
      <c r="C21" s="34">
        <v>19.5</v>
      </c>
      <c r="D21" s="34">
        <v>0</v>
      </c>
      <c r="E21" s="24">
        <v>305.5</v>
      </c>
      <c r="F21" s="24">
        <v>348.3</v>
      </c>
      <c r="G21" s="24">
        <f t="shared" si="4"/>
        <v>5957.25</v>
      </c>
      <c r="H21" s="24">
        <f t="shared" si="4"/>
        <v>0</v>
      </c>
      <c r="I21" s="25">
        <f t="shared" si="0"/>
        <v>5957.25</v>
      </c>
      <c r="J21" s="25">
        <f t="shared" si="5"/>
        <v>375.96000000000004</v>
      </c>
      <c r="K21" s="25">
        <f>(C21+D21)*I6</f>
        <v>213.52499999999998</v>
      </c>
      <c r="L21" s="25"/>
      <c r="M21" s="25"/>
      <c r="N21" s="25">
        <v>0</v>
      </c>
      <c r="O21" s="25">
        <f t="shared" si="6"/>
        <v>6546.7349999999997</v>
      </c>
      <c r="P21" s="27">
        <f>IF('[13]Calculo ISR '!$BL$34&lt;0,0,'[13]Calculo ISR '!$BL$34)</f>
        <v>770.88836400000002</v>
      </c>
      <c r="Q21" s="28">
        <f>I21*N6</f>
        <v>625.51125000000002</v>
      </c>
      <c r="R21" s="28">
        <f>'[13]HT-DOCENTE'!P21</f>
        <v>0</v>
      </c>
      <c r="S21" s="28">
        <f>I21*T6</f>
        <v>59.572499999999998</v>
      </c>
      <c r="T21" s="28"/>
      <c r="U21" s="28"/>
      <c r="V21" s="25">
        <f t="shared" si="1"/>
        <v>1455.9721139999999</v>
      </c>
      <c r="W21" s="28">
        <f>IF('[13]Calculo ISR '!$BL$34&gt;0,0,('[13]Calculo ISR '!$BL$34)*-1)</f>
        <v>0</v>
      </c>
      <c r="X21" s="25">
        <f t="shared" si="2"/>
        <v>4714.8028859999995</v>
      </c>
      <c r="Y21" s="25">
        <f t="shared" si="3"/>
        <v>375.96000000000004</v>
      </c>
      <c r="Z21" s="161"/>
      <c r="AA21" s="162"/>
    </row>
    <row r="22" spans="1:28" s="35" customFormat="1" ht="45" customHeight="1">
      <c r="A22" s="21" t="s">
        <v>54</v>
      </c>
      <c r="B22" s="33" t="s">
        <v>55</v>
      </c>
      <c r="C22" s="34">
        <v>19.5</v>
      </c>
      <c r="D22" s="34">
        <v>0</v>
      </c>
      <c r="E22" s="24">
        <v>305.5</v>
      </c>
      <c r="F22" s="24">
        <v>348.3</v>
      </c>
      <c r="G22" s="24">
        <f t="shared" si="4"/>
        <v>5957.25</v>
      </c>
      <c r="H22" s="24">
        <f t="shared" si="4"/>
        <v>0</v>
      </c>
      <c r="I22" s="25">
        <f t="shared" si="0"/>
        <v>5957.25</v>
      </c>
      <c r="J22" s="25">
        <f t="shared" si="5"/>
        <v>375.96000000000004</v>
      </c>
      <c r="K22" s="25">
        <f>(C22+D22)*I6</f>
        <v>213.52499999999998</v>
      </c>
      <c r="L22" s="25"/>
      <c r="M22" s="25"/>
      <c r="N22" s="25">
        <v>0</v>
      </c>
      <c r="O22" s="25">
        <f t="shared" si="6"/>
        <v>6546.7349999999997</v>
      </c>
      <c r="P22" s="27">
        <f>IF('[13]Calculo ISR '!$BM$34&lt;0,0,'[13]Calculo ISR '!$BM$34)</f>
        <v>770.88836400000002</v>
      </c>
      <c r="Q22" s="28">
        <f>I22*N6</f>
        <v>625.51125000000002</v>
      </c>
      <c r="R22" s="28">
        <v>1324</v>
      </c>
      <c r="S22" s="28">
        <f>I22*T6</f>
        <v>59.572499999999998</v>
      </c>
      <c r="T22" s="28">
        <f>'[13]HT-DOCENTE'!R22</f>
        <v>0</v>
      </c>
      <c r="U22" s="28"/>
      <c r="V22" s="25">
        <f t="shared" si="1"/>
        <v>2779.9721140000001</v>
      </c>
      <c r="W22" s="28">
        <f>IF('[13]Calculo ISR '!$BM$34&gt;0,0,('[13]Calculo ISR '!$BM$34)*-1)</f>
        <v>0</v>
      </c>
      <c r="X22" s="25">
        <f t="shared" si="2"/>
        <v>3390.8028859999995</v>
      </c>
      <c r="Y22" s="25">
        <f t="shared" si="3"/>
        <v>375.96000000000004</v>
      </c>
      <c r="Z22" s="161"/>
      <c r="AA22" s="162"/>
    </row>
    <row r="23" spans="1:28" s="35" customFormat="1" ht="45" customHeight="1">
      <c r="A23" s="21" t="s">
        <v>56</v>
      </c>
      <c r="B23" s="33" t="s">
        <v>57</v>
      </c>
      <c r="C23" s="34">
        <v>19</v>
      </c>
      <c r="D23" s="34">
        <v>0</v>
      </c>
      <c r="E23" s="24">
        <v>305.5</v>
      </c>
      <c r="F23" s="24">
        <v>348.3</v>
      </c>
      <c r="G23" s="24">
        <f t="shared" si="4"/>
        <v>5804.5</v>
      </c>
      <c r="H23" s="24">
        <f t="shared" si="4"/>
        <v>0</v>
      </c>
      <c r="I23" s="25">
        <f t="shared" si="0"/>
        <v>5804.5</v>
      </c>
      <c r="J23" s="25">
        <f t="shared" si="5"/>
        <v>366.32000000000005</v>
      </c>
      <c r="K23" s="25">
        <f>(C23+D23)*I6</f>
        <v>208.04999999999998</v>
      </c>
      <c r="L23" s="25">
        <f>(C23+D23)*E7</f>
        <v>423.7</v>
      </c>
      <c r="M23" s="25"/>
      <c r="N23" s="25">
        <v>0</v>
      </c>
      <c r="O23" s="25">
        <f t="shared" si="6"/>
        <v>6802.57</v>
      </c>
      <c r="P23" s="27">
        <f>IF('[13]Calculo ISR '!$BN$34&lt;0,0,'[13]Calculo ISR '!$BN$34)</f>
        <v>827.59382400000004</v>
      </c>
      <c r="Q23" s="28">
        <f>I23*N6</f>
        <v>609.47249999999997</v>
      </c>
      <c r="R23" s="28">
        <f>'[13]HT-DOCENTE'!P23</f>
        <v>0</v>
      </c>
      <c r="S23" s="28">
        <f>I23*T6</f>
        <v>58.045000000000002</v>
      </c>
      <c r="T23" s="28">
        <f>'[13]HT-DOCENTE'!R23</f>
        <v>0</v>
      </c>
      <c r="U23" s="30">
        <f>[13]descuentos!D7</f>
        <v>0</v>
      </c>
      <c r="V23" s="25">
        <f t="shared" si="1"/>
        <v>1495.111324</v>
      </c>
      <c r="W23" s="28">
        <f>IF('[13]Calculo ISR '!$BN$34&gt;0,0,('[13]Calculo ISR '!$BN$34)*-1)</f>
        <v>0</v>
      </c>
      <c r="X23" s="25">
        <f t="shared" si="2"/>
        <v>4941.1386760000005</v>
      </c>
      <c r="Y23" s="25">
        <f t="shared" si="3"/>
        <v>366.32000000000005</v>
      </c>
      <c r="Z23" s="161"/>
      <c r="AA23" s="162"/>
    </row>
    <row r="24" spans="1:28" s="35" customFormat="1" ht="45" customHeight="1">
      <c r="A24" s="21" t="s">
        <v>58</v>
      </c>
      <c r="B24" s="33" t="s">
        <v>59</v>
      </c>
      <c r="C24" s="34">
        <v>11</v>
      </c>
      <c r="D24" s="34">
        <v>0</v>
      </c>
      <c r="E24" s="24">
        <v>305.5</v>
      </c>
      <c r="F24" s="24">
        <v>348.3</v>
      </c>
      <c r="G24" s="24">
        <f t="shared" si="4"/>
        <v>3360.5</v>
      </c>
      <c r="H24" s="24">
        <f t="shared" si="4"/>
        <v>0</v>
      </c>
      <c r="I24" s="25">
        <f t="shared" si="0"/>
        <v>3360.5</v>
      </c>
      <c r="J24" s="25">
        <f t="shared" si="5"/>
        <v>212.08</v>
      </c>
      <c r="K24" s="25">
        <f>(C24+D24)*I6</f>
        <v>120.44999999999999</v>
      </c>
      <c r="L24" s="25"/>
      <c r="M24" s="25"/>
      <c r="N24" s="25"/>
      <c r="O24" s="25">
        <f t="shared" si="6"/>
        <v>3693.0299999999997</v>
      </c>
      <c r="P24" s="27">
        <f>IF('[13]Calculo ISR '!$BO$34&lt;0,0,'[13]Calculo ISR '!$BO$34)</f>
        <v>149.54427199999995</v>
      </c>
      <c r="Q24" s="28">
        <f>I24*N6</f>
        <v>352.85249999999996</v>
      </c>
      <c r="R24" s="28">
        <v>707</v>
      </c>
      <c r="S24" s="28">
        <f>I24*T6</f>
        <v>33.605000000000004</v>
      </c>
      <c r="T24" s="28"/>
      <c r="U24" s="28"/>
      <c r="V24" s="25">
        <f t="shared" si="1"/>
        <v>1243.0017720000001</v>
      </c>
      <c r="W24" s="28">
        <f>IF('[13]Calculo ISR '!$BO$34&gt;0,0,('[13]Calculo ISR '!$BO$34)*-1)</f>
        <v>0</v>
      </c>
      <c r="X24" s="25">
        <f t="shared" si="2"/>
        <v>2237.9482279999997</v>
      </c>
      <c r="Y24" s="25">
        <f t="shared" si="3"/>
        <v>212.08</v>
      </c>
      <c r="Z24" s="161"/>
      <c r="AA24" s="162"/>
    </row>
    <row r="25" spans="1:28" s="35" customFormat="1" ht="45" customHeight="1">
      <c r="A25" s="21" t="s">
        <v>60</v>
      </c>
      <c r="B25" s="33" t="s">
        <v>100</v>
      </c>
      <c r="C25" s="34">
        <v>18.5</v>
      </c>
      <c r="D25" s="34"/>
      <c r="E25" s="24">
        <v>305.5</v>
      </c>
      <c r="F25" s="24">
        <v>348.3</v>
      </c>
      <c r="G25" s="24">
        <f t="shared" si="4"/>
        <v>5651.75</v>
      </c>
      <c r="H25" s="24">
        <f t="shared" si="4"/>
        <v>0</v>
      </c>
      <c r="I25" s="25">
        <f t="shared" si="0"/>
        <v>5651.75</v>
      </c>
      <c r="J25" s="25">
        <f t="shared" si="5"/>
        <v>356.68</v>
      </c>
      <c r="K25" s="25">
        <f>(C25+D25)*I6</f>
        <v>202.57499999999999</v>
      </c>
      <c r="L25" s="25"/>
      <c r="M25" s="25"/>
      <c r="N25" s="25"/>
      <c r="O25" s="25">
        <f t="shared" si="6"/>
        <v>6211.0050000000001</v>
      </c>
      <c r="P25" s="27">
        <f>IF('[13]Calculo ISR '!$BP$34&lt;0,0,'[13]Calculo ISR '!$BP$34)</f>
        <v>703.29464400000006</v>
      </c>
      <c r="Q25" s="28">
        <f>I25*N6</f>
        <v>593.43375000000003</v>
      </c>
      <c r="R25" s="28"/>
      <c r="S25" s="28"/>
      <c r="T25" s="28"/>
      <c r="U25" s="28"/>
      <c r="V25" s="25">
        <f t="shared" ref="V25:V38" si="7">P25+Q25+R25+S25+T25+U25</f>
        <v>1296.7283940000002</v>
      </c>
      <c r="W25" s="28">
        <f>IF('[13]Calculo ISR '!$BP$34&gt;0,0,('[13]Calculo ISR '!$BP$34)*-1)</f>
        <v>0</v>
      </c>
      <c r="X25" s="25">
        <f t="shared" si="2"/>
        <v>4557.5966059999992</v>
      </c>
      <c r="Y25" s="25">
        <f t="shared" si="3"/>
        <v>356.68</v>
      </c>
      <c r="Z25" s="161"/>
      <c r="AA25" s="162"/>
    </row>
    <row r="26" spans="1:28" s="35" customFormat="1" ht="45" customHeight="1">
      <c r="A26" s="21" t="s">
        <v>62</v>
      </c>
      <c r="B26" s="33" t="s">
        <v>63</v>
      </c>
      <c r="C26" s="34">
        <v>17.5</v>
      </c>
      <c r="D26" s="34">
        <v>0</v>
      </c>
      <c r="E26" s="24">
        <v>305.5</v>
      </c>
      <c r="F26" s="24">
        <v>348.3</v>
      </c>
      <c r="G26" s="24">
        <f t="shared" si="4"/>
        <v>5346.25</v>
      </c>
      <c r="H26" s="24">
        <f t="shared" si="4"/>
        <v>0</v>
      </c>
      <c r="I26" s="25">
        <f t="shared" si="0"/>
        <v>5346.25</v>
      </c>
      <c r="J26" s="25">
        <f t="shared" si="5"/>
        <v>337.40000000000003</v>
      </c>
      <c r="K26" s="25">
        <f>(C26+D26)*I6</f>
        <v>191.625</v>
      </c>
      <c r="L26" s="25"/>
      <c r="M26" s="25"/>
      <c r="N26" s="25">
        <v>0</v>
      </c>
      <c r="O26" s="25">
        <f t="shared" si="6"/>
        <v>5875.2749999999996</v>
      </c>
      <c r="P26" s="27">
        <f>IF('[13]Calculo ISR '!$BQ$34&lt;0,0,'[13]Calculo ISR '!$BQ$34)</f>
        <v>635.7009240000001</v>
      </c>
      <c r="Q26" s="28">
        <f>I26*N6</f>
        <v>561.35624999999993</v>
      </c>
      <c r="R26" s="28"/>
      <c r="S26" s="28">
        <f>I26*T6</f>
        <v>53.462499999999999</v>
      </c>
      <c r="T26" s="28"/>
      <c r="U26" s="28"/>
      <c r="V26" s="25">
        <f t="shared" si="7"/>
        <v>1250.5196740000001</v>
      </c>
      <c r="W26" s="28">
        <f>IF('[13]Calculo ISR '!$BQ$34&gt;0,0,('[13]Calculo ISR '!$BQ$34)*-1)</f>
        <v>0</v>
      </c>
      <c r="X26" s="25">
        <f t="shared" ref="X26:X38" si="8">O26-V26+W26-Y26</f>
        <v>4287.3553259999999</v>
      </c>
      <c r="Y26" s="25">
        <f t="shared" si="3"/>
        <v>337.40000000000003</v>
      </c>
      <c r="Z26" s="161"/>
      <c r="AA26" s="162"/>
    </row>
    <row r="27" spans="1:28" s="35" customFormat="1" ht="45" customHeight="1">
      <c r="A27" s="21" t="s">
        <v>64</v>
      </c>
      <c r="B27" s="33" t="s">
        <v>65</v>
      </c>
      <c r="C27" s="34">
        <v>17</v>
      </c>
      <c r="D27" s="34">
        <v>0</v>
      </c>
      <c r="E27" s="24">
        <v>305.5</v>
      </c>
      <c r="F27" s="24">
        <v>348.3</v>
      </c>
      <c r="G27" s="24">
        <f t="shared" si="4"/>
        <v>5193.5</v>
      </c>
      <c r="H27" s="24">
        <f t="shared" si="4"/>
        <v>0</v>
      </c>
      <c r="I27" s="25">
        <f t="shared" si="0"/>
        <v>5193.5</v>
      </c>
      <c r="J27" s="25">
        <f t="shared" si="5"/>
        <v>327.76</v>
      </c>
      <c r="K27" s="25">
        <f>(C27+D27)*I6</f>
        <v>186.14999999999998</v>
      </c>
      <c r="L27" s="25"/>
      <c r="M27" s="25"/>
      <c r="N27" s="25">
        <v>0</v>
      </c>
      <c r="O27" s="25">
        <f t="shared" si="6"/>
        <v>5707.41</v>
      </c>
      <c r="P27" s="27">
        <f>IF('[13]Calculo ISR '!$BR$34&lt;0,0,'[13]Calculo ISR '!$BR$34)</f>
        <v>601.90406400000006</v>
      </c>
      <c r="Q27" s="28">
        <f>I27*N6</f>
        <v>545.3175</v>
      </c>
      <c r="R27" s="28"/>
      <c r="S27" s="28"/>
      <c r="T27" s="28"/>
      <c r="U27" s="28"/>
      <c r="V27" s="25">
        <f t="shared" si="7"/>
        <v>1147.2215639999999</v>
      </c>
      <c r="W27" s="28">
        <f>IF('[13]Calculo ISR '!$BR$34&gt;0,0,('[13]Calculo ISR '!$BR$34)*-1)</f>
        <v>0</v>
      </c>
      <c r="X27" s="25">
        <f t="shared" si="8"/>
        <v>4232.4284360000001</v>
      </c>
      <c r="Y27" s="25">
        <f t="shared" si="3"/>
        <v>327.76</v>
      </c>
      <c r="Z27" s="161"/>
      <c r="AA27" s="162"/>
    </row>
    <row r="28" spans="1:28" s="35" customFormat="1" ht="45" customHeight="1">
      <c r="A28" s="21" t="s">
        <v>66</v>
      </c>
      <c r="B28" s="36" t="s">
        <v>67</v>
      </c>
      <c r="C28" s="34">
        <v>11.5</v>
      </c>
      <c r="D28" s="34">
        <v>0</v>
      </c>
      <c r="E28" s="24">
        <v>305.5</v>
      </c>
      <c r="F28" s="24">
        <v>348.3</v>
      </c>
      <c r="G28" s="24">
        <f t="shared" si="4"/>
        <v>3513.25</v>
      </c>
      <c r="H28" s="24">
        <f t="shared" si="4"/>
        <v>0</v>
      </c>
      <c r="I28" s="25">
        <f t="shared" si="0"/>
        <v>3513.25</v>
      </c>
      <c r="J28" s="25">
        <f t="shared" si="5"/>
        <v>221.72000000000003</v>
      </c>
      <c r="K28" s="25">
        <f>(C28+D28)*I6</f>
        <v>125.925</v>
      </c>
      <c r="L28" s="25"/>
      <c r="M28" s="25"/>
      <c r="N28" s="25">
        <v>0</v>
      </c>
      <c r="O28" s="25">
        <f t="shared" si="6"/>
        <v>3860.8950000000004</v>
      </c>
      <c r="P28" s="27">
        <f>IF('[13]Calculo ISR '!$BS$34&lt;0,0,'[13]Calculo ISR '!$BS$34)</f>
        <v>184.45915199999999</v>
      </c>
      <c r="Q28" s="28">
        <f>I28*N6</f>
        <v>368.89125000000001</v>
      </c>
      <c r="R28" s="28"/>
      <c r="S28" s="28"/>
      <c r="T28" s="28"/>
      <c r="U28" s="28"/>
      <c r="V28" s="25">
        <f t="shared" si="7"/>
        <v>553.35040200000003</v>
      </c>
      <c r="W28" s="28">
        <f>IF('[13]Calculo ISR '!$BS$34&gt;0,0,('[13]Calculo ISR '!$BS$34)*-1)</f>
        <v>0</v>
      </c>
      <c r="X28" s="25">
        <f t="shared" si="8"/>
        <v>3085.8245980000002</v>
      </c>
      <c r="Y28" s="25">
        <f t="shared" si="3"/>
        <v>221.72000000000003</v>
      </c>
      <c r="Z28" s="161"/>
      <c r="AA28" s="162"/>
    </row>
    <row r="29" spans="1:28" s="35" customFormat="1" ht="45" customHeight="1">
      <c r="A29" s="21" t="s">
        <v>68</v>
      </c>
      <c r="B29" s="33" t="s">
        <v>69</v>
      </c>
      <c r="C29" s="34">
        <v>10.5</v>
      </c>
      <c r="D29" s="34">
        <v>0</v>
      </c>
      <c r="E29" s="24">
        <v>305.5</v>
      </c>
      <c r="F29" s="24">
        <v>348.3</v>
      </c>
      <c r="G29" s="24">
        <f t="shared" si="4"/>
        <v>3207.75</v>
      </c>
      <c r="H29" s="24">
        <f t="shared" si="4"/>
        <v>0</v>
      </c>
      <c r="I29" s="25">
        <f t="shared" si="0"/>
        <v>3207.75</v>
      </c>
      <c r="J29" s="25">
        <f t="shared" si="5"/>
        <v>202.44</v>
      </c>
      <c r="K29" s="25">
        <f>(C29+D29)*I6</f>
        <v>114.97499999999999</v>
      </c>
      <c r="L29" s="25"/>
      <c r="M29" s="25"/>
      <c r="N29" s="25">
        <v>0</v>
      </c>
      <c r="O29" s="25">
        <f t="shared" si="6"/>
        <v>3525.165</v>
      </c>
      <c r="P29" s="27">
        <f>IF('[13]Calculo ISR '!$BT$34&lt;0,0,'[13]Calculo ISR '!$BT$34)</f>
        <v>132.32939199999996</v>
      </c>
      <c r="Q29" s="28">
        <f>I29*N6</f>
        <v>336.81374999999997</v>
      </c>
      <c r="R29" s="28"/>
      <c r="S29" s="28"/>
      <c r="T29" s="28"/>
      <c r="U29" s="28"/>
      <c r="V29" s="25">
        <f t="shared" si="7"/>
        <v>469.1431419999999</v>
      </c>
      <c r="W29" s="28">
        <f>IF('[13]Calculo ISR '!$BT$34&gt;0,0,('[13]Calculo ISR '!$BT$34)*-1)</f>
        <v>0</v>
      </c>
      <c r="X29" s="25">
        <f t="shared" si="8"/>
        <v>2853.581858</v>
      </c>
      <c r="Y29" s="25">
        <f t="shared" si="3"/>
        <v>202.44</v>
      </c>
      <c r="Z29" s="161"/>
      <c r="AA29" s="162"/>
    </row>
    <row r="30" spans="1:28" s="35" customFormat="1" ht="45" customHeight="1">
      <c r="A30" s="21" t="s">
        <v>70</v>
      </c>
      <c r="B30" s="33" t="s">
        <v>71</v>
      </c>
      <c r="C30" s="34">
        <v>9.5</v>
      </c>
      <c r="D30" s="34">
        <v>0</v>
      </c>
      <c r="E30" s="24">
        <v>305.5</v>
      </c>
      <c r="F30" s="24">
        <v>348.3</v>
      </c>
      <c r="G30" s="24">
        <f t="shared" si="4"/>
        <v>2902.25</v>
      </c>
      <c r="H30" s="24">
        <f t="shared" si="4"/>
        <v>0</v>
      </c>
      <c r="I30" s="25">
        <f t="shared" si="0"/>
        <v>2902.25</v>
      </c>
      <c r="J30" s="25">
        <f t="shared" si="5"/>
        <v>183.16000000000003</v>
      </c>
      <c r="K30" s="25">
        <f>(C30+D30)*I6</f>
        <v>104.02499999999999</v>
      </c>
      <c r="L30" s="25"/>
      <c r="M30" s="25"/>
      <c r="N30" s="25"/>
      <c r="O30" s="25">
        <f t="shared" si="6"/>
        <v>3189.4349999999999</v>
      </c>
      <c r="P30" s="27">
        <f>IF('[13]Calculo ISR '!$BU$34&lt;0,0,'[13]Calculo ISR '!$BU$34)</f>
        <v>77.649631999999968</v>
      </c>
      <c r="Q30" s="28">
        <f>I30*N6</f>
        <v>304.73624999999998</v>
      </c>
      <c r="R30" s="28"/>
      <c r="S30" s="28"/>
      <c r="T30" s="28"/>
      <c r="U30" s="28"/>
      <c r="V30" s="25">
        <f t="shared" si="7"/>
        <v>382.38588199999992</v>
      </c>
      <c r="W30" s="28">
        <f>IF('[13]Calculo ISR '!$BU$34&gt;0,0,('[13]Calculo ISR '!$BU$34)*-1)</f>
        <v>0</v>
      </c>
      <c r="X30" s="25">
        <f t="shared" si="8"/>
        <v>2623.8891180000001</v>
      </c>
      <c r="Y30" s="25">
        <f t="shared" si="3"/>
        <v>183.16000000000003</v>
      </c>
      <c r="Z30" s="161"/>
      <c r="AA30" s="162"/>
    </row>
    <row r="31" spans="1:28" s="35" customFormat="1" ht="45" customHeight="1">
      <c r="A31" s="21" t="s">
        <v>72</v>
      </c>
      <c r="B31" s="33" t="s">
        <v>73</v>
      </c>
      <c r="C31" s="34">
        <v>10</v>
      </c>
      <c r="D31" s="34">
        <v>0</v>
      </c>
      <c r="E31" s="24">
        <v>305.5</v>
      </c>
      <c r="F31" s="24">
        <v>348.3</v>
      </c>
      <c r="G31" s="24">
        <f t="shared" si="4"/>
        <v>3055</v>
      </c>
      <c r="H31" s="24">
        <f t="shared" si="4"/>
        <v>0</v>
      </c>
      <c r="I31" s="25">
        <f t="shared" si="0"/>
        <v>3055</v>
      </c>
      <c r="J31" s="25">
        <f t="shared" si="5"/>
        <v>192.8</v>
      </c>
      <c r="K31" s="25">
        <f>(C31+D31)*I6</f>
        <v>109.5</v>
      </c>
      <c r="L31" s="25"/>
      <c r="M31" s="25"/>
      <c r="N31" s="25"/>
      <c r="O31" s="25">
        <f t="shared" si="6"/>
        <v>3357.3</v>
      </c>
      <c r="P31" s="27">
        <f>IF('[13]Calculo ISR '!$BV$34&lt;0,0,'[13]Calculo ISR '!$BV$34)</f>
        <v>115.11451199999996</v>
      </c>
      <c r="Q31" s="28">
        <f>I31*N6</f>
        <v>320.77499999999998</v>
      </c>
      <c r="R31" s="28"/>
      <c r="S31" s="28"/>
      <c r="T31" s="28"/>
      <c r="U31" s="30">
        <f>[13]descuentos!D9</f>
        <v>152.75</v>
      </c>
      <c r="V31" s="25">
        <f t="shared" si="7"/>
        <v>588.63951199999997</v>
      </c>
      <c r="W31" s="28">
        <f>IF('[13]Calculo ISR '!$BV$34&gt;0,0,('[13]Calculo ISR '!$BV$34)*-1)</f>
        <v>0</v>
      </c>
      <c r="X31" s="25">
        <f t="shared" si="8"/>
        <v>2575.8604880000003</v>
      </c>
      <c r="Y31" s="25">
        <f t="shared" si="3"/>
        <v>192.8</v>
      </c>
      <c r="Z31" s="184"/>
      <c r="AA31" s="185"/>
      <c r="AB31" s="70"/>
    </row>
    <row r="32" spans="1:28" s="35" customFormat="1" ht="45" customHeight="1">
      <c r="A32" s="21" t="s">
        <v>94</v>
      </c>
      <c r="B32" s="33" t="s">
        <v>101</v>
      </c>
      <c r="C32" s="34">
        <v>14.5</v>
      </c>
      <c r="D32" s="34">
        <v>0</v>
      </c>
      <c r="E32" s="24">
        <v>305.5</v>
      </c>
      <c r="F32" s="24">
        <v>348.3</v>
      </c>
      <c r="G32" s="24">
        <f t="shared" si="4"/>
        <v>4429.75</v>
      </c>
      <c r="H32" s="24">
        <f t="shared" si="4"/>
        <v>0</v>
      </c>
      <c r="I32" s="25">
        <f t="shared" si="0"/>
        <v>4429.75</v>
      </c>
      <c r="J32" s="25">
        <f t="shared" si="5"/>
        <v>279.56</v>
      </c>
      <c r="K32" s="25">
        <f>(C32+D32)*I6</f>
        <v>158.77499999999998</v>
      </c>
      <c r="L32" s="25"/>
      <c r="M32" s="25"/>
      <c r="N32" s="25"/>
      <c r="O32" s="25">
        <f t="shared" si="6"/>
        <v>4868.085</v>
      </c>
      <c r="P32" s="27">
        <f>IF('[13]Calculo ISR '!$BW$34&lt;0,0,'[13]Calculo ISR '!$BW$34)</f>
        <v>449.76916800000004</v>
      </c>
      <c r="Q32" s="28">
        <f>I32*10.5%</f>
        <v>465.12374999999997</v>
      </c>
      <c r="R32" s="28"/>
      <c r="S32" s="28"/>
      <c r="T32" s="28"/>
      <c r="U32" s="28"/>
      <c r="V32" s="25">
        <f t="shared" si="7"/>
        <v>914.89291800000001</v>
      </c>
      <c r="W32" s="28">
        <f>IF('[13]Calculo ISR '!$BW$34&gt;0,0,('[13]Calculo ISR '!$BW$34)*-1)</f>
        <v>0</v>
      </c>
      <c r="X32" s="25">
        <f t="shared" si="8"/>
        <v>3673.6320820000001</v>
      </c>
      <c r="Y32" s="71">
        <f t="shared" si="3"/>
        <v>279.56</v>
      </c>
      <c r="Z32" s="132"/>
      <c r="AA32" s="73"/>
      <c r="AB32" s="70"/>
    </row>
    <row r="33" spans="1:31" s="35" customFormat="1" ht="45" customHeight="1">
      <c r="A33" s="21" t="s">
        <v>96</v>
      </c>
      <c r="B33" s="33" t="s">
        <v>102</v>
      </c>
      <c r="C33" s="34">
        <v>7.5</v>
      </c>
      <c r="D33" s="34">
        <v>0</v>
      </c>
      <c r="E33" s="24">
        <v>305.5</v>
      </c>
      <c r="F33" s="24">
        <v>348.3</v>
      </c>
      <c r="G33" s="24">
        <f t="shared" si="4"/>
        <v>2291.25</v>
      </c>
      <c r="H33" s="24">
        <f t="shared" si="4"/>
        <v>0</v>
      </c>
      <c r="I33" s="25">
        <f t="shared" si="0"/>
        <v>2291.25</v>
      </c>
      <c r="J33" s="25">
        <f t="shared" si="5"/>
        <v>144.60000000000002</v>
      </c>
      <c r="K33" s="25">
        <f>(C33+D33)*I6</f>
        <v>82.125</v>
      </c>
      <c r="L33" s="25"/>
      <c r="M33" s="25"/>
      <c r="N33" s="25"/>
      <c r="O33" s="25">
        <f t="shared" si="6"/>
        <v>2517.9749999999999</v>
      </c>
      <c r="P33" s="27">
        <f>IF('[13]Calculo ISR '!$BX$34&lt;0,0,'[13]Calculo ISR '!$BX$34)</f>
        <v>0</v>
      </c>
      <c r="Q33" s="28">
        <f>I33*10.5%</f>
        <v>240.58124999999998</v>
      </c>
      <c r="R33" s="28"/>
      <c r="S33" s="28"/>
      <c r="T33" s="28"/>
      <c r="U33" s="28"/>
      <c r="V33" s="25">
        <f t="shared" si="7"/>
        <v>240.58124999999998</v>
      </c>
      <c r="W33" s="28">
        <f>IF('[13]Calculo ISR '!$BX$34&gt;0,0,('[13]Calculo ISR '!$BX$34)*-1)</f>
        <v>6.2098880000000065</v>
      </c>
      <c r="X33" s="25">
        <f t="shared" si="8"/>
        <v>2139.0036379999997</v>
      </c>
      <c r="Y33" s="71">
        <f t="shared" si="3"/>
        <v>144.60000000000002</v>
      </c>
      <c r="Z33" s="132"/>
      <c r="AA33" s="73"/>
      <c r="AB33" s="70"/>
    </row>
    <row r="34" spans="1:31" s="35" customFormat="1" ht="45" customHeight="1">
      <c r="A34" s="21" t="s">
        <v>103</v>
      </c>
      <c r="B34" s="33" t="s">
        <v>104</v>
      </c>
      <c r="C34" s="34">
        <v>5</v>
      </c>
      <c r="D34" s="34">
        <v>0</v>
      </c>
      <c r="E34" s="24">
        <v>305.5</v>
      </c>
      <c r="F34" s="24">
        <v>348.3</v>
      </c>
      <c r="G34" s="24">
        <f t="shared" si="4"/>
        <v>1527.5</v>
      </c>
      <c r="H34" s="24">
        <f t="shared" si="4"/>
        <v>0</v>
      </c>
      <c r="I34" s="25">
        <f t="shared" si="0"/>
        <v>1527.5</v>
      </c>
      <c r="J34" s="25">
        <f t="shared" si="5"/>
        <v>96.4</v>
      </c>
      <c r="K34" s="25">
        <f>(C34+D34)*I6</f>
        <v>54.75</v>
      </c>
      <c r="L34" s="25"/>
      <c r="M34" s="25"/>
      <c r="N34" s="25"/>
      <c r="O34" s="25">
        <f t="shared" si="6"/>
        <v>1678.65</v>
      </c>
      <c r="P34" s="27">
        <f>IF('[13]Calculo ISR '!$BY$34&lt;0,0,'[13]Calculo ISR '!$BY$34)</f>
        <v>0</v>
      </c>
      <c r="Q34" s="28">
        <f t="shared" ref="Q34:Q36" si="9">I34*10.5%</f>
        <v>160.38749999999999</v>
      </c>
      <c r="R34" s="28"/>
      <c r="S34" s="28"/>
      <c r="T34" s="28"/>
      <c r="U34" s="28"/>
      <c r="V34" s="25">
        <f t="shared" si="7"/>
        <v>160.38749999999999</v>
      </c>
      <c r="W34" s="28">
        <f>IF('[13]Calculo ISR '!$BY$34&gt;0,0,('[13]Calculo ISR '!$BY$34)*-1)</f>
        <v>110.45383999999997</v>
      </c>
      <c r="X34" s="25">
        <f t="shared" si="8"/>
        <v>1532.3163399999999</v>
      </c>
      <c r="Y34" s="25">
        <f t="shared" si="3"/>
        <v>96.4</v>
      </c>
      <c r="Z34" s="132"/>
      <c r="AA34" s="73"/>
      <c r="AB34" s="70"/>
    </row>
    <row r="35" spans="1:31" s="35" customFormat="1" ht="45" customHeight="1">
      <c r="A35" s="21" t="s">
        <v>105</v>
      </c>
      <c r="B35" s="33" t="s">
        <v>106</v>
      </c>
      <c r="C35" s="34">
        <v>5</v>
      </c>
      <c r="D35" s="34">
        <v>0</v>
      </c>
      <c r="E35" s="24">
        <v>305.5</v>
      </c>
      <c r="F35" s="24">
        <v>348.3</v>
      </c>
      <c r="G35" s="24">
        <f t="shared" si="4"/>
        <v>1527.5</v>
      </c>
      <c r="H35" s="24">
        <f t="shared" si="4"/>
        <v>0</v>
      </c>
      <c r="I35" s="25">
        <f t="shared" si="0"/>
        <v>1527.5</v>
      </c>
      <c r="J35" s="25">
        <f t="shared" si="5"/>
        <v>96.4</v>
      </c>
      <c r="K35" s="25">
        <f>(C35+D35)*I$6</f>
        <v>54.75</v>
      </c>
      <c r="L35" s="25"/>
      <c r="M35" s="25"/>
      <c r="N35" s="25"/>
      <c r="O35" s="25">
        <f t="shared" si="6"/>
        <v>1678.65</v>
      </c>
      <c r="P35" s="27">
        <f>IF('[13]Calculo ISR '!$BZ$34&lt;0,0,'[13]Calculo ISR '!$BZ$34)</f>
        <v>0</v>
      </c>
      <c r="Q35" s="28">
        <f t="shared" si="9"/>
        <v>160.38749999999999</v>
      </c>
      <c r="R35" s="28"/>
      <c r="S35" s="28"/>
      <c r="T35" s="28"/>
      <c r="U35" s="28"/>
      <c r="V35" s="25">
        <f t="shared" si="7"/>
        <v>160.38749999999999</v>
      </c>
      <c r="W35" s="28">
        <f>IF('[13]Calculo ISR '!$BZ$34&gt;0,0,('[13]Calculo ISR '!$BZ$34)*-1)</f>
        <v>110.45383999999997</v>
      </c>
      <c r="X35" s="25">
        <f t="shared" si="8"/>
        <v>1532.3163399999999</v>
      </c>
      <c r="Y35" s="25">
        <f t="shared" si="3"/>
        <v>96.4</v>
      </c>
      <c r="Z35" s="132"/>
      <c r="AA35" s="73"/>
      <c r="AB35" s="70"/>
    </row>
    <row r="36" spans="1:31" s="35" customFormat="1" ht="45" customHeight="1">
      <c r="A36" s="21" t="s">
        <v>108</v>
      </c>
      <c r="B36" s="33" t="s">
        <v>109</v>
      </c>
      <c r="C36" s="34">
        <v>5</v>
      </c>
      <c r="D36" s="34">
        <v>0</v>
      </c>
      <c r="E36" s="24">
        <v>305.5</v>
      </c>
      <c r="F36" s="24">
        <v>348.3</v>
      </c>
      <c r="G36" s="24">
        <f t="shared" si="4"/>
        <v>1527.5</v>
      </c>
      <c r="H36" s="24">
        <f t="shared" si="4"/>
        <v>0</v>
      </c>
      <c r="I36" s="25">
        <f t="shared" si="0"/>
        <v>1527.5</v>
      </c>
      <c r="J36" s="25">
        <f t="shared" si="5"/>
        <v>96.4</v>
      </c>
      <c r="K36" s="25">
        <f>(C36+D36)*I$6</f>
        <v>54.75</v>
      </c>
      <c r="L36" s="25"/>
      <c r="M36" s="25"/>
      <c r="N36" s="25"/>
      <c r="O36" s="25">
        <f t="shared" si="6"/>
        <v>1678.65</v>
      </c>
      <c r="P36" s="27">
        <f>IF('[13]Calculo ISR '!$CA$34&lt;0,0,'[13]Calculo ISR '!$CA$34)</f>
        <v>0</v>
      </c>
      <c r="Q36" s="28">
        <f t="shared" si="9"/>
        <v>160.38749999999999</v>
      </c>
      <c r="R36" s="28"/>
      <c r="S36" s="28"/>
      <c r="T36" s="28"/>
      <c r="U36" s="28"/>
      <c r="V36" s="25">
        <f t="shared" si="7"/>
        <v>160.38749999999999</v>
      </c>
      <c r="W36" s="28">
        <f>IF('[13]Calculo ISR '!$CA$34&gt;0,0,('[13]Calculo ISR '!$CA$34)*-1)</f>
        <v>110.45383999999997</v>
      </c>
      <c r="X36" s="25">
        <f t="shared" si="8"/>
        <v>1532.3163399999999</v>
      </c>
      <c r="Y36" s="25">
        <f t="shared" si="3"/>
        <v>96.4</v>
      </c>
      <c r="Z36" s="93"/>
      <c r="AA36" s="73"/>
      <c r="AB36" s="70"/>
    </row>
    <row r="37" spans="1:31" s="35" customFormat="1" ht="45" customHeight="1">
      <c r="A37" s="21" t="s">
        <v>110</v>
      </c>
      <c r="B37" s="33" t="s">
        <v>111</v>
      </c>
      <c r="C37" s="34">
        <v>5</v>
      </c>
      <c r="D37" s="34">
        <v>0</v>
      </c>
      <c r="E37" s="24">
        <v>305.5</v>
      </c>
      <c r="F37" s="24">
        <v>348.3</v>
      </c>
      <c r="G37" s="24">
        <f t="shared" si="4"/>
        <v>1527.5</v>
      </c>
      <c r="H37" s="24">
        <f t="shared" si="4"/>
        <v>0</v>
      </c>
      <c r="I37" s="25">
        <f t="shared" si="0"/>
        <v>1527.5</v>
      </c>
      <c r="J37" s="25">
        <f t="shared" si="5"/>
        <v>96.4</v>
      </c>
      <c r="K37" s="25">
        <f>(C37+D37)*I$6</f>
        <v>54.75</v>
      </c>
      <c r="L37" s="25"/>
      <c r="M37" s="25"/>
      <c r="N37" s="25"/>
      <c r="O37" s="25">
        <f t="shared" si="6"/>
        <v>1678.65</v>
      </c>
      <c r="P37" s="27">
        <f>IF('[13]Calculo ISR '!$CB$34&lt;0,0,'[13]Calculo ISR '!$CB$34)</f>
        <v>0</v>
      </c>
      <c r="Q37" s="28">
        <f>I37*10.5%</f>
        <v>160.38749999999999</v>
      </c>
      <c r="R37" s="28"/>
      <c r="S37" s="28"/>
      <c r="T37" s="28"/>
      <c r="U37" s="28"/>
      <c r="V37" s="25">
        <f t="shared" si="7"/>
        <v>160.38749999999999</v>
      </c>
      <c r="W37" s="28">
        <f>IF('[13]Calculo ISR '!$CB$34&gt;0,0,('[13]Calculo ISR '!$CB$34)*-1)</f>
        <v>110.45383999999997</v>
      </c>
      <c r="X37" s="25">
        <f t="shared" si="8"/>
        <v>1532.3163399999999</v>
      </c>
      <c r="Y37" s="25">
        <f t="shared" si="3"/>
        <v>96.4</v>
      </c>
      <c r="Z37" s="93"/>
      <c r="AA37" s="73"/>
      <c r="AB37" s="70"/>
    </row>
    <row r="38" spans="1:31" s="35" customFormat="1" ht="45" customHeight="1">
      <c r="A38" s="21" t="s">
        <v>112</v>
      </c>
      <c r="B38" s="33" t="s">
        <v>113</v>
      </c>
      <c r="C38" s="34">
        <v>5</v>
      </c>
      <c r="D38" s="34">
        <v>0</v>
      </c>
      <c r="E38" s="24">
        <v>305.5</v>
      </c>
      <c r="F38" s="24">
        <v>348.3</v>
      </c>
      <c r="G38" s="24">
        <f t="shared" si="4"/>
        <v>1527.5</v>
      </c>
      <c r="H38" s="24">
        <f t="shared" si="4"/>
        <v>0</v>
      </c>
      <c r="I38" s="25">
        <f t="shared" si="0"/>
        <v>1527.5</v>
      </c>
      <c r="J38" s="25">
        <f t="shared" si="5"/>
        <v>96.4</v>
      </c>
      <c r="K38" s="25">
        <f>(C38+D38)*I$6</f>
        <v>54.75</v>
      </c>
      <c r="L38" s="25"/>
      <c r="M38" s="25"/>
      <c r="N38" s="25"/>
      <c r="O38" s="25">
        <f t="shared" si="6"/>
        <v>1678.65</v>
      </c>
      <c r="P38" s="27">
        <f>IF('[13]Calculo ISR '!$CC$34&lt;0,0,'[13]Calculo ISR '!$CC$34)</f>
        <v>0</v>
      </c>
      <c r="Q38" s="28">
        <f>I38*10.5%</f>
        <v>160.38749999999999</v>
      </c>
      <c r="R38" s="28"/>
      <c r="S38" s="28"/>
      <c r="T38" s="28"/>
      <c r="U38" s="28"/>
      <c r="V38" s="25">
        <f t="shared" si="7"/>
        <v>160.38749999999999</v>
      </c>
      <c r="W38" s="28">
        <f>IF('[13]Calculo ISR '!$CC$34&gt;0,0,('[13]Calculo ISR '!$CC$34)*-1)</f>
        <v>110.45383999999997</v>
      </c>
      <c r="X38" s="25">
        <f t="shared" si="8"/>
        <v>1532.3163399999999</v>
      </c>
      <c r="Y38" s="25">
        <f t="shared" si="3"/>
        <v>96.4</v>
      </c>
      <c r="Z38" s="93"/>
      <c r="AA38" s="73"/>
      <c r="AB38" s="70"/>
    </row>
    <row r="39" spans="1:31" s="2" customFormat="1" ht="30" customHeight="1" thickBot="1">
      <c r="A39" s="86"/>
      <c r="B39" s="38" t="s">
        <v>74</v>
      </c>
      <c r="C39" s="39">
        <f t="shared" ref="C39:M39" si="10">SUM(C10:C38)</f>
        <v>339</v>
      </c>
      <c r="D39" s="39">
        <f t="shared" si="10"/>
        <v>37.5</v>
      </c>
      <c r="E39" s="40">
        <f t="shared" si="10"/>
        <v>8859.5</v>
      </c>
      <c r="F39" s="40">
        <f t="shared" si="10"/>
        <v>10100.699999999999</v>
      </c>
      <c r="G39" s="40">
        <f t="shared" si="10"/>
        <v>103564.5</v>
      </c>
      <c r="H39" s="40">
        <f t="shared" si="10"/>
        <v>13061.25</v>
      </c>
      <c r="I39" s="40">
        <f t="shared" si="10"/>
        <v>116625.75</v>
      </c>
      <c r="J39" s="40">
        <f t="shared" si="10"/>
        <v>7131.6699999999992</v>
      </c>
      <c r="K39" s="40">
        <f t="shared" si="10"/>
        <v>4050.4100000000003</v>
      </c>
      <c r="L39" s="40">
        <f t="shared" si="10"/>
        <v>1650.2000000000003</v>
      </c>
      <c r="M39" s="40">
        <f t="shared" si="10"/>
        <v>509.89499999999998</v>
      </c>
      <c r="N39" s="40">
        <f t="shared" ref="N39" si="11">SUM(N10:N35)</f>
        <v>0</v>
      </c>
      <c r="O39" s="40">
        <f t="shared" ref="O39:X39" si="12">SUM(O10:O38)</f>
        <v>129967.92499999999</v>
      </c>
      <c r="P39" s="40">
        <f t="shared" si="12"/>
        <v>11750.893352000001</v>
      </c>
      <c r="Q39" s="40">
        <f t="shared" si="12"/>
        <v>12245.703750000001</v>
      </c>
      <c r="R39" s="40">
        <f t="shared" si="12"/>
        <v>9546</v>
      </c>
      <c r="S39" s="40">
        <f t="shared" si="12"/>
        <v>787.4375</v>
      </c>
      <c r="T39" s="40">
        <f t="shared" si="12"/>
        <v>0</v>
      </c>
      <c r="U39" s="74">
        <f t="shared" si="12"/>
        <v>2199.6000000000004</v>
      </c>
      <c r="V39" s="40">
        <f t="shared" si="12"/>
        <v>36529.634601999991</v>
      </c>
      <c r="W39" s="40">
        <f t="shared" si="12"/>
        <v>724.13252799999987</v>
      </c>
      <c r="X39" s="40">
        <f t="shared" si="12"/>
        <v>87030.752926000016</v>
      </c>
      <c r="Y39" s="40">
        <f>SUM(Y9:Y38)</f>
        <v>7131.6699999999992</v>
      </c>
      <c r="Z39" s="41"/>
      <c r="AA39" s="3"/>
      <c r="AB39" s="75"/>
      <c r="AC39" s="42"/>
    </row>
    <row r="40" spans="1:31" s="2" customFormat="1" ht="8.25" customHeight="1">
      <c r="A40" s="87"/>
      <c r="B40" s="44"/>
      <c r="C40" s="45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62">
        <f>R39+'[13]HT-ADMINISTRATIVOS FIRMA '!O45</f>
        <v>35752.81</v>
      </c>
      <c r="S40" s="46"/>
      <c r="T40" s="46"/>
      <c r="U40" s="46"/>
      <c r="V40" s="46"/>
      <c r="W40" s="46"/>
      <c r="X40" s="46"/>
      <c r="Y40" s="46"/>
      <c r="Z40" s="41"/>
      <c r="AA40" s="3"/>
      <c r="AB40" s="88"/>
    </row>
    <row r="41" spans="1:31" s="2" customFormat="1" ht="8.25" customHeight="1">
      <c r="A41" s="87"/>
      <c r="B41" s="44"/>
      <c r="C41" s="45"/>
      <c r="D41" s="45"/>
      <c r="E41" s="46"/>
      <c r="F41" s="46"/>
      <c r="G41" s="46"/>
      <c r="H41" s="46"/>
      <c r="I41" s="89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1"/>
      <c r="AA41" s="3"/>
      <c r="AB41" s="42"/>
    </row>
    <row r="42" spans="1:31" s="2" customFormat="1" ht="15" customHeight="1">
      <c r="A42" s="69"/>
      <c r="B42" s="133" t="s">
        <v>75</v>
      </c>
      <c r="C42" s="1"/>
      <c r="D42" s="1"/>
      <c r="E42" s="1"/>
      <c r="F42" s="1"/>
      <c r="G42" s="1"/>
      <c r="H42" s="66" t="s">
        <v>76</v>
      </c>
      <c r="I42" s="64"/>
      <c r="L42" s="66"/>
      <c r="M42" s="66"/>
      <c r="N42" s="66"/>
      <c r="O42" s="66"/>
      <c r="P42" s="49"/>
      <c r="Q42" s="50"/>
      <c r="R42" s="1"/>
      <c r="S42" s="1"/>
      <c r="T42" s="1"/>
      <c r="U42" s="1"/>
      <c r="V42" s="1" t="s">
        <v>136</v>
      </c>
      <c r="W42" s="1"/>
      <c r="X42" s="1"/>
      <c r="Y42" s="1"/>
      <c r="Z42" s="1"/>
      <c r="AB42" s="42"/>
      <c r="AE42" s="1"/>
    </row>
    <row r="43" spans="1:31" s="2" customFormat="1" hidden="1">
      <c r="A43" s="69"/>
      <c r="B43" s="1"/>
      <c r="C43" s="1"/>
      <c r="D43" s="1"/>
      <c r="E43" s="1"/>
      <c r="F43" s="1"/>
      <c r="G43" s="1"/>
      <c r="H43" s="1"/>
      <c r="K43" s="1"/>
      <c r="L43" s="1"/>
      <c r="M43" s="1"/>
      <c r="N43" s="1"/>
      <c r="O43" s="51"/>
      <c r="P43" s="51"/>
      <c r="Q43" s="51"/>
      <c r="R43" s="1"/>
      <c r="S43" s="1"/>
      <c r="T43" s="1"/>
      <c r="U43" s="1"/>
      <c r="V43" s="1"/>
      <c r="W43" s="1"/>
      <c r="X43" s="1"/>
      <c r="Y43" s="1"/>
      <c r="Z43" s="1"/>
      <c r="AB43" s="42"/>
      <c r="AE43" s="1"/>
    </row>
    <row r="44" spans="1:31" s="2" customFormat="1" hidden="1">
      <c r="A44" s="69"/>
      <c r="B44" s="1"/>
      <c r="C44" s="1"/>
      <c r="D44" s="1"/>
      <c r="E44" s="1"/>
      <c r="F44" s="1"/>
      <c r="G44" s="1"/>
      <c r="H44" s="1"/>
      <c r="K44" s="1"/>
      <c r="L44" s="1"/>
      <c r="M44" s="1"/>
      <c r="N44" s="1"/>
      <c r="O44" s="51"/>
      <c r="P44" s="51"/>
      <c r="Q44" s="51"/>
      <c r="R44" s="1"/>
      <c r="S44" s="1"/>
      <c r="T44" s="1"/>
      <c r="U44" s="1"/>
      <c r="V44" s="1"/>
      <c r="W44" s="1"/>
      <c r="X44" s="1"/>
      <c r="Y44" s="1"/>
      <c r="Z44" s="1"/>
      <c r="AB44" s="42"/>
      <c r="AE44" s="1"/>
    </row>
    <row r="45" spans="1:31" s="2" customFormat="1" hidden="1">
      <c r="A45" s="69"/>
      <c r="B45" s="1"/>
      <c r="C45" s="1"/>
      <c r="D45" s="1"/>
      <c r="E45" s="1"/>
      <c r="F45" s="1"/>
      <c r="G45" s="1"/>
      <c r="H45" s="1"/>
      <c r="K45" s="1"/>
      <c r="L45" s="1"/>
      <c r="M45" s="1"/>
      <c r="N45" s="1"/>
      <c r="O45" s="52"/>
      <c r="P45" s="52"/>
      <c r="Q45" s="52"/>
      <c r="R45" s="1"/>
      <c r="S45" s="3"/>
      <c r="T45" s="1"/>
      <c r="U45" s="1"/>
      <c r="V45" s="1"/>
      <c r="W45" s="1"/>
      <c r="X45" s="1"/>
      <c r="Y45" s="1"/>
      <c r="Z45" s="1"/>
      <c r="AE45" s="1"/>
    </row>
    <row r="46" spans="1:31" s="2" customFormat="1">
      <c r="A46" s="69"/>
      <c r="B46" s="133" t="s">
        <v>78</v>
      </c>
      <c r="C46" s="1"/>
      <c r="D46" s="1"/>
      <c r="E46" s="1"/>
      <c r="F46" s="1"/>
      <c r="G46" s="53" t="s">
        <v>79</v>
      </c>
      <c r="H46" s="1"/>
      <c r="I46" s="42"/>
      <c r="L46" s="53"/>
      <c r="M46" s="53"/>
      <c r="N46" s="53"/>
      <c r="O46" s="53" t="s">
        <v>134</v>
      </c>
      <c r="P46" s="52"/>
      <c r="Q46" s="49"/>
      <c r="R46" s="1"/>
      <c r="S46" s="1"/>
      <c r="T46" s="1"/>
      <c r="V46" s="53"/>
      <c r="X46" s="53"/>
      <c r="Y46" s="53"/>
      <c r="Z46" s="1"/>
      <c r="AE46" s="1"/>
    </row>
    <row r="47" spans="1:31" ht="12.75" customHeight="1">
      <c r="B47" s="54" t="s">
        <v>81</v>
      </c>
      <c r="G47" s="53" t="s">
        <v>82</v>
      </c>
      <c r="L47" s="53"/>
      <c r="M47" s="53"/>
      <c r="N47" s="53"/>
      <c r="O47" s="53" t="s">
        <v>83</v>
      </c>
      <c r="P47" s="53"/>
      <c r="Q47" s="52"/>
      <c r="V47" s="53"/>
      <c r="X47" s="53"/>
      <c r="Y47" s="53"/>
      <c r="AA47" s="3"/>
    </row>
    <row r="48" spans="1:31">
      <c r="AA48" s="3"/>
    </row>
    <row r="49" spans="1:27">
      <c r="R49" s="3"/>
      <c r="AA49" s="3"/>
    </row>
    <row r="50" spans="1:27">
      <c r="AA50" s="3"/>
    </row>
    <row r="51" spans="1:27">
      <c r="AA51" s="3"/>
    </row>
    <row r="52" spans="1:27">
      <c r="O52" s="6"/>
      <c r="AA52" s="3"/>
    </row>
    <row r="53" spans="1:27">
      <c r="AA53" s="3"/>
    </row>
    <row r="54" spans="1:27">
      <c r="AA54" s="3"/>
    </row>
    <row r="55" spans="1:27" s="56" customFormat="1">
      <c r="A55" s="6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7" s="56" customFormat="1">
      <c r="A56" s="6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7" s="57" customFormat="1">
      <c r="A57" s="6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7" s="57" customFormat="1">
      <c r="A58" s="6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7" s="57" customFormat="1">
      <c r="A59" s="6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7" s="57" customFormat="1">
      <c r="A60" s="6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7" s="57" customFormat="1">
      <c r="A61" s="6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7" s="57" customFormat="1">
      <c r="A62" s="6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7" s="57" customFormat="1">
      <c r="A63" s="6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7" s="57" customFormat="1">
      <c r="A64" s="6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57" customFormat="1">
      <c r="A65" s="6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57" customFormat="1">
      <c r="A66" s="6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8" spans="1:26">
      <c r="S68" s="3"/>
    </row>
  </sheetData>
  <mergeCells count="29">
    <mergeCell ref="Z27:AA27"/>
    <mergeCell ref="Z28:AA28"/>
    <mergeCell ref="Z29:AA29"/>
    <mergeCell ref="Z30:AA30"/>
    <mergeCell ref="Z31:AA31"/>
    <mergeCell ref="Z26:AA26"/>
    <mergeCell ref="Z15:AA15"/>
    <mergeCell ref="Z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Z14:AA14"/>
    <mergeCell ref="A8:A9"/>
    <mergeCell ref="B8:B9"/>
    <mergeCell ref="C8:I8"/>
    <mergeCell ref="J8:O8"/>
    <mergeCell ref="P8:V8"/>
    <mergeCell ref="W8:Y8"/>
    <mergeCell ref="Z9:AA9"/>
    <mergeCell ref="Z10:AA10"/>
    <mergeCell ref="Z11:AA11"/>
    <mergeCell ref="Z12:AA12"/>
    <mergeCell ref="Z13:AA13"/>
  </mergeCells>
  <pageMargins left="0.8" right="0.2" top="0.47244094488188981" bottom="0.51181102362204722" header="0.31496062992125984" footer="0.31496062992125984"/>
  <pageSetup paperSize="5" scale="5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E67"/>
  <sheetViews>
    <sheetView topLeftCell="A3" zoomScale="80" zoomScaleNormal="80" zoomScaleSheetLayoutView="100" workbookViewId="0">
      <pane xSplit="2" ySplit="7" topLeftCell="C37" activePane="bottomRight" state="frozen"/>
      <selection activeCell="A3" sqref="A3"/>
      <selection pane="topRight" activeCell="C3" sqref="C3"/>
      <selection pane="bottomLeft" activeCell="A10" sqref="A10"/>
      <selection pane="bottomRight" activeCell="L55" sqref="L55"/>
    </sheetView>
  </sheetViews>
  <sheetFormatPr baseColWidth="10" defaultRowHeight="12.75"/>
  <cols>
    <col min="1" max="1" width="12.7109375" style="69" customWidth="1"/>
    <col min="2" max="2" width="31.5703125" style="1" customWidth="1"/>
    <col min="3" max="4" width="7.140625" style="1" customWidth="1"/>
    <col min="5" max="5" width="10.42578125" style="1" customWidth="1"/>
    <col min="6" max="6" width="11" style="1" customWidth="1"/>
    <col min="7" max="7" width="13.28515625" style="1" customWidth="1"/>
    <col min="8" max="8" width="10.85546875" style="1" customWidth="1"/>
    <col min="9" max="9" width="13" style="1" customWidth="1"/>
    <col min="10" max="10" width="10.5703125" style="1" customWidth="1"/>
    <col min="11" max="11" width="9.85546875" style="1" customWidth="1"/>
    <col min="12" max="12" width="10.140625" style="1" customWidth="1"/>
    <col min="13" max="13" width="8.42578125" style="1" customWidth="1"/>
    <col min="14" max="14" width="5.42578125" style="1" customWidth="1"/>
    <col min="15" max="15" width="12.42578125" style="1" customWidth="1"/>
    <col min="16" max="16" width="11" style="1" hidden="1" customWidth="1"/>
    <col min="17" max="17" width="10.85546875" style="1" hidden="1" customWidth="1"/>
    <col min="18" max="18" width="11.140625" style="1" hidden="1" customWidth="1"/>
    <col min="19" max="19" width="8.5703125" style="1" hidden="1" customWidth="1"/>
    <col min="20" max="20" width="5" style="1" hidden="1" customWidth="1"/>
    <col min="21" max="21" width="9.85546875" style="1" hidden="1" customWidth="1"/>
    <col min="22" max="22" width="11.140625" style="1" customWidth="1"/>
    <col min="23" max="23" width="8.28515625" style="1" customWidth="1"/>
    <col min="24" max="24" width="12.42578125" style="1" customWidth="1"/>
    <col min="25" max="25" width="10.5703125" style="1" hidden="1" customWidth="1"/>
    <col min="26" max="26" width="31" style="1" hidden="1" customWidth="1"/>
    <col min="27" max="27" width="12.28515625" style="1" hidden="1" customWidth="1"/>
    <col min="28" max="16384" width="11.42578125" style="1"/>
  </cols>
  <sheetData>
    <row r="2" spans="1:29">
      <c r="B2" s="2" t="s">
        <v>0</v>
      </c>
    </row>
    <row r="3" spans="1:29">
      <c r="B3" s="2"/>
      <c r="E3" s="91"/>
      <c r="F3" s="91"/>
      <c r="G3" s="91"/>
      <c r="H3" s="91"/>
      <c r="I3" s="91"/>
      <c r="J3" s="91"/>
      <c r="K3" s="91"/>
      <c r="L3" s="91"/>
      <c r="M3" s="91"/>
    </row>
    <row r="4" spans="1:29">
      <c r="B4" s="2"/>
      <c r="C4" s="2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</row>
    <row r="5" spans="1:29">
      <c r="C5" s="2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0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</row>
    <row r="6" spans="1:29">
      <c r="B6" s="2"/>
      <c r="C6" s="2"/>
      <c r="D6" s="91"/>
      <c r="E6" s="4">
        <v>19.28</v>
      </c>
      <c r="F6" s="4"/>
      <c r="G6" s="4"/>
      <c r="H6" s="4"/>
      <c r="I6" s="4">
        <v>10.95</v>
      </c>
      <c r="J6" s="4"/>
      <c r="K6" s="65"/>
      <c r="L6" s="65"/>
      <c r="M6" s="65"/>
      <c r="N6" s="58">
        <v>0.105</v>
      </c>
      <c r="O6" s="65"/>
      <c r="P6" s="65"/>
      <c r="Q6" s="65"/>
      <c r="R6" s="65"/>
      <c r="S6" s="65"/>
      <c r="T6" s="5">
        <v>0.01</v>
      </c>
      <c r="U6" s="65"/>
      <c r="V6" s="65"/>
      <c r="W6" s="65"/>
      <c r="X6" s="65"/>
      <c r="Y6" s="65"/>
      <c r="Z6" s="65"/>
      <c r="AA6" s="65"/>
      <c r="AB6" s="91"/>
      <c r="AC6" s="91"/>
    </row>
    <row r="7" spans="1:29" ht="13.5" thickBot="1">
      <c r="A7" s="85" t="s">
        <v>0</v>
      </c>
      <c r="C7" s="2"/>
      <c r="D7" s="91"/>
      <c r="E7" s="4">
        <v>22.3</v>
      </c>
      <c r="F7" s="4"/>
      <c r="G7" s="4"/>
      <c r="H7" s="4"/>
      <c r="I7" s="7">
        <v>0.02</v>
      </c>
      <c r="J7" s="8">
        <v>0.04</v>
      </c>
      <c r="K7" s="129">
        <v>0.06</v>
      </c>
      <c r="L7" s="6" t="s">
        <v>151</v>
      </c>
      <c r="M7" s="65"/>
      <c r="N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91"/>
      <c r="AC7" s="91"/>
    </row>
    <row r="8" spans="1:29" ht="15.75" customHeight="1" thickBot="1">
      <c r="A8" s="164" t="s">
        <v>2</v>
      </c>
      <c r="B8" s="166" t="s">
        <v>3</v>
      </c>
      <c r="C8" s="168" t="s">
        <v>4</v>
      </c>
      <c r="D8" s="169"/>
      <c r="E8" s="169"/>
      <c r="F8" s="169"/>
      <c r="G8" s="169"/>
      <c r="H8" s="169"/>
      <c r="I8" s="170"/>
      <c r="J8" s="171" t="s">
        <v>5</v>
      </c>
      <c r="K8" s="172"/>
      <c r="L8" s="172"/>
      <c r="M8" s="173"/>
      <c r="N8" s="173"/>
      <c r="O8" s="174"/>
      <c r="P8" s="175" t="s">
        <v>6</v>
      </c>
      <c r="Q8" s="176"/>
      <c r="R8" s="176"/>
      <c r="S8" s="176"/>
      <c r="T8" s="176"/>
      <c r="U8" s="176"/>
      <c r="V8" s="176"/>
      <c r="W8" s="177" t="s">
        <v>7</v>
      </c>
      <c r="X8" s="177"/>
      <c r="Y8" s="177"/>
    </row>
    <row r="9" spans="1:29" s="20" customFormat="1" ht="72">
      <c r="A9" s="165"/>
      <c r="B9" s="167"/>
      <c r="C9" s="9" t="s">
        <v>87</v>
      </c>
      <c r="D9" s="9" t="s">
        <v>88</v>
      </c>
      <c r="E9" s="9" t="s">
        <v>89</v>
      </c>
      <c r="F9" s="9" t="s">
        <v>90</v>
      </c>
      <c r="G9" s="9" t="s">
        <v>91</v>
      </c>
      <c r="H9" s="9" t="s">
        <v>92</v>
      </c>
      <c r="I9" s="67" t="s">
        <v>10</v>
      </c>
      <c r="J9" s="11" t="s">
        <v>11</v>
      </c>
      <c r="K9" s="11" t="s">
        <v>12</v>
      </c>
      <c r="L9" s="12" t="s">
        <v>13</v>
      </c>
      <c r="M9" s="13" t="s">
        <v>14</v>
      </c>
      <c r="N9" s="134" t="s">
        <v>15</v>
      </c>
      <c r="O9" s="14" t="s">
        <v>16</v>
      </c>
      <c r="P9" s="15" t="s">
        <v>17</v>
      </c>
      <c r="Q9" s="16" t="s">
        <v>18</v>
      </c>
      <c r="R9" s="16" t="s">
        <v>19</v>
      </c>
      <c r="S9" s="16" t="s">
        <v>20</v>
      </c>
      <c r="T9" s="16" t="s">
        <v>21</v>
      </c>
      <c r="U9" s="16" t="s">
        <v>22</v>
      </c>
      <c r="V9" s="16" t="s">
        <v>23</v>
      </c>
      <c r="W9" s="17" t="s">
        <v>24</v>
      </c>
      <c r="X9" s="18" t="s">
        <v>25</v>
      </c>
      <c r="Y9" s="19" t="s">
        <v>26</v>
      </c>
      <c r="Z9" s="178" t="s">
        <v>27</v>
      </c>
      <c r="AA9" s="178"/>
    </row>
    <row r="10" spans="1:29" s="35" customFormat="1" ht="45" customHeight="1">
      <c r="A10" s="21" t="s">
        <v>30</v>
      </c>
      <c r="B10" s="33" t="s">
        <v>31</v>
      </c>
      <c r="C10" s="32">
        <v>12</v>
      </c>
      <c r="D10" s="32">
        <v>7.5</v>
      </c>
      <c r="E10" s="24">
        <v>305.5</v>
      </c>
      <c r="F10" s="24">
        <v>348.3</v>
      </c>
      <c r="G10" s="24">
        <f t="shared" ref="G10:H37" si="0">C10*E10</f>
        <v>3666</v>
      </c>
      <c r="H10" s="24">
        <f t="shared" si="0"/>
        <v>2612.25</v>
      </c>
      <c r="I10" s="25">
        <f t="shared" ref="I10:I37" si="1">G10+H10</f>
        <v>6278.25</v>
      </c>
      <c r="J10" s="25">
        <f t="shared" ref="J10:J37" si="2">(C10+D10)*19.28</f>
        <v>375.96000000000004</v>
      </c>
      <c r="K10" s="25">
        <f>(C10+D10)*I6</f>
        <v>213.52499999999998</v>
      </c>
      <c r="L10" s="25"/>
      <c r="M10" s="25">
        <f>I10*K7</f>
        <v>376.69499999999999</v>
      </c>
      <c r="N10" s="25">
        <f>'[14]HT-DOCENTE'!J10</f>
        <v>0</v>
      </c>
      <c r="O10" s="25">
        <f t="shared" ref="O10:O37" si="3">SUM(I10:N10)</f>
        <v>7244.4299999999994</v>
      </c>
      <c r="P10" s="27">
        <f>IF('[14]Calculo ISR '!$BB$34&lt;0,0,'[14]Calculo ISR '!$BB$34)</f>
        <v>919.9160159999999</v>
      </c>
      <c r="Q10" s="28">
        <f>I10*N6</f>
        <v>659.21624999999995</v>
      </c>
      <c r="R10" s="28">
        <v>1986</v>
      </c>
      <c r="S10" s="28">
        <f>I10*T6</f>
        <v>62.782499999999999</v>
      </c>
      <c r="T10" s="28">
        <f>'[14]HT-DOCENTE'!R10</f>
        <v>0</v>
      </c>
      <c r="U10" s="28"/>
      <c r="V10" s="25">
        <f t="shared" ref="V10:V23" si="4">P10+Q10+R10+S10+U10+T10</f>
        <v>3627.9147659999994</v>
      </c>
      <c r="W10" s="28">
        <f>IF('[14]Calculo ISR '!$BB$34&gt;0,0,('[14]Calculo ISR '!$BB$34)*-1)</f>
        <v>0</v>
      </c>
      <c r="X10" s="25">
        <f t="shared" ref="X10:X24" si="5">O10-V10-Y10+W10</f>
        <v>3240.5552339999999</v>
      </c>
      <c r="Y10" s="25">
        <f t="shared" ref="Y10:Y37" si="6">J10</f>
        <v>375.96000000000004</v>
      </c>
      <c r="Z10" s="161"/>
      <c r="AA10" s="162"/>
    </row>
    <row r="11" spans="1:29" s="35" customFormat="1" ht="45" customHeight="1">
      <c r="A11" s="21" t="s">
        <v>32</v>
      </c>
      <c r="B11" s="33" t="s">
        <v>99</v>
      </c>
      <c r="C11" s="32">
        <v>10</v>
      </c>
      <c r="D11" s="32">
        <v>0</v>
      </c>
      <c r="E11" s="24">
        <v>305.5</v>
      </c>
      <c r="F11" s="24">
        <v>348.3</v>
      </c>
      <c r="G11" s="24">
        <f t="shared" si="0"/>
        <v>3055</v>
      </c>
      <c r="H11" s="24">
        <f t="shared" si="0"/>
        <v>0</v>
      </c>
      <c r="I11" s="25">
        <f t="shared" si="1"/>
        <v>3055</v>
      </c>
      <c r="J11" s="25">
        <f t="shared" si="2"/>
        <v>192.8</v>
      </c>
      <c r="K11" s="25">
        <f>(C11+D11)*I6</f>
        <v>109.5</v>
      </c>
      <c r="L11" s="25"/>
      <c r="M11" s="25">
        <f>I11*J7</f>
        <v>122.2</v>
      </c>
      <c r="N11" s="25">
        <v>0</v>
      </c>
      <c r="O11" s="25">
        <f t="shared" si="3"/>
        <v>3479.5</v>
      </c>
      <c r="P11" s="27">
        <f>IF('[14]Calculo ISR '!$BC$34&lt;0,0,'[14]Calculo ISR '!$BC$34)</f>
        <v>128.40987199999998</v>
      </c>
      <c r="Q11" s="28">
        <f>I11*N6</f>
        <v>320.77499999999998</v>
      </c>
      <c r="R11" s="28">
        <v>873</v>
      </c>
      <c r="S11" s="28">
        <f>I11*T6</f>
        <v>30.55</v>
      </c>
      <c r="T11" s="28">
        <f>'[14]HT-DOCENTE'!R11</f>
        <v>0</v>
      </c>
      <c r="U11" s="28"/>
      <c r="V11" s="25">
        <f t="shared" si="4"/>
        <v>1352.7348719999998</v>
      </c>
      <c r="W11" s="28">
        <f>IF('[14]Calculo ISR '!$BC$34&gt;0,0,('[14]Calculo ISR '!$BC$34)*-1)</f>
        <v>0</v>
      </c>
      <c r="X11" s="25">
        <f t="shared" si="5"/>
        <v>1933.965128</v>
      </c>
      <c r="Y11" s="25">
        <f t="shared" si="6"/>
        <v>192.8</v>
      </c>
      <c r="Z11" s="161"/>
      <c r="AA11" s="162"/>
    </row>
    <row r="12" spans="1:29" s="35" customFormat="1" ht="45" customHeight="1">
      <c r="A12" s="21" t="s">
        <v>34</v>
      </c>
      <c r="B12" s="33" t="s">
        <v>35</v>
      </c>
      <c r="C12" s="32">
        <v>12</v>
      </c>
      <c r="D12" s="32">
        <v>7.5</v>
      </c>
      <c r="E12" s="24">
        <v>305.5</v>
      </c>
      <c r="F12" s="24">
        <v>348.3</v>
      </c>
      <c r="G12" s="24">
        <f t="shared" si="0"/>
        <v>3666</v>
      </c>
      <c r="H12" s="24">
        <f>D12*F12</f>
        <v>2612.25</v>
      </c>
      <c r="I12" s="25">
        <f t="shared" si="1"/>
        <v>6278.25</v>
      </c>
      <c r="J12" s="25">
        <f t="shared" si="2"/>
        <v>375.96000000000004</v>
      </c>
      <c r="K12" s="25">
        <f>(C12+D12)*I6</f>
        <v>213.52499999999998</v>
      </c>
      <c r="L12" s="25"/>
      <c r="M12" s="25">
        <f>I12*I7</f>
        <v>125.565</v>
      </c>
      <c r="N12" s="25">
        <f>'[14]HT-DOCENTE'!J12</f>
        <v>0</v>
      </c>
      <c r="O12" s="25">
        <f t="shared" si="3"/>
        <v>6993.2999999999993</v>
      </c>
      <c r="P12" s="27">
        <f>IF('[14]Calculo ISR '!$BD$34&lt;0,0,'[14]Calculo ISR '!$BD$34)</f>
        <v>866.27464799999996</v>
      </c>
      <c r="Q12" s="28">
        <f>I12*N6</f>
        <v>659.21624999999995</v>
      </c>
      <c r="R12" s="28">
        <f>'[14]HT-DOCENTE'!P12</f>
        <v>0</v>
      </c>
      <c r="S12" s="28">
        <f>I12*T6</f>
        <v>62.782499999999999</v>
      </c>
      <c r="T12" s="28">
        <f>'[14]HT-DOCENTE'!R12</f>
        <v>0</v>
      </c>
      <c r="U12" s="28"/>
      <c r="V12" s="25">
        <f t="shared" si="4"/>
        <v>1588.273398</v>
      </c>
      <c r="W12" s="28">
        <f>IF('[14]Calculo ISR '!$BD$34&gt;0,0,('[14]Calculo ISR '!$BD$34)*-1)</f>
        <v>0</v>
      </c>
      <c r="X12" s="25">
        <f t="shared" si="5"/>
        <v>5029.066601999999</v>
      </c>
      <c r="Y12" s="25">
        <f t="shared" si="6"/>
        <v>375.96000000000004</v>
      </c>
      <c r="Z12" s="161"/>
      <c r="AA12" s="162"/>
    </row>
    <row r="13" spans="1:29" s="35" customFormat="1" ht="45" customHeight="1">
      <c r="A13" s="21" t="s">
        <v>36</v>
      </c>
      <c r="B13" s="33" t="s">
        <v>37</v>
      </c>
      <c r="C13" s="32">
        <v>5.5</v>
      </c>
      <c r="D13" s="32">
        <v>7.5</v>
      </c>
      <c r="E13" s="24">
        <v>305.5</v>
      </c>
      <c r="F13" s="24">
        <v>348.3</v>
      </c>
      <c r="G13" s="24">
        <f t="shared" si="0"/>
        <v>1680.25</v>
      </c>
      <c r="H13" s="24">
        <f t="shared" si="0"/>
        <v>2612.25</v>
      </c>
      <c r="I13" s="25">
        <f t="shared" si="1"/>
        <v>4292.5</v>
      </c>
      <c r="J13" s="25">
        <f t="shared" si="2"/>
        <v>250.64000000000001</v>
      </c>
      <c r="K13" s="25">
        <f>(C13+D13)*I6</f>
        <v>142.35</v>
      </c>
      <c r="L13" s="25">
        <f>(C13+D13)*E7</f>
        <v>289.90000000000003</v>
      </c>
      <c r="M13" s="25"/>
      <c r="N13" s="25">
        <f>'[14]HT-DOCENTE'!J13</f>
        <v>0</v>
      </c>
      <c r="O13" s="25">
        <f t="shared" si="3"/>
        <v>4975.3900000000003</v>
      </c>
      <c r="P13" s="27">
        <f>IF('[14]Calculo ISR '!$BE$34&lt;0,0,'[14]Calculo ISR '!$BE$34)</f>
        <v>474.18068800000009</v>
      </c>
      <c r="Q13" s="28">
        <f>I13*N6</f>
        <v>450.71249999999998</v>
      </c>
      <c r="R13" s="28">
        <v>1431</v>
      </c>
      <c r="S13" s="28">
        <f>I13*T6</f>
        <v>42.925000000000004</v>
      </c>
      <c r="T13" s="28">
        <f>'[14]HT-DOCENTE'!R13</f>
        <v>0</v>
      </c>
      <c r="U13" s="28"/>
      <c r="V13" s="25">
        <f t="shared" si="4"/>
        <v>2398.8181880000002</v>
      </c>
      <c r="W13" s="28">
        <f>IF('[14]Calculo ISR '!$BE$34&gt;0,0,('[14]Calculo ISR '!$BE$34)*-1)</f>
        <v>0</v>
      </c>
      <c r="X13" s="25">
        <f t="shared" si="5"/>
        <v>2325.9318120000003</v>
      </c>
      <c r="Y13" s="25">
        <f t="shared" si="6"/>
        <v>250.64000000000001</v>
      </c>
      <c r="Z13" s="161"/>
      <c r="AA13" s="162"/>
    </row>
    <row r="14" spans="1:29" s="35" customFormat="1" ht="45" customHeight="1">
      <c r="A14" s="21" t="s">
        <v>38</v>
      </c>
      <c r="B14" s="33" t="s">
        <v>39</v>
      </c>
      <c r="C14" s="32">
        <v>11</v>
      </c>
      <c r="D14" s="32">
        <v>7.5</v>
      </c>
      <c r="E14" s="24">
        <v>305.5</v>
      </c>
      <c r="F14" s="24">
        <v>348.3</v>
      </c>
      <c r="G14" s="24">
        <f t="shared" si="0"/>
        <v>3360.5</v>
      </c>
      <c r="H14" s="24">
        <f t="shared" si="0"/>
        <v>2612.25</v>
      </c>
      <c r="I14" s="25">
        <f t="shared" si="1"/>
        <v>5972.75</v>
      </c>
      <c r="J14" s="25">
        <f t="shared" si="2"/>
        <v>356.68</v>
      </c>
      <c r="K14" s="25">
        <f>(C14+D14)*I6</f>
        <v>202.57499999999999</v>
      </c>
      <c r="L14" s="25">
        <f>(C14+D14)*E7</f>
        <v>412.55</v>
      </c>
      <c r="M14" s="25"/>
      <c r="N14" s="25">
        <f>'[14]HT-DOCENTE'!J14</f>
        <v>0</v>
      </c>
      <c r="O14" s="25">
        <f t="shared" si="3"/>
        <v>6944.5550000000003</v>
      </c>
      <c r="P14" s="27">
        <f>IF('[14]Calculo ISR '!$BF$34&lt;0,0,'[14]Calculo ISR '!$BF$34)</f>
        <v>859.98092400000007</v>
      </c>
      <c r="Q14" s="28">
        <f>I14*N6</f>
        <v>627.13874999999996</v>
      </c>
      <c r="R14" s="28">
        <v>1655</v>
      </c>
      <c r="S14" s="28">
        <f>I14*T6</f>
        <v>59.727499999999999</v>
      </c>
      <c r="T14" s="28">
        <f>'[14]HT-DOCENTE'!R14</f>
        <v>0</v>
      </c>
      <c r="U14" s="28"/>
      <c r="V14" s="25">
        <f t="shared" si="4"/>
        <v>3201.847174</v>
      </c>
      <c r="W14" s="28">
        <f>IF('[14]Calculo ISR '!$BF$34&gt;0,0,('[14]Calculo ISR '!$BF$34)*-1)</f>
        <v>0</v>
      </c>
      <c r="X14" s="25">
        <f t="shared" si="5"/>
        <v>3386.0278260000005</v>
      </c>
      <c r="Y14" s="25">
        <f t="shared" si="6"/>
        <v>356.68</v>
      </c>
      <c r="Z14" s="161"/>
      <c r="AA14" s="162"/>
    </row>
    <row r="15" spans="1:29" s="35" customFormat="1" ht="45" customHeight="1">
      <c r="A15" s="21" t="s">
        <v>40</v>
      </c>
      <c r="B15" s="33" t="s">
        <v>41</v>
      </c>
      <c r="C15" s="32">
        <f>'[14]HT-DOCENTE'!C15</f>
        <v>19.5</v>
      </c>
      <c r="D15" s="32">
        <v>0</v>
      </c>
      <c r="E15" s="24">
        <v>305.5</v>
      </c>
      <c r="F15" s="24">
        <v>348.3</v>
      </c>
      <c r="G15" s="24">
        <f t="shared" si="0"/>
        <v>5957.25</v>
      </c>
      <c r="H15" s="24">
        <f t="shared" si="0"/>
        <v>0</v>
      </c>
      <c r="I15" s="25">
        <f t="shared" si="1"/>
        <v>5957.25</v>
      </c>
      <c r="J15" s="25">
        <f t="shared" si="2"/>
        <v>375.96000000000004</v>
      </c>
      <c r="K15" s="25">
        <f>(C15+D15)*I6</f>
        <v>213.52499999999998</v>
      </c>
      <c r="L15" s="25">
        <f>(C15+D15)*E7</f>
        <v>434.85</v>
      </c>
      <c r="M15" s="25"/>
      <c r="N15" s="25">
        <f>'[14]HT-DOCENTE'!J15</f>
        <v>0</v>
      </c>
      <c r="O15" s="25">
        <f t="shared" si="3"/>
        <v>6981.585</v>
      </c>
      <c r="P15" s="27">
        <f>IF('[14]Calculo ISR '!$BG$34&lt;0,0,'[14]Calculo ISR '!$BG$34)</f>
        <v>863.77232400000003</v>
      </c>
      <c r="Q15" s="28">
        <f>I15*N6</f>
        <v>625.51125000000002</v>
      </c>
      <c r="R15" s="28">
        <f>'[14]HT-DOCENTE'!P15</f>
        <v>0</v>
      </c>
      <c r="S15" s="28">
        <f>I15*T6</f>
        <v>59.572499999999998</v>
      </c>
      <c r="T15" s="28">
        <v>0</v>
      </c>
      <c r="U15" s="28"/>
      <c r="V15" s="25">
        <f t="shared" si="4"/>
        <v>1548.856074</v>
      </c>
      <c r="W15" s="28">
        <f>IF('[14]Calculo ISR '!$BG$34&gt;0,0,('[14]Calculo ISR '!$BG$34)*-1)</f>
        <v>0</v>
      </c>
      <c r="X15" s="25">
        <f t="shared" si="5"/>
        <v>5056.7689259999997</v>
      </c>
      <c r="Y15" s="25">
        <f t="shared" si="6"/>
        <v>375.96000000000004</v>
      </c>
      <c r="Z15" s="161"/>
      <c r="AA15" s="162"/>
    </row>
    <row r="16" spans="1:29" s="35" customFormat="1" ht="45" customHeight="1">
      <c r="A16" s="21" t="s">
        <v>42</v>
      </c>
      <c r="B16" s="33" t="s">
        <v>43</v>
      </c>
      <c r="C16" s="32">
        <v>2</v>
      </c>
      <c r="D16" s="32">
        <v>0</v>
      </c>
      <c r="E16" s="24">
        <v>305.5</v>
      </c>
      <c r="F16" s="24">
        <v>348.3</v>
      </c>
      <c r="G16" s="24">
        <f t="shared" si="0"/>
        <v>611</v>
      </c>
      <c r="H16" s="24">
        <f t="shared" si="0"/>
        <v>0</v>
      </c>
      <c r="I16" s="25">
        <f t="shared" si="1"/>
        <v>611</v>
      </c>
      <c r="J16" s="25">
        <f t="shared" si="2"/>
        <v>38.56</v>
      </c>
      <c r="K16" s="25">
        <f>(C16+D16)*I6</f>
        <v>21.9</v>
      </c>
      <c r="L16" s="25">
        <f>(C16+D16)*E7*2</f>
        <v>89.2</v>
      </c>
      <c r="M16" s="25"/>
      <c r="N16" s="25">
        <f>'[14]HT-DOCENTE'!J16</f>
        <v>0</v>
      </c>
      <c r="O16" s="25">
        <f t="shared" si="3"/>
        <v>760.66</v>
      </c>
      <c r="P16" s="27">
        <f>IF('[14]Calculo ISR '!$BH$34&lt;0,0,'[14]Calculo ISR '!$BH$34)</f>
        <v>0</v>
      </c>
      <c r="Q16" s="28">
        <f>I16*N6</f>
        <v>64.155000000000001</v>
      </c>
      <c r="R16" s="28">
        <v>0</v>
      </c>
      <c r="S16" s="28">
        <f>I16*T6</f>
        <v>6.11</v>
      </c>
      <c r="T16" s="28">
        <f>'[14]HT-DOCENTE'!R16</f>
        <v>0</v>
      </c>
      <c r="U16" s="28"/>
      <c r="V16" s="25">
        <f t="shared" si="4"/>
        <v>70.265000000000001</v>
      </c>
      <c r="W16" s="28">
        <f>IF('[14]Calculo ISR '!$BH$34&gt;0,0,('[14]Calculo ISR '!$BH$34)*-1)</f>
        <v>165.65343999999999</v>
      </c>
      <c r="X16" s="25">
        <f t="shared" si="5"/>
        <v>817.48844000000008</v>
      </c>
      <c r="Y16" s="25">
        <f t="shared" si="6"/>
        <v>38.56</v>
      </c>
      <c r="Z16" s="161"/>
      <c r="AA16" s="162"/>
    </row>
    <row r="17" spans="1:28" s="35" customFormat="1" ht="45" customHeight="1">
      <c r="A17" s="21" t="s">
        <v>44</v>
      </c>
      <c r="B17" s="33" t="s">
        <v>45</v>
      </c>
      <c r="C17" s="34">
        <v>11</v>
      </c>
      <c r="D17" s="34">
        <v>7.5</v>
      </c>
      <c r="E17" s="24">
        <v>305.5</v>
      </c>
      <c r="F17" s="24">
        <v>348.3</v>
      </c>
      <c r="G17" s="24">
        <f t="shared" si="0"/>
        <v>3360.5</v>
      </c>
      <c r="H17" s="24">
        <f t="shared" si="0"/>
        <v>2612.25</v>
      </c>
      <c r="I17" s="25">
        <f t="shared" si="1"/>
        <v>5972.75</v>
      </c>
      <c r="J17" s="25">
        <f t="shared" si="2"/>
        <v>356.68</v>
      </c>
      <c r="K17" s="25">
        <f>(C17+D17)*I6</f>
        <v>202.57499999999999</v>
      </c>
      <c r="L17" s="25"/>
      <c r="M17" s="25"/>
      <c r="N17" s="25">
        <f>'[14]HT-DOCENTE'!J17</f>
        <v>0</v>
      </c>
      <c r="O17" s="25">
        <f t="shared" si="3"/>
        <v>6532.0050000000001</v>
      </c>
      <c r="P17" s="27">
        <f>IF('[14]Calculo ISR '!$BI$34&lt;0,0,'[14]Calculo ISR '!$BI$34)</f>
        <v>771.86024400000008</v>
      </c>
      <c r="Q17" s="28">
        <f>I17*N6</f>
        <v>627.13874999999996</v>
      </c>
      <c r="R17" s="28">
        <f>'[14]HT-DOCENTE'!P17</f>
        <v>0</v>
      </c>
      <c r="S17" s="28">
        <f>I17*T6</f>
        <v>59.727499999999999</v>
      </c>
      <c r="T17" s="28">
        <f>'[14]HT-DOCENTE'!R17</f>
        <v>0</v>
      </c>
      <c r="U17" s="28"/>
      <c r="V17" s="25">
        <f t="shared" si="4"/>
        <v>1458.726494</v>
      </c>
      <c r="W17" s="28">
        <f>IF('[14]Calculo ISR '!$BI$34&gt;0,0,('[14]Calculo ISR '!$BI$34)*-1)</f>
        <v>0</v>
      </c>
      <c r="X17" s="25">
        <f t="shared" si="5"/>
        <v>4716.5985060000003</v>
      </c>
      <c r="Y17" s="25">
        <f t="shared" si="6"/>
        <v>356.68</v>
      </c>
      <c r="Z17" s="161"/>
      <c r="AA17" s="162"/>
    </row>
    <row r="18" spans="1:28" s="35" customFormat="1" ht="45" customHeight="1">
      <c r="A18" s="21" t="s">
        <v>48</v>
      </c>
      <c r="B18" s="33" t="s">
        <v>49</v>
      </c>
      <c r="C18" s="34">
        <v>19.5</v>
      </c>
      <c r="D18" s="34">
        <v>0</v>
      </c>
      <c r="E18" s="24">
        <v>305.5</v>
      </c>
      <c r="F18" s="24">
        <v>348.3</v>
      </c>
      <c r="G18" s="24">
        <f t="shared" si="0"/>
        <v>5957.25</v>
      </c>
      <c r="H18" s="24">
        <f t="shared" si="0"/>
        <v>0</v>
      </c>
      <c r="I18" s="25">
        <f t="shared" si="1"/>
        <v>5957.25</v>
      </c>
      <c r="J18" s="25">
        <f t="shared" si="2"/>
        <v>375.96000000000004</v>
      </c>
      <c r="K18" s="25">
        <f>(C18+D18)*I6</f>
        <v>213.52499999999998</v>
      </c>
      <c r="L18" s="25"/>
      <c r="M18" s="25"/>
      <c r="N18" s="25">
        <v>0</v>
      </c>
      <c r="O18" s="25">
        <f t="shared" si="3"/>
        <v>6546.7349999999997</v>
      </c>
      <c r="P18" s="27">
        <f>IF('[14]Calculo ISR '!$BK$34&lt;0,0,'[14]Calculo ISR '!$BK$34)</f>
        <v>770.88836400000002</v>
      </c>
      <c r="Q18" s="28">
        <f>I18*N6</f>
        <v>625.51125000000002</v>
      </c>
      <c r="R18" s="28">
        <f>'[14]HT-DOCENTE'!P19</f>
        <v>0</v>
      </c>
      <c r="S18" s="28">
        <f>I18*T6</f>
        <v>59.572499999999998</v>
      </c>
      <c r="T18" s="28">
        <f>'[14]HT-DOCENTE'!R19</f>
        <v>0</v>
      </c>
      <c r="U18" s="28"/>
      <c r="V18" s="25">
        <f t="shared" si="4"/>
        <v>1455.9721139999999</v>
      </c>
      <c r="W18" s="28">
        <f>IF('[14]Calculo ISR '!$BK$34&gt;0,0,('[14]Calculo ISR '!$BK$34)*-1)</f>
        <v>0</v>
      </c>
      <c r="X18" s="25">
        <f t="shared" si="5"/>
        <v>4714.8028859999995</v>
      </c>
      <c r="Y18" s="25">
        <f t="shared" si="6"/>
        <v>375.96000000000004</v>
      </c>
      <c r="Z18" s="161"/>
      <c r="AA18" s="162"/>
    </row>
    <row r="19" spans="1:28" s="35" customFormat="1" ht="45" customHeight="1">
      <c r="A19" s="21" t="s">
        <v>50</v>
      </c>
      <c r="B19" s="33" t="s">
        <v>51</v>
      </c>
      <c r="C19" s="34">
        <v>18.5</v>
      </c>
      <c r="D19" s="34">
        <v>0</v>
      </c>
      <c r="E19" s="24">
        <v>305.5</v>
      </c>
      <c r="F19" s="24">
        <v>348.3</v>
      </c>
      <c r="G19" s="24">
        <f t="shared" si="0"/>
        <v>5651.75</v>
      </c>
      <c r="H19" s="24">
        <f t="shared" si="0"/>
        <v>0</v>
      </c>
      <c r="I19" s="25">
        <f t="shared" si="1"/>
        <v>5651.75</v>
      </c>
      <c r="J19" s="25">
        <f t="shared" si="2"/>
        <v>356.68</v>
      </c>
      <c r="K19" s="25">
        <f>(C19+D19)*I6</f>
        <v>202.57499999999999</v>
      </c>
      <c r="L19" s="25"/>
      <c r="M19" s="25"/>
      <c r="N19" s="25">
        <v>0</v>
      </c>
      <c r="O19" s="25">
        <f t="shared" si="3"/>
        <v>6211.0050000000001</v>
      </c>
      <c r="P19" s="27">
        <f>IF('[14]Calculo ISR '!$BL$34&lt;0,0,'[14]Calculo ISR '!$BL$34)</f>
        <v>703.29464400000006</v>
      </c>
      <c r="Q19" s="28">
        <f>I19*N6</f>
        <v>593.43375000000003</v>
      </c>
      <c r="R19" s="28">
        <v>1570</v>
      </c>
      <c r="S19" s="28">
        <f>I19*T6</f>
        <v>56.517499999999998</v>
      </c>
      <c r="T19" s="28"/>
      <c r="U19" s="28"/>
      <c r="V19" s="25">
        <f t="shared" si="4"/>
        <v>2923.2458940000001</v>
      </c>
      <c r="W19" s="28">
        <f>IF('[14]Calculo ISR '!$BL$34&gt;0,0,('[14]Calculo ISR '!$BL$34)*-1)</f>
        <v>0</v>
      </c>
      <c r="X19" s="25">
        <f t="shared" si="5"/>
        <v>2931.0791060000001</v>
      </c>
      <c r="Y19" s="25">
        <f t="shared" si="6"/>
        <v>356.68</v>
      </c>
      <c r="Z19" s="161"/>
      <c r="AA19" s="162"/>
    </row>
    <row r="20" spans="1:28" s="35" customFormat="1" ht="45" customHeight="1">
      <c r="A20" s="21" t="s">
        <v>52</v>
      </c>
      <c r="B20" s="33" t="s">
        <v>53</v>
      </c>
      <c r="C20" s="34">
        <v>19.5</v>
      </c>
      <c r="D20" s="34">
        <v>0</v>
      </c>
      <c r="E20" s="24">
        <v>305.5</v>
      </c>
      <c r="F20" s="24">
        <v>348.3</v>
      </c>
      <c r="G20" s="24">
        <f t="shared" si="0"/>
        <v>5957.25</v>
      </c>
      <c r="H20" s="24">
        <f t="shared" si="0"/>
        <v>0</v>
      </c>
      <c r="I20" s="25">
        <f t="shared" si="1"/>
        <v>5957.25</v>
      </c>
      <c r="J20" s="25">
        <f t="shared" si="2"/>
        <v>375.96000000000004</v>
      </c>
      <c r="K20" s="25">
        <f>(C20+D20)*I6</f>
        <v>213.52499999999998</v>
      </c>
      <c r="L20" s="25"/>
      <c r="M20" s="25"/>
      <c r="N20" s="25">
        <v>0</v>
      </c>
      <c r="O20" s="25">
        <f t="shared" si="3"/>
        <v>6546.7349999999997</v>
      </c>
      <c r="P20" s="27">
        <f>IF('[14]Calculo ISR '!$BM$34&lt;0,0,'[14]Calculo ISR '!$BM$34)</f>
        <v>770.88836400000002</v>
      </c>
      <c r="Q20" s="28">
        <f>I20*N6</f>
        <v>625.51125000000002</v>
      </c>
      <c r="R20" s="28">
        <f>'[14]HT-DOCENTE'!P21</f>
        <v>0</v>
      </c>
      <c r="S20" s="28">
        <f>I20*T6</f>
        <v>59.572499999999998</v>
      </c>
      <c r="T20" s="28"/>
      <c r="U20" s="28"/>
      <c r="V20" s="25">
        <f t="shared" si="4"/>
        <v>1455.9721139999999</v>
      </c>
      <c r="W20" s="28">
        <f>IF('[14]Calculo ISR '!$BM$34&gt;0,0,('[14]Calculo ISR '!$BM$34)*-1)</f>
        <v>0</v>
      </c>
      <c r="X20" s="25">
        <f t="shared" si="5"/>
        <v>4714.8028859999995</v>
      </c>
      <c r="Y20" s="25">
        <f t="shared" si="6"/>
        <v>375.96000000000004</v>
      </c>
      <c r="Z20" s="161"/>
      <c r="AA20" s="162"/>
    </row>
    <row r="21" spans="1:28" s="35" customFormat="1" ht="45" customHeight="1">
      <c r="A21" s="21" t="s">
        <v>54</v>
      </c>
      <c r="B21" s="33" t="s">
        <v>55</v>
      </c>
      <c r="C21" s="34">
        <v>19.5</v>
      </c>
      <c r="D21" s="34">
        <v>0</v>
      </c>
      <c r="E21" s="24">
        <v>305.5</v>
      </c>
      <c r="F21" s="24">
        <v>348.3</v>
      </c>
      <c r="G21" s="24">
        <f t="shared" si="0"/>
        <v>5957.25</v>
      </c>
      <c r="H21" s="24">
        <f t="shared" si="0"/>
        <v>0</v>
      </c>
      <c r="I21" s="25">
        <f t="shared" si="1"/>
        <v>5957.25</v>
      </c>
      <c r="J21" s="25">
        <f t="shared" si="2"/>
        <v>375.96000000000004</v>
      </c>
      <c r="K21" s="25">
        <f>(C21+D21)*I6</f>
        <v>213.52499999999998</v>
      </c>
      <c r="L21" s="25"/>
      <c r="M21" s="25"/>
      <c r="N21" s="25">
        <v>0</v>
      </c>
      <c r="O21" s="25">
        <f t="shared" si="3"/>
        <v>6546.7349999999997</v>
      </c>
      <c r="P21" s="27">
        <f>IF('[14]Calculo ISR '!$BN$34&lt;0,0,'[14]Calculo ISR '!$BN$34)</f>
        <v>770.88836400000002</v>
      </c>
      <c r="Q21" s="28">
        <f>I21*N6</f>
        <v>625.51125000000002</v>
      </c>
      <c r="R21" s="28">
        <v>1324</v>
      </c>
      <c r="S21" s="28">
        <f>I21*T6</f>
        <v>59.572499999999998</v>
      </c>
      <c r="T21" s="28">
        <f>'[14]HT-DOCENTE'!R22</f>
        <v>0</v>
      </c>
      <c r="U21" s="28"/>
      <c r="V21" s="25">
        <f t="shared" si="4"/>
        <v>2779.9721140000001</v>
      </c>
      <c r="W21" s="28">
        <f>IF('[14]Calculo ISR '!$BN$34&gt;0,0,('[14]Calculo ISR '!$BN$34)*-1)</f>
        <v>0</v>
      </c>
      <c r="X21" s="25">
        <f t="shared" si="5"/>
        <v>3390.8028859999995</v>
      </c>
      <c r="Y21" s="25">
        <f t="shared" si="6"/>
        <v>375.96000000000004</v>
      </c>
      <c r="Z21" s="161"/>
      <c r="AA21" s="162"/>
    </row>
    <row r="22" spans="1:28" s="35" customFormat="1" ht="45" customHeight="1">
      <c r="A22" s="21" t="s">
        <v>56</v>
      </c>
      <c r="B22" s="33" t="s">
        <v>57</v>
      </c>
      <c r="C22" s="34">
        <v>19</v>
      </c>
      <c r="D22" s="34">
        <v>0</v>
      </c>
      <c r="E22" s="24">
        <v>305.5</v>
      </c>
      <c r="F22" s="24">
        <v>348.3</v>
      </c>
      <c r="G22" s="24">
        <f t="shared" si="0"/>
        <v>5804.5</v>
      </c>
      <c r="H22" s="24">
        <f t="shared" si="0"/>
        <v>0</v>
      </c>
      <c r="I22" s="25">
        <f t="shared" si="1"/>
        <v>5804.5</v>
      </c>
      <c r="J22" s="25">
        <f t="shared" si="2"/>
        <v>366.32000000000005</v>
      </c>
      <c r="K22" s="25">
        <f>(C22+D22)*I6</f>
        <v>208.04999999999998</v>
      </c>
      <c r="L22" s="25">
        <f>(C22+D22)*E7</f>
        <v>423.7</v>
      </c>
      <c r="M22" s="25"/>
      <c r="N22" s="25">
        <v>0</v>
      </c>
      <c r="O22" s="25">
        <f t="shared" si="3"/>
        <v>6802.57</v>
      </c>
      <c r="P22" s="27">
        <f>IF('[14]Calculo ISR '!$BO$34&lt;0,0,'[14]Calculo ISR '!$BO$34)</f>
        <v>827.59382400000004</v>
      </c>
      <c r="Q22" s="28">
        <f>I22*N6</f>
        <v>609.47249999999997</v>
      </c>
      <c r="R22" s="28">
        <f>'[14]HT-DOCENTE'!P23</f>
        <v>0</v>
      </c>
      <c r="S22" s="28">
        <f>I22*T6</f>
        <v>58.045000000000002</v>
      </c>
      <c r="T22" s="28">
        <f>'[14]HT-DOCENTE'!R23</f>
        <v>0</v>
      </c>
      <c r="U22" s="30">
        <f>[14]descuentos!D7</f>
        <v>0</v>
      </c>
      <c r="V22" s="25">
        <f t="shared" si="4"/>
        <v>1495.111324</v>
      </c>
      <c r="W22" s="28">
        <f>IF('[14]Calculo ISR '!$BO$34&gt;0,0,('[14]Calculo ISR '!$BO$34)*-1)</f>
        <v>0</v>
      </c>
      <c r="X22" s="25">
        <f t="shared" si="5"/>
        <v>4941.1386760000005</v>
      </c>
      <c r="Y22" s="25">
        <f t="shared" si="6"/>
        <v>366.32000000000005</v>
      </c>
      <c r="Z22" s="161"/>
      <c r="AA22" s="162"/>
    </row>
    <row r="23" spans="1:28" s="35" customFormat="1" ht="45" customHeight="1">
      <c r="A23" s="21" t="s">
        <v>58</v>
      </c>
      <c r="B23" s="33" t="s">
        <v>59</v>
      </c>
      <c r="C23" s="34">
        <v>11</v>
      </c>
      <c r="D23" s="34">
        <v>0</v>
      </c>
      <c r="E23" s="24">
        <v>305.5</v>
      </c>
      <c r="F23" s="24">
        <v>348.3</v>
      </c>
      <c r="G23" s="24">
        <f t="shared" si="0"/>
        <v>3360.5</v>
      </c>
      <c r="H23" s="24">
        <f t="shared" si="0"/>
        <v>0</v>
      </c>
      <c r="I23" s="25">
        <f t="shared" si="1"/>
        <v>3360.5</v>
      </c>
      <c r="J23" s="25">
        <f t="shared" si="2"/>
        <v>212.08</v>
      </c>
      <c r="K23" s="25">
        <f>(C23+D23)*I6</f>
        <v>120.44999999999999</v>
      </c>
      <c r="L23" s="25"/>
      <c r="M23" s="25"/>
      <c r="N23" s="25"/>
      <c r="O23" s="25">
        <f t="shared" si="3"/>
        <v>3693.0299999999997</v>
      </c>
      <c r="P23" s="27">
        <f>IF('[14]Calculo ISR '!$BP$34&lt;0,0,'[14]Calculo ISR '!$BP$34)</f>
        <v>149.54427199999995</v>
      </c>
      <c r="Q23" s="28">
        <f>I23*N6</f>
        <v>352.85249999999996</v>
      </c>
      <c r="R23" s="28">
        <v>707</v>
      </c>
      <c r="S23" s="28">
        <f>I23*T6</f>
        <v>33.605000000000004</v>
      </c>
      <c r="T23" s="28"/>
      <c r="U23" s="28"/>
      <c r="V23" s="25">
        <f t="shared" si="4"/>
        <v>1243.0017720000001</v>
      </c>
      <c r="W23" s="28">
        <f>IF('[14]Calculo ISR '!$BP$34&gt;0,0,('[14]Calculo ISR '!$BP$34)*-1)</f>
        <v>0</v>
      </c>
      <c r="X23" s="25">
        <f t="shared" si="5"/>
        <v>2237.9482279999997</v>
      </c>
      <c r="Y23" s="25">
        <f t="shared" si="6"/>
        <v>212.08</v>
      </c>
      <c r="Z23" s="161"/>
      <c r="AA23" s="162"/>
    </row>
    <row r="24" spans="1:28" s="35" customFormat="1" ht="45" customHeight="1">
      <c r="A24" s="21" t="s">
        <v>60</v>
      </c>
      <c r="B24" s="33" t="s">
        <v>100</v>
      </c>
      <c r="C24" s="34">
        <v>18.5</v>
      </c>
      <c r="D24" s="34"/>
      <c r="E24" s="24">
        <v>305.5</v>
      </c>
      <c r="F24" s="24">
        <v>348.3</v>
      </c>
      <c r="G24" s="24">
        <f t="shared" si="0"/>
        <v>5651.75</v>
      </c>
      <c r="H24" s="24">
        <f t="shared" si="0"/>
        <v>0</v>
      </c>
      <c r="I24" s="25">
        <f t="shared" si="1"/>
        <v>5651.75</v>
      </c>
      <c r="J24" s="25">
        <f t="shared" si="2"/>
        <v>356.68</v>
      </c>
      <c r="K24" s="25">
        <f>(C24+D24)*I6</f>
        <v>202.57499999999999</v>
      </c>
      <c r="L24" s="25"/>
      <c r="M24" s="25"/>
      <c r="N24" s="25"/>
      <c r="O24" s="25">
        <f t="shared" si="3"/>
        <v>6211.0050000000001</v>
      </c>
      <c r="P24" s="27">
        <f>IF('[14]Calculo ISR '!$BQ$34&lt;0,0,'[14]Calculo ISR '!$BQ$34)</f>
        <v>703.29464400000006</v>
      </c>
      <c r="Q24" s="28">
        <f>I24*N6</f>
        <v>593.43375000000003</v>
      </c>
      <c r="R24" s="28"/>
      <c r="S24" s="28"/>
      <c r="T24" s="28"/>
      <c r="U24" s="28"/>
      <c r="V24" s="25">
        <f t="shared" ref="V24:V37" si="7">P24+Q24+R24+S24+T24+U24</f>
        <v>1296.7283940000002</v>
      </c>
      <c r="W24" s="28">
        <f>IF('[14]Calculo ISR '!$BQ$34&gt;0,0,('[14]Calculo ISR '!$BQ$34)*-1)</f>
        <v>0</v>
      </c>
      <c r="X24" s="25">
        <f t="shared" si="5"/>
        <v>4557.5966059999992</v>
      </c>
      <c r="Y24" s="25">
        <f t="shared" si="6"/>
        <v>356.68</v>
      </c>
      <c r="Z24" s="161"/>
      <c r="AA24" s="162"/>
    </row>
    <row r="25" spans="1:28" s="35" customFormat="1" ht="45" customHeight="1">
      <c r="A25" s="21" t="s">
        <v>62</v>
      </c>
      <c r="B25" s="33" t="s">
        <v>63</v>
      </c>
      <c r="C25" s="34">
        <v>17.5</v>
      </c>
      <c r="D25" s="34">
        <v>0</v>
      </c>
      <c r="E25" s="24">
        <v>305.5</v>
      </c>
      <c r="F25" s="24">
        <v>348.3</v>
      </c>
      <c r="G25" s="24">
        <f t="shared" si="0"/>
        <v>5346.25</v>
      </c>
      <c r="H25" s="24">
        <f t="shared" si="0"/>
        <v>0</v>
      </c>
      <c r="I25" s="25">
        <f t="shared" si="1"/>
        <v>5346.25</v>
      </c>
      <c r="J25" s="25">
        <f t="shared" si="2"/>
        <v>337.40000000000003</v>
      </c>
      <c r="K25" s="25">
        <f>(C25+D25)*I6</f>
        <v>191.625</v>
      </c>
      <c r="L25" s="25"/>
      <c r="M25" s="25"/>
      <c r="N25" s="25">
        <v>0</v>
      </c>
      <c r="O25" s="25">
        <f t="shared" si="3"/>
        <v>5875.2749999999996</v>
      </c>
      <c r="P25" s="27">
        <f>IF('[14]Calculo ISR '!$BR$34&lt;0,0,'[14]Calculo ISR '!$BR$34)</f>
        <v>635.7009240000001</v>
      </c>
      <c r="Q25" s="28">
        <f>I25*N6</f>
        <v>561.35624999999993</v>
      </c>
      <c r="R25" s="28"/>
      <c r="S25" s="28">
        <f>I25*T6</f>
        <v>53.462499999999999</v>
      </c>
      <c r="T25" s="28"/>
      <c r="U25" s="28"/>
      <c r="V25" s="25">
        <f t="shared" si="7"/>
        <v>1250.5196740000001</v>
      </c>
      <c r="W25" s="28">
        <f>IF('[14]Calculo ISR '!$BR$34&gt;0,0,('[14]Calculo ISR '!$BR$34)*-1)</f>
        <v>0</v>
      </c>
      <c r="X25" s="25">
        <f t="shared" ref="X25:X37" si="8">O25-V25+W25-Y25</f>
        <v>4287.3553259999999</v>
      </c>
      <c r="Y25" s="25">
        <f t="shared" si="6"/>
        <v>337.40000000000003</v>
      </c>
      <c r="Z25" s="161"/>
      <c r="AA25" s="162"/>
    </row>
    <row r="26" spans="1:28" s="35" customFormat="1" ht="45" customHeight="1">
      <c r="A26" s="21" t="s">
        <v>64</v>
      </c>
      <c r="B26" s="33" t="s">
        <v>65</v>
      </c>
      <c r="C26" s="34">
        <v>17</v>
      </c>
      <c r="D26" s="34">
        <v>0</v>
      </c>
      <c r="E26" s="24">
        <v>305.5</v>
      </c>
      <c r="F26" s="24">
        <v>348.3</v>
      </c>
      <c r="G26" s="24">
        <f t="shared" si="0"/>
        <v>5193.5</v>
      </c>
      <c r="H26" s="24">
        <f t="shared" si="0"/>
        <v>0</v>
      </c>
      <c r="I26" s="25">
        <f t="shared" si="1"/>
        <v>5193.5</v>
      </c>
      <c r="J26" s="25">
        <f t="shared" si="2"/>
        <v>327.76</v>
      </c>
      <c r="K26" s="25">
        <f>(C26+D26)*I6</f>
        <v>186.14999999999998</v>
      </c>
      <c r="L26" s="25"/>
      <c r="M26" s="25"/>
      <c r="N26" s="25">
        <v>0</v>
      </c>
      <c r="O26" s="25">
        <f t="shared" si="3"/>
        <v>5707.41</v>
      </c>
      <c r="P26" s="27">
        <f>IF('[14]Calculo ISR '!$BS$34&lt;0,0,'[14]Calculo ISR '!$BS$34)</f>
        <v>601.90406400000006</v>
      </c>
      <c r="Q26" s="28">
        <f>I26*N6</f>
        <v>545.3175</v>
      </c>
      <c r="R26" s="28"/>
      <c r="S26" s="28"/>
      <c r="T26" s="28"/>
      <c r="U26" s="28"/>
      <c r="V26" s="25">
        <f t="shared" si="7"/>
        <v>1147.2215639999999</v>
      </c>
      <c r="W26" s="28">
        <f>IF('[14]Calculo ISR '!$BS$34&gt;0,0,('[14]Calculo ISR '!$BS$34)*-1)</f>
        <v>0</v>
      </c>
      <c r="X26" s="25">
        <f t="shared" si="8"/>
        <v>4232.4284360000001</v>
      </c>
      <c r="Y26" s="25">
        <f t="shared" si="6"/>
        <v>327.76</v>
      </c>
      <c r="Z26" s="161"/>
      <c r="AA26" s="162"/>
    </row>
    <row r="27" spans="1:28" s="35" customFormat="1" ht="45" customHeight="1">
      <c r="A27" s="21" t="s">
        <v>66</v>
      </c>
      <c r="B27" s="36" t="s">
        <v>67</v>
      </c>
      <c r="C27" s="34">
        <v>11.5</v>
      </c>
      <c r="D27" s="34">
        <v>0</v>
      </c>
      <c r="E27" s="24">
        <v>305.5</v>
      </c>
      <c r="F27" s="24">
        <v>348.3</v>
      </c>
      <c r="G27" s="24">
        <f t="shared" si="0"/>
        <v>3513.25</v>
      </c>
      <c r="H27" s="24">
        <f t="shared" si="0"/>
        <v>0</v>
      </c>
      <c r="I27" s="25">
        <f t="shared" si="1"/>
        <v>3513.25</v>
      </c>
      <c r="J27" s="25">
        <f t="shared" si="2"/>
        <v>221.72000000000003</v>
      </c>
      <c r="K27" s="25">
        <f>(C27+D27)*I6</f>
        <v>125.925</v>
      </c>
      <c r="L27" s="25"/>
      <c r="M27" s="25"/>
      <c r="N27" s="25">
        <v>0</v>
      </c>
      <c r="O27" s="25">
        <f t="shared" si="3"/>
        <v>3860.8950000000004</v>
      </c>
      <c r="P27" s="27">
        <f>IF('[14]Calculo ISR '!$BT$34&lt;0,0,'[14]Calculo ISR '!$BT$34)</f>
        <v>184.45915199999999</v>
      </c>
      <c r="Q27" s="28">
        <f>I27*N6</f>
        <v>368.89125000000001</v>
      </c>
      <c r="R27" s="28"/>
      <c r="S27" s="28"/>
      <c r="T27" s="28"/>
      <c r="U27" s="28"/>
      <c r="V27" s="25">
        <f t="shared" si="7"/>
        <v>553.35040200000003</v>
      </c>
      <c r="W27" s="28">
        <f>IF('[14]Calculo ISR '!$BT$34&gt;0,0,('[14]Calculo ISR '!$BT$34)*-1)</f>
        <v>0</v>
      </c>
      <c r="X27" s="25">
        <f t="shared" si="8"/>
        <v>3085.8245980000002</v>
      </c>
      <c r="Y27" s="25">
        <f t="shared" si="6"/>
        <v>221.72000000000003</v>
      </c>
      <c r="Z27" s="161"/>
      <c r="AA27" s="162"/>
    </row>
    <row r="28" spans="1:28" s="35" customFormat="1" ht="45" customHeight="1">
      <c r="A28" s="21" t="s">
        <v>68</v>
      </c>
      <c r="B28" s="33" t="s">
        <v>69</v>
      </c>
      <c r="C28" s="34">
        <v>10.5</v>
      </c>
      <c r="D28" s="34">
        <v>0</v>
      </c>
      <c r="E28" s="24">
        <v>305.5</v>
      </c>
      <c r="F28" s="24">
        <v>348.3</v>
      </c>
      <c r="G28" s="24">
        <f t="shared" si="0"/>
        <v>3207.75</v>
      </c>
      <c r="H28" s="24">
        <f t="shared" si="0"/>
        <v>0</v>
      </c>
      <c r="I28" s="25">
        <f t="shared" si="1"/>
        <v>3207.75</v>
      </c>
      <c r="J28" s="25">
        <f t="shared" si="2"/>
        <v>202.44</v>
      </c>
      <c r="K28" s="25">
        <f>(C28+D28)*I6</f>
        <v>114.97499999999999</v>
      </c>
      <c r="L28" s="25"/>
      <c r="M28" s="25"/>
      <c r="N28" s="25">
        <v>0</v>
      </c>
      <c r="O28" s="25">
        <f t="shared" si="3"/>
        <v>3525.165</v>
      </c>
      <c r="P28" s="27">
        <f>IF('[14]Calculo ISR '!$BU$34&lt;0,0,'[14]Calculo ISR '!$BU$34)</f>
        <v>132.32939199999996</v>
      </c>
      <c r="Q28" s="28">
        <f>I28*N6</f>
        <v>336.81374999999997</v>
      </c>
      <c r="R28" s="28"/>
      <c r="S28" s="28"/>
      <c r="T28" s="28"/>
      <c r="U28" s="28"/>
      <c r="V28" s="25">
        <f t="shared" si="7"/>
        <v>469.1431419999999</v>
      </c>
      <c r="W28" s="28">
        <f>IF('[14]Calculo ISR '!$BU$34&gt;0,0,('[14]Calculo ISR '!$BU$34)*-1)</f>
        <v>0</v>
      </c>
      <c r="X28" s="25">
        <f t="shared" si="8"/>
        <v>2853.581858</v>
      </c>
      <c r="Y28" s="25">
        <f t="shared" si="6"/>
        <v>202.44</v>
      </c>
      <c r="Z28" s="161"/>
      <c r="AA28" s="162"/>
    </row>
    <row r="29" spans="1:28" s="35" customFormat="1" ht="45" customHeight="1">
      <c r="A29" s="21" t="s">
        <v>70</v>
      </c>
      <c r="B29" s="33" t="s">
        <v>71</v>
      </c>
      <c r="C29" s="34">
        <v>9.5</v>
      </c>
      <c r="D29" s="34">
        <v>0</v>
      </c>
      <c r="E29" s="24">
        <v>305.5</v>
      </c>
      <c r="F29" s="24">
        <v>348.3</v>
      </c>
      <c r="G29" s="24">
        <f t="shared" si="0"/>
        <v>2902.25</v>
      </c>
      <c r="H29" s="24">
        <f t="shared" si="0"/>
        <v>0</v>
      </c>
      <c r="I29" s="25">
        <f t="shared" si="1"/>
        <v>2902.25</v>
      </c>
      <c r="J29" s="25">
        <f t="shared" si="2"/>
        <v>183.16000000000003</v>
      </c>
      <c r="K29" s="25">
        <f>(C29+D29)*I6</f>
        <v>104.02499999999999</v>
      </c>
      <c r="L29" s="25"/>
      <c r="M29" s="25"/>
      <c r="N29" s="25"/>
      <c r="O29" s="25">
        <f t="shared" si="3"/>
        <v>3189.4349999999999</v>
      </c>
      <c r="P29" s="27">
        <f>IF('[14]Calculo ISR '!$BV$34&lt;0,0,'[14]Calculo ISR '!$BV$34)</f>
        <v>77.649631999999968</v>
      </c>
      <c r="Q29" s="28">
        <f>I29*N6</f>
        <v>304.73624999999998</v>
      </c>
      <c r="R29" s="28"/>
      <c r="S29" s="28"/>
      <c r="T29" s="28"/>
      <c r="U29" s="28"/>
      <c r="V29" s="25">
        <f t="shared" si="7"/>
        <v>382.38588199999992</v>
      </c>
      <c r="W29" s="28">
        <f>IF('[14]Calculo ISR '!$BV$34&gt;0,0,('[14]Calculo ISR '!$BV$34)*-1)</f>
        <v>0</v>
      </c>
      <c r="X29" s="25">
        <f t="shared" si="8"/>
        <v>2623.8891180000001</v>
      </c>
      <c r="Y29" s="25">
        <f t="shared" si="6"/>
        <v>183.16000000000003</v>
      </c>
      <c r="Z29" s="161"/>
      <c r="AA29" s="162"/>
    </row>
    <row r="30" spans="1:28" s="35" customFormat="1" ht="45" customHeight="1">
      <c r="A30" s="21" t="s">
        <v>72</v>
      </c>
      <c r="B30" s="33" t="s">
        <v>73</v>
      </c>
      <c r="C30" s="34">
        <v>10</v>
      </c>
      <c r="D30" s="34">
        <v>0</v>
      </c>
      <c r="E30" s="24">
        <v>305.5</v>
      </c>
      <c r="F30" s="24">
        <v>348.3</v>
      </c>
      <c r="G30" s="24">
        <f t="shared" si="0"/>
        <v>3055</v>
      </c>
      <c r="H30" s="24">
        <f t="shared" si="0"/>
        <v>0</v>
      </c>
      <c r="I30" s="25">
        <f t="shared" si="1"/>
        <v>3055</v>
      </c>
      <c r="J30" s="25">
        <f t="shared" si="2"/>
        <v>192.8</v>
      </c>
      <c r="K30" s="25">
        <f>(C30+D30)*I6</f>
        <v>109.5</v>
      </c>
      <c r="L30" s="25"/>
      <c r="M30" s="25"/>
      <c r="N30" s="25"/>
      <c r="O30" s="25">
        <f t="shared" si="3"/>
        <v>3357.3</v>
      </c>
      <c r="P30" s="27">
        <f>IF('[14]Calculo ISR '!$BW$34&lt;0,0,'[14]Calculo ISR '!$BW$34)</f>
        <v>115.11451199999996</v>
      </c>
      <c r="Q30" s="28">
        <f>I30*N6</f>
        <v>320.77499999999998</v>
      </c>
      <c r="R30" s="28"/>
      <c r="S30" s="28"/>
      <c r="T30" s="28"/>
      <c r="U30" s="30">
        <f>[14]descuentos!D9</f>
        <v>0</v>
      </c>
      <c r="V30" s="25">
        <f t="shared" si="7"/>
        <v>435.88951199999997</v>
      </c>
      <c r="W30" s="28">
        <f>IF('[14]Calculo ISR '!$BW$34&gt;0,0,('[14]Calculo ISR '!$BW$34)*-1)</f>
        <v>0</v>
      </c>
      <c r="X30" s="25">
        <f t="shared" si="8"/>
        <v>2728.6104880000003</v>
      </c>
      <c r="Y30" s="25">
        <f t="shared" si="6"/>
        <v>192.8</v>
      </c>
      <c r="Z30" s="184"/>
      <c r="AA30" s="185"/>
      <c r="AB30" s="70"/>
    </row>
    <row r="31" spans="1:28" s="35" customFormat="1" ht="45" customHeight="1">
      <c r="A31" s="21" t="s">
        <v>94</v>
      </c>
      <c r="B31" s="33" t="s">
        <v>101</v>
      </c>
      <c r="C31" s="34">
        <v>14.5</v>
      </c>
      <c r="D31" s="34">
        <v>0</v>
      </c>
      <c r="E31" s="24">
        <v>305.5</v>
      </c>
      <c r="F31" s="24">
        <v>348.3</v>
      </c>
      <c r="G31" s="24">
        <f t="shared" si="0"/>
        <v>4429.75</v>
      </c>
      <c r="H31" s="24">
        <f t="shared" si="0"/>
        <v>0</v>
      </c>
      <c r="I31" s="25">
        <f t="shared" si="1"/>
        <v>4429.75</v>
      </c>
      <c r="J31" s="25">
        <f t="shared" si="2"/>
        <v>279.56</v>
      </c>
      <c r="K31" s="25">
        <f>(C31+D31)*I6</f>
        <v>158.77499999999998</v>
      </c>
      <c r="L31" s="25"/>
      <c r="M31" s="25"/>
      <c r="N31" s="25"/>
      <c r="O31" s="25">
        <f t="shared" si="3"/>
        <v>4868.085</v>
      </c>
      <c r="P31" s="27">
        <f>IF('[14]Calculo ISR '!$BX$34&lt;0,0,'[14]Calculo ISR '!$BX$34)</f>
        <v>449.76916800000004</v>
      </c>
      <c r="Q31" s="28">
        <f>I31*10.5%</f>
        <v>465.12374999999997</v>
      </c>
      <c r="R31" s="28"/>
      <c r="S31" s="28"/>
      <c r="T31" s="28"/>
      <c r="U31" s="28"/>
      <c r="V31" s="25">
        <f t="shared" si="7"/>
        <v>914.89291800000001</v>
      </c>
      <c r="W31" s="28">
        <f>IF('[14]Calculo ISR '!$BX$34&gt;0,0,('[14]Calculo ISR '!$BX$34)*-1)</f>
        <v>0</v>
      </c>
      <c r="X31" s="25">
        <f t="shared" si="8"/>
        <v>3673.6320820000001</v>
      </c>
      <c r="Y31" s="71">
        <f t="shared" si="6"/>
        <v>279.56</v>
      </c>
      <c r="Z31" s="138"/>
      <c r="AA31" s="73"/>
      <c r="AB31" s="70"/>
    </row>
    <row r="32" spans="1:28" s="35" customFormat="1" ht="45" customHeight="1">
      <c r="A32" s="21" t="s">
        <v>96</v>
      </c>
      <c r="B32" s="33" t="s">
        <v>102</v>
      </c>
      <c r="C32" s="34">
        <v>7.5</v>
      </c>
      <c r="D32" s="34">
        <v>0</v>
      </c>
      <c r="E32" s="24">
        <v>305.5</v>
      </c>
      <c r="F32" s="24">
        <v>348.3</v>
      </c>
      <c r="G32" s="24">
        <f t="shared" si="0"/>
        <v>2291.25</v>
      </c>
      <c r="H32" s="24">
        <f t="shared" si="0"/>
        <v>0</v>
      </c>
      <c r="I32" s="25">
        <f t="shared" si="1"/>
        <v>2291.25</v>
      </c>
      <c r="J32" s="25">
        <f t="shared" si="2"/>
        <v>144.60000000000002</v>
      </c>
      <c r="K32" s="25">
        <f>(C32+D32)*I6</f>
        <v>82.125</v>
      </c>
      <c r="L32" s="25"/>
      <c r="M32" s="25"/>
      <c r="N32" s="25"/>
      <c r="O32" s="25">
        <f t="shared" si="3"/>
        <v>2517.9749999999999</v>
      </c>
      <c r="P32" s="27">
        <f>IF('[14]Calculo ISR '!$BY$34&lt;0,0,'[14]Calculo ISR '!$BY$34)</f>
        <v>0</v>
      </c>
      <c r="Q32" s="28">
        <f>I32*10.5%</f>
        <v>240.58124999999998</v>
      </c>
      <c r="R32" s="28"/>
      <c r="S32" s="28"/>
      <c r="T32" s="28"/>
      <c r="U32" s="28"/>
      <c r="V32" s="25">
        <f t="shared" si="7"/>
        <v>240.58124999999998</v>
      </c>
      <c r="W32" s="28">
        <f>IF('[14]Calculo ISR '!$BY$34&gt;0,0,('[14]Calculo ISR '!$BY$34)*-1)</f>
        <v>6.2098880000000065</v>
      </c>
      <c r="X32" s="25">
        <f t="shared" si="8"/>
        <v>2139.0036379999997</v>
      </c>
      <c r="Y32" s="71">
        <f t="shared" si="6"/>
        <v>144.60000000000002</v>
      </c>
      <c r="Z32" s="138"/>
      <c r="AA32" s="73"/>
      <c r="AB32" s="70"/>
    </row>
    <row r="33" spans="1:31" s="35" customFormat="1" ht="45" customHeight="1">
      <c r="A33" s="21" t="s">
        <v>103</v>
      </c>
      <c r="B33" s="33" t="s">
        <v>104</v>
      </c>
      <c r="C33" s="34">
        <v>5</v>
      </c>
      <c r="D33" s="34">
        <v>0</v>
      </c>
      <c r="E33" s="24">
        <v>305.5</v>
      </c>
      <c r="F33" s="24">
        <v>348.3</v>
      </c>
      <c r="G33" s="24">
        <f t="shared" si="0"/>
        <v>1527.5</v>
      </c>
      <c r="H33" s="24">
        <f t="shared" si="0"/>
        <v>0</v>
      </c>
      <c r="I33" s="25">
        <f t="shared" si="1"/>
        <v>1527.5</v>
      </c>
      <c r="J33" s="25">
        <f t="shared" si="2"/>
        <v>96.4</v>
      </c>
      <c r="K33" s="25">
        <f>(C33+D33)*I6</f>
        <v>54.75</v>
      </c>
      <c r="L33" s="25"/>
      <c r="M33" s="25"/>
      <c r="N33" s="25"/>
      <c r="O33" s="25">
        <f t="shared" si="3"/>
        <v>1678.65</v>
      </c>
      <c r="P33" s="27">
        <f>IF('[14]Calculo ISR '!$BZ$34&lt;0,0,'[14]Calculo ISR '!$BZ$34)</f>
        <v>0</v>
      </c>
      <c r="Q33" s="28">
        <f t="shared" ref="Q33:Q35" si="9">I33*10.5%</f>
        <v>160.38749999999999</v>
      </c>
      <c r="R33" s="28"/>
      <c r="S33" s="28"/>
      <c r="T33" s="28"/>
      <c r="U33" s="28"/>
      <c r="V33" s="25">
        <f t="shared" si="7"/>
        <v>160.38749999999999</v>
      </c>
      <c r="W33" s="28">
        <f>IF('[14]Calculo ISR '!$BZ$34&gt;0,0,('[14]Calculo ISR '!$BZ$34)*-1)</f>
        <v>110.45383999999997</v>
      </c>
      <c r="X33" s="25">
        <f t="shared" si="8"/>
        <v>1532.3163399999999</v>
      </c>
      <c r="Y33" s="25">
        <f t="shared" si="6"/>
        <v>96.4</v>
      </c>
      <c r="Z33" s="138"/>
      <c r="AA33" s="73"/>
      <c r="AB33" s="70"/>
    </row>
    <row r="34" spans="1:31" s="35" customFormat="1" ht="45" customHeight="1">
      <c r="A34" s="21" t="s">
        <v>105</v>
      </c>
      <c r="B34" s="33" t="s">
        <v>106</v>
      </c>
      <c r="C34" s="34">
        <v>5</v>
      </c>
      <c r="D34" s="34">
        <v>0</v>
      </c>
      <c r="E34" s="24">
        <v>305.5</v>
      </c>
      <c r="F34" s="24">
        <v>348.3</v>
      </c>
      <c r="G34" s="24">
        <f t="shared" si="0"/>
        <v>1527.5</v>
      </c>
      <c r="H34" s="24">
        <f t="shared" si="0"/>
        <v>0</v>
      </c>
      <c r="I34" s="25">
        <f t="shared" si="1"/>
        <v>1527.5</v>
      </c>
      <c r="J34" s="25">
        <f t="shared" si="2"/>
        <v>96.4</v>
      </c>
      <c r="K34" s="25">
        <f>(C34+D34)*I$6</f>
        <v>54.75</v>
      </c>
      <c r="L34" s="25"/>
      <c r="M34" s="25"/>
      <c r="N34" s="25"/>
      <c r="O34" s="25">
        <f t="shared" si="3"/>
        <v>1678.65</v>
      </c>
      <c r="P34" s="27">
        <f>IF('[14]Calculo ISR '!$CA$34&lt;0,0,'[14]Calculo ISR '!$CA$34)</f>
        <v>0</v>
      </c>
      <c r="Q34" s="28">
        <f t="shared" si="9"/>
        <v>160.38749999999999</v>
      </c>
      <c r="R34" s="28"/>
      <c r="S34" s="28"/>
      <c r="T34" s="28"/>
      <c r="U34" s="28"/>
      <c r="V34" s="25">
        <f t="shared" si="7"/>
        <v>160.38749999999999</v>
      </c>
      <c r="W34" s="28">
        <f>IF('[14]Calculo ISR '!$CA$34&gt;0,0,('[14]Calculo ISR '!$CA$34)*-1)</f>
        <v>110.45383999999997</v>
      </c>
      <c r="X34" s="25">
        <f t="shared" si="8"/>
        <v>1532.3163399999999</v>
      </c>
      <c r="Y34" s="25">
        <f t="shared" si="6"/>
        <v>96.4</v>
      </c>
      <c r="Z34" s="138"/>
      <c r="AA34" s="73"/>
      <c r="AB34" s="70"/>
    </row>
    <row r="35" spans="1:31" s="35" customFormat="1" ht="45" customHeight="1">
      <c r="A35" s="21" t="s">
        <v>108</v>
      </c>
      <c r="B35" s="33" t="s">
        <v>109</v>
      </c>
      <c r="C35" s="34">
        <v>5</v>
      </c>
      <c r="D35" s="34">
        <v>0</v>
      </c>
      <c r="E35" s="24">
        <v>305.5</v>
      </c>
      <c r="F35" s="24">
        <v>348.3</v>
      </c>
      <c r="G35" s="24">
        <f t="shared" si="0"/>
        <v>1527.5</v>
      </c>
      <c r="H35" s="24">
        <f t="shared" si="0"/>
        <v>0</v>
      </c>
      <c r="I35" s="25">
        <f t="shared" si="1"/>
        <v>1527.5</v>
      </c>
      <c r="J35" s="25">
        <f t="shared" si="2"/>
        <v>96.4</v>
      </c>
      <c r="K35" s="25">
        <f>(C35+D35)*I$6</f>
        <v>54.75</v>
      </c>
      <c r="L35" s="25"/>
      <c r="M35" s="25"/>
      <c r="N35" s="25"/>
      <c r="O35" s="25">
        <f t="shared" si="3"/>
        <v>1678.65</v>
      </c>
      <c r="P35" s="27">
        <f>IF('[14]Calculo ISR '!$CB$34&lt;0,0,'[14]Calculo ISR '!$CB$34)</f>
        <v>0</v>
      </c>
      <c r="Q35" s="28">
        <f t="shared" si="9"/>
        <v>160.38749999999999</v>
      </c>
      <c r="R35" s="28"/>
      <c r="S35" s="28"/>
      <c r="T35" s="28"/>
      <c r="U35" s="28"/>
      <c r="V35" s="25">
        <f t="shared" si="7"/>
        <v>160.38749999999999</v>
      </c>
      <c r="W35" s="28">
        <f>IF('[14]Calculo ISR '!$CB$34&gt;0,0,('[14]Calculo ISR '!$CB$34)*-1)</f>
        <v>110.45383999999997</v>
      </c>
      <c r="X35" s="25">
        <f t="shared" si="8"/>
        <v>1532.3163399999999</v>
      </c>
      <c r="Y35" s="25">
        <f t="shared" si="6"/>
        <v>96.4</v>
      </c>
      <c r="Z35" s="93"/>
      <c r="AA35" s="73"/>
      <c r="AB35" s="70"/>
    </row>
    <row r="36" spans="1:31" s="35" customFormat="1" ht="45" customHeight="1">
      <c r="A36" s="21" t="s">
        <v>110</v>
      </c>
      <c r="B36" s="33" t="s">
        <v>111</v>
      </c>
      <c r="C36" s="34">
        <v>5</v>
      </c>
      <c r="D36" s="34">
        <v>0</v>
      </c>
      <c r="E36" s="24">
        <v>305.5</v>
      </c>
      <c r="F36" s="24">
        <v>348.3</v>
      </c>
      <c r="G36" s="24">
        <f t="shared" si="0"/>
        <v>1527.5</v>
      </c>
      <c r="H36" s="24">
        <f t="shared" si="0"/>
        <v>0</v>
      </c>
      <c r="I36" s="25">
        <f t="shared" si="1"/>
        <v>1527.5</v>
      </c>
      <c r="J36" s="25">
        <f t="shared" si="2"/>
        <v>96.4</v>
      </c>
      <c r="K36" s="25">
        <f>(C36+D36)*I$6</f>
        <v>54.75</v>
      </c>
      <c r="L36" s="25"/>
      <c r="M36" s="25"/>
      <c r="N36" s="25"/>
      <c r="O36" s="25">
        <f t="shared" si="3"/>
        <v>1678.65</v>
      </c>
      <c r="P36" s="27">
        <f>IF('[14]Calculo ISR '!$CC$34&lt;0,0,'[14]Calculo ISR '!$CC$34)</f>
        <v>0</v>
      </c>
      <c r="Q36" s="28">
        <f>I36*10.5%</f>
        <v>160.38749999999999</v>
      </c>
      <c r="R36" s="28"/>
      <c r="S36" s="28"/>
      <c r="T36" s="28"/>
      <c r="U36" s="28"/>
      <c r="V36" s="25">
        <f t="shared" si="7"/>
        <v>160.38749999999999</v>
      </c>
      <c r="W36" s="28">
        <f>IF('[14]Calculo ISR '!$CC$34&gt;0,0,('[14]Calculo ISR '!$CC$34)*-1)</f>
        <v>110.45383999999997</v>
      </c>
      <c r="X36" s="25">
        <f t="shared" si="8"/>
        <v>1532.3163399999999</v>
      </c>
      <c r="Y36" s="25">
        <f t="shared" si="6"/>
        <v>96.4</v>
      </c>
      <c r="Z36" s="93"/>
      <c r="AA36" s="73"/>
      <c r="AB36" s="70"/>
    </row>
    <row r="37" spans="1:31" s="35" customFormat="1" ht="45" customHeight="1">
      <c r="A37" s="21" t="s">
        <v>112</v>
      </c>
      <c r="B37" s="33" t="s">
        <v>113</v>
      </c>
      <c r="C37" s="34">
        <v>5</v>
      </c>
      <c r="D37" s="34">
        <v>0</v>
      </c>
      <c r="E37" s="24">
        <v>305.5</v>
      </c>
      <c r="F37" s="24">
        <v>348.3</v>
      </c>
      <c r="G37" s="24">
        <f t="shared" si="0"/>
        <v>1527.5</v>
      </c>
      <c r="H37" s="24">
        <f t="shared" si="0"/>
        <v>0</v>
      </c>
      <c r="I37" s="25">
        <f t="shared" si="1"/>
        <v>1527.5</v>
      </c>
      <c r="J37" s="25">
        <f t="shared" si="2"/>
        <v>96.4</v>
      </c>
      <c r="K37" s="25">
        <f>(C37+D37)*I$6</f>
        <v>54.75</v>
      </c>
      <c r="L37" s="25"/>
      <c r="M37" s="25"/>
      <c r="N37" s="25"/>
      <c r="O37" s="25">
        <f t="shared" si="3"/>
        <v>1678.65</v>
      </c>
      <c r="P37" s="27">
        <f>IF('[14]Calculo ISR '!$CD$34&lt;0,0,'[14]Calculo ISR '!$CD$34)</f>
        <v>11.00499199999993</v>
      </c>
      <c r="Q37" s="28">
        <f>I37*10.5%</f>
        <v>160.38749999999999</v>
      </c>
      <c r="R37" s="28"/>
      <c r="S37" s="28"/>
      <c r="T37" s="28"/>
      <c r="U37" s="28"/>
      <c r="V37" s="25">
        <f t="shared" si="7"/>
        <v>171.39249199999992</v>
      </c>
      <c r="W37" s="28">
        <f>IF('[14]Calculo ISR '!$CD$34&gt;0,0,('[14]Calculo ISR '!$CD$34)*-1)</f>
        <v>0</v>
      </c>
      <c r="X37" s="25">
        <f t="shared" si="8"/>
        <v>1410.8575080000001</v>
      </c>
      <c r="Y37" s="25">
        <f t="shared" si="6"/>
        <v>96.4</v>
      </c>
      <c r="Z37" s="93"/>
      <c r="AA37" s="73"/>
      <c r="AB37" s="70"/>
    </row>
    <row r="38" spans="1:31" s="2" customFormat="1" ht="30" customHeight="1" thickBot="1">
      <c r="A38" s="86"/>
      <c r="B38" s="38" t="s">
        <v>115</v>
      </c>
      <c r="C38" s="39">
        <f t="shared" ref="C38:M38" si="10">SUM(C10:C37)</f>
        <v>331.5</v>
      </c>
      <c r="D38" s="39">
        <f t="shared" si="10"/>
        <v>37.5</v>
      </c>
      <c r="E38" s="40">
        <f t="shared" si="10"/>
        <v>8554</v>
      </c>
      <c r="F38" s="40">
        <f t="shared" si="10"/>
        <v>9752.4</v>
      </c>
      <c r="G38" s="40">
        <f t="shared" si="10"/>
        <v>101273.25</v>
      </c>
      <c r="H38" s="40">
        <f t="shared" si="10"/>
        <v>13061.25</v>
      </c>
      <c r="I38" s="40">
        <f t="shared" si="10"/>
        <v>114334.5</v>
      </c>
      <c r="J38" s="40">
        <f t="shared" si="10"/>
        <v>7114.3199999999988</v>
      </c>
      <c r="K38" s="40">
        <f t="shared" si="10"/>
        <v>4040.55</v>
      </c>
      <c r="L38" s="40">
        <f t="shared" si="10"/>
        <v>1650.2000000000003</v>
      </c>
      <c r="M38" s="40">
        <f t="shared" si="10"/>
        <v>624.46</v>
      </c>
      <c r="N38" s="40">
        <f>SUM(N10:N34)</f>
        <v>0</v>
      </c>
      <c r="O38" s="40">
        <f t="shared" ref="O38:X38" si="11">SUM(O10:O37)</f>
        <v>127764.02999999997</v>
      </c>
      <c r="P38" s="40">
        <f t="shared" si="11"/>
        <v>11788.719028000001</v>
      </c>
      <c r="Q38" s="40">
        <f t="shared" si="11"/>
        <v>12005.122500000001</v>
      </c>
      <c r="R38" s="40">
        <f t="shared" si="11"/>
        <v>9546</v>
      </c>
      <c r="S38" s="40">
        <f t="shared" si="11"/>
        <v>764.52499999999998</v>
      </c>
      <c r="T38" s="40">
        <f t="shared" si="11"/>
        <v>0</v>
      </c>
      <c r="U38" s="74">
        <f t="shared" si="11"/>
        <v>0</v>
      </c>
      <c r="V38" s="40">
        <f t="shared" si="11"/>
        <v>34104.366527999991</v>
      </c>
      <c r="W38" s="40">
        <f t="shared" si="11"/>
        <v>613.67868799999985</v>
      </c>
      <c r="X38" s="40">
        <f t="shared" si="11"/>
        <v>87159.022160000022</v>
      </c>
      <c r="Y38" s="40">
        <f>SUM(Y9:Y37)</f>
        <v>7114.3199999999988</v>
      </c>
      <c r="Z38" s="41"/>
      <c r="AA38" s="3"/>
      <c r="AB38" s="75"/>
      <c r="AC38" s="42"/>
    </row>
    <row r="39" spans="1:31" s="2" customFormat="1" ht="5.25" customHeight="1">
      <c r="A39" s="87"/>
      <c r="B39" s="44"/>
      <c r="C39" s="123"/>
      <c r="D39" s="61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>
        <f>R38+'[14]HT-ADMINISTRATIVOS FIRMA '!O46</f>
        <v>35752.81</v>
      </c>
      <c r="S39" s="62"/>
      <c r="T39" s="62"/>
      <c r="U39" s="62"/>
      <c r="V39" s="62"/>
      <c r="W39" s="62"/>
      <c r="X39" s="62"/>
      <c r="Y39" s="62"/>
      <c r="Z39" s="63"/>
      <c r="AA39" s="64"/>
      <c r="AB39" s="94"/>
      <c r="AC39" s="65"/>
    </row>
    <row r="40" spans="1:31" s="2" customFormat="1" ht="9.75" customHeight="1">
      <c r="A40" s="87"/>
      <c r="B40" s="44"/>
      <c r="C40" s="123"/>
      <c r="D40" s="123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124"/>
      <c r="AA40" s="3"/>
      <c r="AB40" s="42"/>
    </row>
    <row r="41" spans="1:31" s="2" customFormat="1" ht="15" customHeight="1">
      <c r="A41" s="69"/>
      <c r="B41" s="137" t="s">
        <v>75</v>
      </c>
      <c r="C41" s="1"/>
      <c r="D41" s="1"/>
      <c r="E41" s="1"/>
      <c r="F41" s="1"/>
      <c r="G41" s="66" t="s">
        <v>76</v>
      </c>
      <c r="H41" s="1"/>
      <c r="I41" s="64"/>
      <c r="L41" s="66"/>
      <c r="M41" s="66"/>
      <c r="N41" s="66"/>
      <c r="O41" s="66"/>
      <c r="P41" s="49"/>
      <c r="Q41" s="50"/>
      <c r="R41" s="1"/>
      <c r="S41" s="1"/>
      <c r="T41" s="1"/>
      <c r="U41" s="1"/>
      <c r="V41" s="1" t="s">
        <v>152</v>
      </c>
      <c r="W41" s="1"/>
      <c r="X41" s="1"/>
      <c r="Y41" s="1"/>
      <c r="Z41" s="1"/>
      <c r="AB41" s="42"/>
      <c r="AE41" s="1"/>
    </row>
    <row r="42" spans="1:31" s="2" customFormat="1" hidden="1">
      <c r="A42" s="69"/>
      <c r="B42" s="1"/>
      <c r="C42" s="1"/>
      <c r="D42" s="1"/>
      <c r="E42" s="1"/>
      <c r="F42" s="1"/>
      <c r="G42" s="1"/>
      <c r="H42" s="1"/>
      <c r="K42" s="1"/>
      <c r="L42" s="1"/>
      <c r="M42" s="1"/>
      <c r="N42" s="1"/>
      <c r="O42" s="51"/>
      <c r="P42" s="51"/>
      <c r="Q42" s="51"/>
      <c r="R42" s="1"/>
      <c r="S42" s="1"/>
      <c r="T42" s="1"/>
      <c r="U42" s="1"/>
      <c r="V42" s="1"/>
      <c r="W42" s="1"/>
      <c r="X42" s="1"/>
      <c r="Y42" s="1"/>
      <c r="Z42" s="1"/>
      <c r="AB42" s="42"/>
      <c r="AE42" s="1"/>
    </row>
    <row r="43" spans="1:31" s="2" customFormat="1" hidden="1">
      <c r="A43" s="69"/>
      <c r="B43" s="1"/>
      <c r="C43" s="1"/>
      <c r="D43" s="1"/>
      <c r="E43" s="1"/>
      <c r="F43" s="1"/>
      <c r="G43" s="1"/>
      <c r="H43" s="1"/>
      <c r="K43" s="1"/>
      <c r="L43" s="1"/>
      <c r="M43" s="1"/>
      <c r="N43" s="1"/>
      <c r="O43" s="51"/>
      <c r="P43" s="51"/>
      <c r="Q43" s="51"/>
      <c r="R43" s="1"/>
      <c r="S43" s="1"/>
      <c r="T43" s="1"/>
      <c r="U43" s="1"/>
      <c r="V43" s="1"/>
      <c r="W43" s="1"/>
      <c r="X43" s="1"/>
      <c r="Y43" s="1"/>
      <c r="Z43" s="1"/>
      <c r="AB43" s="42"/>
      <c r="AE43" s="1"/>
    </row>
    <row r="44" spans="1:31" s="2" customFormat="1" hidden="1">
      <c r="A44" s="69"/>
      <c r="B44" s="1"/>
      <c r="C44" s="1"/>
      <c r="D44" s="1"/>
      <c r="E44" s="1"/>
      <c r="F44" s="1"/>
      <c r="G44" s="1"/>
      <c r="H44" s="1"/>
      <c r="K44" s="1"/>
      <c r="L44" s="1"/>
      <c r="M44" s="1"/>
      <c r="N44" s="1"/>
      <c r="O44" s="52"/>
      <c r="P44" s="52"/>
      <c r="Q44" s="52"/>
      <c r="R44" s="1"/>
      <c r="S44" s="3"/>
      <c r="T44" s="1"/>
      <c r="U44" s="1"/>
      <c r="V44" s="1"/>
      <c r="W44" s="1"/>
      <c r="X44" s="1"/>
      <c r="Y44" s="1"/>
      <c r="Z44" s="1"/>
      <c r="AE44" s="1"/>
    </row>
    <row r="45" spans="1:31" s="2" customFormat="1">
      <c r="A45" s="69"/>
      <c r="B45" s="137" t="s">
        <v>78</v>
      </c>
      <c r="C45" s="1"/>
      <c r="D45" s="1"/>
      <c r="E45" s="1"/>
      <c r="F45" s="53" t="s">
        <v>79</v>
      </c>
      <c r="G45" s="1"/>
      <c r="H45" s="1"/>
      <c r="I45" s="42"/>
      <c r="L45" s="53"/>
      <c r="M45" s="53"/>
      <c r="N45" s="53"/>
      <c r="O45" s="53" t="s">
        <v>134</v>
      </c>
      <c r="P45" s="52"/>
      <c r="Q45" s="49"/>
      <c r="R45" s="1"/>
      <c r="S45" s="1"/>
      <c r="T45" s="1"/>
      <c r="V45" s="53"/>
      <c r="X45" s="53"/>
      <c r="Y45" s="53"/>
      <c r="Z45" s="1"/>
      <c r="AE45" s="1"/>
    </row>
    <row r="46" spans="1:31" ht="12.75" customHeight="1">
      <c r="B46" s="54" t="s">
        <v>81</v>
      </c>
      <c r="F46" s="53" t="s">
        <v>82</v>
      </c>
      <c r="L46" s="53"/>
      <c r="M46" s="53"/>
      <c r="N46" s="53"/>
      <c r="O46" s="53"/>
      <c r="P46" s="53"/>
      <c r="Q46" s="52"/>
      <c r="V46" s="53" t="s">
        <v>83</v>
      </c>
      <c r="W46" s="53"/>
      <c r="Y46" s="53"/>
      <c r="AA46" s="3"/>
    </row>
    <row r="47" spans="1:31">
      <c r="AA47" s="3"/>
    </row>
    <row r="48" spans="1:31">
      <c r="R48" s="3"/>
      <c r="AA48" s="3"/>
    </row>
    <row r="49" spans="1:27">
      <c r="AA49" s="3"/>
    </row>
    <row r="50" spans="1:27">
      <c r="AA50" s="3"/>
    </row>
    <row r="51" spans="1:27">
      <c r="O51" s="6"/>
      <c r="AA51" s="3"/>
    </row>
    <row r="52" spans="1:27">
      <c r="AA52" s="3"/>
    </row>
    <row r="53" spans="1:27">
      <c r="AA53" s="3"/>
    </row>
    <row r="54" spans="1:27" s="56" customFormat="1">
      <c r="A54" s="6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7" s="56" customFormat="1">
      <c r="A55" s="6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7" s="57" customFormat="1">
      <c r="A56" s="6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7" s="57" customFormat="1">
      <c r="A57" s="6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7" s="57" customFormat="1">
      <c r="A58" s="6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7" s="57" customFormat="1">
      <c r="A59" s="6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7" s="57" customFormat="1">
      <c r="A60" s="6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7" s="57" customFormat="1">
      <c r="A61" s="6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6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7" s="57" customFormat="1">
      <c r="A62" s="6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7" s="57" customFormat="1">
      <c r="A63" s="6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7" s="57" customFormat="1">
      <c r="A64" s="6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57" customFormat="1">
      <c r="A65" s="6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7" spans="1:26">
      <c r="S67" s="3"/>
    </row>
  </sheetData>
  <mergeCells count="28">
    <mergeCell ref="W8:Y8"/>
    <mergeCell ref="A8:A9"/>
    <mergeCell ref="B8:B9"/>
    <mergeCell ref="C8:I8"/>
    <mergeCell ref="J8:O8"/>
    <mergeCell ref="P8:V8"/>
    <mergeCell ref="Z20:AA20"/>
    <mergeCell ref="Z9:AA9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Z18:AA18"/>
    <mergeCell ref="Z19:AA19"/>
    <mergeCell ref="Z27:AA27"/>
    <mergeCell ref="Z28:AA28"/>
    <mergeCell ref="Z29:AA29"/>
    <mergeCell ref="Z30:AA30"/>
    <mergeCell ref="Z21:AA21"/>
    <mergeCell ref="Z22:AA22"/>
    <mergeCell ref="Z23:AA23"/>
    <mergeCell ref="Z24:AA24"/>
    <mergeCell ref="Z25:AA25"/>
    <mergeCell ref="Z26:AA26"/>
  </mergeCells>
  <pageMargins left="0.8" right="0.2" top="0.47244094488188981" bottom="0.51181102362204722" header="0.31496062992125984" footer="0.31496062992125984"/>
  <pageSetup paperSize="5" scale="5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E61"/>
  <sheetViews>
    <sheetView topLeftCell="A3" zoomScale="80" zoomScaleNormal="80" zoomScaleSheetLayoutView="100" workbookViewId="0">
      <pane xSplit="2" ySplit="7" topLeftCell="C31" activePane="bottomRight" state="frozen"/>
      <selection activeCell="A3" sqref="A3"/>
      <selection pane="topRight" activeCell="C3" sqref="C3"/>
      <selection pane="bottomLeft" activeCell="A10" sqref="A10"/>
      <selection pane="bottomRight" activeCell="H49" sqref="H49"/>
    </sheetView>
  </sheetViews>
  <sheetFormatPr baseColWidth="10" defaultRowHeight="12.75"/>
  <cols>
    <col min="1" max="1" width="12.7109375" style="69" customWidth="1"/>
    <col min="2" max="2" width="31.5703125" style="1" customWidth="1"/>
    <col min="3" max="4" width="7.140625" style="1" customWidth="1"/>
    <col min="5" max="5" width="10.42578125" style="1" customWidth="1"/>
    <col min="6" max="6" width="11" style="1" customWidth="1"/>
    <col min="7" max="7" width="13.28515625" style="1" customWidth="1"/>
    <col min="8" max="8" width="10.85546875" style="1" customWidth="1"/>
    <col min="9" max="9" width="13" style="1" customWidth="1"/>
    <col min="10" max="10" width="10.5703125" style="1" customWidth="1"/>
    <col min="11" max="11" width="9.85546875" style="1" customWidth="1"/>
    <col min="12" max="12" width="10.140625" style="1" customWidth="1"/>
    <col min="13" max="13" width="8.42578125" style="1" customWidth="1"/>
    <col min="14" max="14" width="4.85546875" style="1" hidden="1" customWidth="1"/>
    <col min="15" max="15" width="12.42578125" style="1" customWidth="1"/>
    <col min="16" max="16" width="11" style="1" hidden="1" customWidth="1"/>
    <col min="17" max="17" width="10.85546875" style="1" hidden="1" customWidth="1"/>
    <col min="18" max="18" width="11.140625" style="1" hidden="1" customWidth="1"/>
    <col min="19" max="19" width="8.5703125" style="1" hidden="1" customWidth="1"/>
    <col min="20" max="20" width="5" style="1" hidden="1" customWidth="1"/>
    <col min="21" max="21" width="5.28515625" style="1" hidden="1" customWidth="1"/>
    <col min="22" max="22" width="11.140625" style="1" customWidth="1"/>
    <col min="23" max="23" width="8.28515625" style="1" customWidth="1"/>
    <col min="24" max="24" width="12.42578125" style="1" customWidth="1"/>
    <col min="25" max="25" width="10.5703125" style="1" hidden="1" customWidth="1"/>
    <col min="26" max="26" width="31" style="1" hidden="1" customWidth="1"/>
    <col min="27" max="27" width="12.28515625" style="1" hidden="1" customWidth="1"/>
    <col min="28" max="16384" width="11.42578125" style="1"/>
  </cols>
  <sheetData>
    <row r="2" spans="1:27">
      <c r="B2" s="2" t="s">
        <v>0</v>
      </c>
    </row>
    <row r="3" spans="1:27">
      <c r="B3" s="2"/>
      <c r="E3" s="91"/>
      <c r="F3" s="91"/>
      <c r="G3" s="91"/>
      <c r="H3" s="91"/>
      <c r="I3" s="91"/>
      <c r="J3" s="91"/>
      <c r="K3" s="91"/>
      <c r="L3" s="91"/>
      <c r="M3" s="91"/>
    </row>
    <row r="4" spans="1:27">
      <c r="B4" s="2"/>
      <c r="C4" s="2"/>
      <c r="D4" s="2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2"/>
    </row>
    <row r="5" spans="1:27">
      <c r="C5" s="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3"/>
      <c r="P5" s="142"/>
      <c r="Q5" s="142"/>
      <c r="R5" s="142"/>
      <c r="S5" s="142"/>
      <c r="T5" s="142"/>
      <c r="U5" s="142"/>
      <c r="V5" s="142"/>
      <c r="W5" s="142"/>
      <c r="X5" s="142"/>
    </row>
    <row r="6" spans="1:27">
      <c r="B6" s="2"/>
      <c r="C6" s="2"/>
      <c r="D6" s="142"/>
      <c r="E6" s="144">
        <v>19.28</v>
      </c>
      <c r="F6" s="144"/>
      <c r="G6" s="144"/>
      <c r="H6" s="144"/>
      <c r="I6" s="144">
        <v>10.95</v>
      </c>
      <c r="J6" s="144"/>
      <c r="K6" s="142"/>
      <c r="L6" s="142"/>
      <c r="M6" s="142"/>
      <c r="N6" s="145">
        <v>0.105</v>
      </c>
      <c r="O6" s="142"/>
      <c r="P6" s="142"/>
      <c r="Q6" s="142"/>
      <c r="R6" s="142"/>
      <c r="S6" s="142"/>
      <c r="T6" s="146">
        <v>0.01</v>
      </c>
      <c r="U6" s="142"/>
      <c r="V6" s="142"/>
      <c r="W6" s="142"/>
      <c r="X6" s="142"/>
    </row>
    <row r="7" spans="1:27" ht="13.5" thickBot="1">
      <c r="A7" s="85" t="s">
        <v>0</v>
      </c>
      <c r="C7" s="2"/>
      <c r="D7" s="142"/>
      <c r="E7" s="144">
        <v>22.3</v>
      </c>
      <c r="F7" s="144"/>
      <c r="G7" s="144"/>
      <c r="H7" s="144"/>
      <c r="I7" s="147">
        <v>0.02</v>
      </c>
      <c r="J7" s="148">
        <v>0.04</v>
      </c>
      <c r="K7" s="149">
        <v>0.06</v>
      </c>
      <c r="L7" s="6" t="s">
        <v>153</v>
      </c>
      <c r="M7" s="91"/>
      <c r="N7" s="91"/>
      <c r="P7" s="91"/>
      <c r="Q7" s="91"/>
      <c r="R7" s="91"/>
      <c r="S7" s="91"/>
      <c r="T7" s="91"/>
      <c r="U7" s="91"/>
      <c r="V7" s="91"/>
      <c r="W7" s="2"/>
    </row>
    <row r="8" spans="1:27" ht="15.75" customHeight="1" thickBot="1">
      <c r="A8" s="164" t="s">
        <v>2</v>
      </c>
      <c r="B8" s="166" t="s">
        <v>3</v>
      </c>
      <c r="C8" s="168" t="s">
        <v>4</v>
      </c>
      <c r="D8" s="169"/>
      <c r="E8" s="169"/>
      <c r="F8" s="169"/>
      <c r="G8" s="169"/>
      <c r="H8" s="169"/>
      <c r="I8" s="170"/>
      <c r="J8" s="171" t="s">
        <v>5</v>
      </c>
      <c r="K8" s="172"/>
      <c r="L8" s="172"/>
      <c r="M8" s="173"/>
      <c r="N8" s="173"/>
      <c r="O8" s="174"/>
      <c r="P8" s="175" t="s">
        <v>6</v>
      </c>
      <c r="Q8" s="176"/>
      <c r="R8" s="176"/>
      <c r="S8" s="176"/>
      <c r="T8" s="176"/>
      <c r="U8" s="176"/>
      <c r="V8" s="176"/>
      <c r="W8" s="177" t="s">
        <v>7</v>
      </c>
      <c r="X8" s="177"/>
      <c r="Y8" s="177"/>
    </row>
    <row r="9" spans="1:27" s="20" customFormat="1" ht="72">
      <c r="A9" s="165"/>
      <c r="B9" s="167"/>
      <c r="C9" s="9" t="s">
        <v>87</v>
      </c>
      <c r="D9" s="9" t="s">
        <v>88</v>
      </c>
      <c r="E9" s="9" t="s">
        <v>89</v>
      </c>
      <c r="F9" s="9" t="s">
        <v>90</v>
      </c>
      <c r="G9" s="9" t="s">
        <v>91</v>
      </c>
      <c r="H9" s="9" t="s">
        <v>92</v>
      </c>
      <c r="I9" s="67" t="s">
        <v>10</v>
      </c>
      <c r="J9" s="11" t="s">
        <v>11</v>
      </c>
      <c r="K9" s="11" t="s">
        <v>12</v>
      </c>
      <c r="L9" s="12" t="s">
        <v>13</v>
      </c>
      <c r="M9" s="13" t="s">
        <v>14</v>
      </c>
      <c r="N9" s="134" t="s">
        <v>15</v>
      </c>
      <c r="O9" s="14" t="s">
        <v>16</v>
      </c>
      <c r="P9" s="15" t="s">
        <v>17</v>
      </c>
      <c r="Q9" s="16" t="s">
        <v>18</v>
      </c>
      <c r="R9" s="16" t="s">
        <v>19</v>
      </c>
      <c r="S9" s="16" t="s">
        <v>20</v>
      </c>
      <c r="T9" s="16" t="s">
        <v>21</v>
      </c>
      <c r="U9" s="16" t="s">
        <v>22</v>
      </c>
      <c r="V9" s="16" t="s">
        <v>23</v>
      </c>
      <c r="W9" s="17" t="s">
        <v>24</v>
      </c>
      <c r="X9" s="18" t="s">
        <v>25</v>
      </c>
      <c r="Y9" s="19" t="s">
        <v>26</v>
      </c>
      <c r="Z9" s="178" t="s">
        <v>27</v>
      </c>
      <c r="AA9" s="178"/>
    </row>
    <row r="10" spans="1:27" s="35" customFormat="1" ht="45" customHeight="1">
      <c r="A10" s="21" t="s">
        <v>32</v>
      </c>
      <c r="B10" s="33" t="s">
        <v>99</v>
      </c>
      <c r="C10" s="32">
        <v>10</v>
      </c>
      <c r="D10" s="32">
        <v>0</v>
      </c>
      <c r="E10" s="24">
        <v>305.5</v>
      </c>
      <c r="F10" s="24">
        <v>348.3</v>
      </c>
      <c r="G10" s="24">
        <f t="shared" ref="G10:H31" si="0">C10*E10</f>
        <v>3055</v>
      </c>
      <c r="H10" s="24">
        <f t="shared" si="0"/>
        <v>0</v>
      </c>
      <c r="I10" s="25">
        <f t="shared" ref="I10:I31" si="1">G10+H10</f>
        <v>3055</v>
      </c>
      <c r="J10" s="25">
        <f t="shared" ref="J10:J31" si="2">(C10+D10)*19.28</f>
        <v>192.8</v>
      </c>
      <c r="K10" s="25">
        <f>(C10+D10)*I6</f>
        <v>109.5</v>
      </c>
      <c r="L10" s="25"/>
      <c r="M10" s="25">
        <f>I10*J7</f>
        <v>122.2</v>
      </c>
      <c r="N10" s="25">
        <v>0</v>
      </c>
      <c r="O10" s="25">
        <f t="shared" ref="O10:O31" si="3">SUM(I10:N10)</f>
        <v>3479.5</v>
      </c>
      <c r="P10" s="27">
        <f>IF('[15]Calculo ISR '!$BC$34&lt;0,0,'[15]Calculo ISR '!$BC$34)</f>
        <v>128.40987199999998</v>
      </c>
      <c r="Q10" s="28">
        <f>I10*N6</f>
        <v>320.77499999999998</v>
      </c>
      <c r="R10" s="28">
        <v>0</v>
      </c>
      <c r="S10" s="28">
        <f>I10*T6</f>
        <v>30.55</v>
      </c>
      <c r="T10" s="28">
        <f>'[15]HT-DOCENTE'!R11</f>
        <v>0</v>
      </c>
      <c r="U10" s="28"/>
      <c r="V10" s="25">
        <f>P10+Q10+R10+S10+U10+T10</f>
        <v>479.73487199999994</v>
      </c>
      <c r="W10" s="28">
        <f>IF('[15]Calculo ISR '!$BC$34&gt;0,0,('[15]Calculo ISR '!$BC$34)*-1)</f>
        <v>0</v>
      </c>
      <c r="X10" s="25">
        <f t="shared" ref="X10:X23" si="4">O10-V10-Y10+W10</f>
        <v>2806.9651279999998</v>
      </c>
      <c r="Y10" s="25">
        <f t="shared" ref="Y10:Y31" si="5">J10</f>
        <v>192.8</v>
      </c>
      <c r="Z10" s="161"/>
      <c r="AA10" s="162"/>
    </row>
    <row r="11" spans="1:27" s="35" customFormat="1" ht="45" customHeight="1">
      <c r="A11" s="21" t="s">
        <v>34</v>
      </c>
      <c r="B11" s="33" t="s">
        <v>35</v>
      </c>
      <c r="C11" s="32">
        <v>12</v>
      </c>
      <c r="D11" s="32">
        <v>7.5</v>
      </c>
      <c r="E11" s="24">
        <v>305.5</v>
      </c>
      <c r="F11" s="24">
        <v>348.3</v>
      </c>
      <c r="G11" s="24">
        <f t="shared" si="0"/>
        <v>3666</v>
      </c>
      <c r="H11" s="24">
        <f>D11*F11</f>
        <v>2612.25</v>
      </c>
      <c r="I11" s="25">
        <f t="shared" si="1"/>
        <v>6278.25</v>
      </c>
      <c r="J11" s="25">
        <f t="shared" si="2"/>
        <v>375.96000000000004</v>
      </c>
      <c r="K11" s="25">
        <f>(C11+D11)*I6</f>
        <v>213.52499999999998</v>
      </c>
      <c r="L11" s="25"/>
      <c r="M11" s="25">
        <f>I11*I7</f>
        <v>125.565</v>
      </c>
      <c r="N11" s="25">
        <f>'[15]HT-DOCENTE'!J12</f>
        <v>0</v>
      </c>
      <c r="O11" s="25">
        <f t="shared" si="3"/>
        <v>6993.2999999999993</v>
      </c>
      <c r="P11" s="27">
        <f>IF('[15]Calculo ISR '!$BD$34&lt;0,0,'[15]Calculo ISR '!$BD$34)</f>
        <v>866.27464799999996</v>
      </c>
      <c r="Q11" s="28">
        <f>I11*N6</f>
        <v>659.21624999999995</v>
      </c>
      <c r="R11" s="28">
        <f>'[15]HT-DOCENTE'!P12</f>
        <v>0</v>
      </c>
      <c r="S11" s="28">
        <f>I11*T6</f>
        <v>62.782499999999999</v>
      </c>
      <c r="T11" s="28">
        <f>'[15]HT-DOCENTE'!R12</f>
        <v>0</v>
      </c>
      <c r="U11" s="28"/>
      <c r="V11" s="25">
        <f t="shared" ref="V11:V22" si="6">P11+Q11+R11+S11+U11+T11</f>
        <v>1588.273398</v>
      </c>
      <c r="W11" s="28">
        <f>IF('[15]Calculo ISR '!$BD$34&gt;0,0,('[15]Calculo ISR '!$BD$34)*-1)</f>
        <v>0</v>
      </c>
      <c r="X11" s="25">
        <f t="shared" si="4"/>
        <v>5029.066601999999</v>
      </c>
      <c r="Y11" s="25">
        <f t="shared" si="5"/>
        <v>375.96000000000004</v>
      </c>
      <c r="Z11" s="161"/>
      <c r="AA11" s="162"/>
    </row>
    <row r="12" spans="1:27" s="35" customFormat="1" ht="45" customHeight="1">
      <c r="A12" s="21" t="s">
        <v>36</v>
      </c>
      <c r="B12" s="33" t="s">
        <v>37</v>
      </c>
      <c r="C12" s="32">
        <v>6.5</v>
      </c>
      <c r="D12" s="32">
        <v>7.5</v>
      </c>
      <c r="E12" s="24">
        <v>305.5</v>
      </c>
      <c r="F12" s="24">
        <v>348.3</v>
      </c>
      <c r="G12" s="24">
        <f t="shared" si="0"/>
        <v>1985.75</v>
      </c>
      <c r="H12" s="24">
        <f t="shared" si="0"/>
        <v>2612.25</v>
      </c>
      <c r="I12" s="25">
        <f t="shared" si="1"/>
        <v>4598</v>
      </c>
      <c r="J12" s="25">
        <f t="shared" si="2"/>
        <v>269.92</v>
      </c>
      <c r="K12" s="25">
        <f>(C12+D12)*I6</f>
        <v>153.29999999999998</v>
      </c>
      <c r="L12" s="25">
        <f>(C12+D12)*E7</f>
        <v>312.2</v>
      </c>
      <c r="M12" s="25"/>
      <c r="N12" s="25">
        <f>'[15]HT-DOCENTE'!J13</f>
        <v>0</v>
      </c>
      <c r="O12" s="25">
        <f t="shared" si="3"/>
        <v>5333.42</v>
      </c>
      <c r="P12" s="27">
        <f>IF('[15]Calculo ISR '!$BE$34&lt;0,0,'[15]Calculo ISR '!$BE$34)</f>
        <v>534.8846880000001</v>
      </c>
      <c r="Q12" s="28">
        <f>I12*N6</f>
        <v>482.78999999999996</v>
      </c>
      <c r="R12" s="28">
        <v>1431</v>
      </c>
      <c r="S12" s="28">
        <f>I12*T6</f>
        <v>45.980000000000004</v>
      </c>
      <c r="T12" s="28">
        <f>'[15]HT-DOCENTE'!R13</f>
        <v>0</v>
      </c>
      <c r="U12" s="28"/>
      <c r="V12" s="25">
        <f t="shared" si="6"/>
        <v>2494.6546880000001</v>
      </c>
      <c r="W12" s="28">
        <f>IF('[15]Calculo ISR '!$BE$34&gt;0,0,('[15]Calculo ISR '!$BE$34)*-1)</f>
        <v>0</v>
      </c>
      <c r="X12" s="25">
        <f t="shared" si="4"/>
        <v>2568.8453119999999</v>
      </c>
      <c r="Y12" s="25">
        <f t="shared" si="5"/>
        <v>269.92</v>
      </c>
      <c r="Z12" s="161"/>
      <c r="AA12" s="162"/>
    </row>
    <row r="13" spans="1:27" s="35" customFormat="1" ht="45" customHeight="1">
      <c r="A13" s="21" t="s">
        <v>38</v>
      </c>
      <c r="B13" s="33" t="s">
        <v>39</v>
      </c>
      <c r="C13" s="32">
        <v>11.5</v>
      </c>
      <c r="D13" s="32">
        <v>7.5</v>
      </c>
      <c r="E13" s="24">
        <v>305.5</v>
      </c>
      <c r="F13" s="24">
        <v>348.3</v>
      </c>
      <c r="G13" s="24">
        <f t="shared" si="0"/>
        <v>3513.25</v>
      </c>
      <c r="H13" s="24">
        <f t="shared" si="0"/>
        <v>2612.25</v>
      </c>
      <c r="I13" s="25">
        <f t="shared" si="1"/>
        <v>6125.5</v>
      </c>
      <c r="J13" s="25">
        <f t="shared" si="2"/>
        <v>366.32000000000005</v>
      </c>
      <c r="K13" s="25">
        <f>(C13+D13)*I6</f>
        <v>208.04999999999998</v>
      </c>
      <c r="L13" s="25">
        <f>(C13+D13)*E7</f>
        <v>423.7</v>
      </c>
      <c r="M13" s="25"/>
      <c r="N13" s="25">
        <f>'[15]HT-DOCENTE'!J14</f>
        <v>0</v>
      </c>
      <c r="O13" s="25">
        <f t="shared" si="3"/>
        <v>7123.57</v>
      </c>
      <c r="P13" s="27">
        <f>IF('[15]Calculo ISR '!$BF$34&lt;0,0,'[15]Calculo ISR '!$BF$34)</f>
        <v>896.15942400000017</v>
      </c>
      <c r="Q13" s="28">
        <f>I13*N6</f>
        <v>643.17750000000001</v>
      </c>
      <c r="R13" s="28">
        <v>1655</v>
      </c>
      <c r="S13" s="28">
        <f>I13*T6</f>
        <v>61.255000000000003</v>
      </c>
      <c r="T13" s="28">
        <f>'[15]HT-DOCENTE'!R14</f>
        <v>0</v>
      </c>
      <c r="U13" s="28"/>
      <c r="V13" s="25">
        <f t="shared" si="6"/>
        <v>3255.5919240000003</v>
      </c>
      <c r="W13" s="28">
        <f>IF('[15]Calculo ISR '!$BF$34&gt;0,0,('[15]Calculo ISR '!$BF$34)*-1)</f>
        <v>0</v>
      </c>
      <c r="X13" s="25">
        <f t="shared" si="4"/>
        <v>3501.6580759999993</v>
      </c>
      <c r="Y13" s="25">
        <f t="shared" si="5"/>
        <v>366.32000000000005</v>
      </c>
      <c r="Z13" s="161"/>
      <c r="AA13" s="162"/>
    </row>
    <row r="14" spans="1:27" s="35" customFormat="1" ht="45" customHeight="1">
      <c r="A14" s="21" t="s">
        <v>40</v>
      </c>
      <c r="B14" s="33" t="s">
        <v>41</v>
      </c>
      <c r="C14" s="32">
        <v>18.5</v>
      </c>
      <c r="D14" s="32">
        <v>0</v>
      </c>
      <c r="E14" s="24">
        <v>305.5</v>
      </c>
      <c r="F14" s="24">
        <v>348.3</v>
      </c>
      <c r="G14" s="24">
        <f t="shared" si="0"/>
        <v>5651.75</v>
      </c>
      <c r="H14" s="24">
        <f t="shared" si="0"/>
        <v>0</v>
      </c>
      <c r="I14" s="25">
        <f t="shared" si="1"/>
        <v>5651.75</v>
      </c>
      <c r="J14" s="25">
        <f t="shared" si="2"/>
        <v>356.68</v>
      </c>
      <c r="K14" s="25">
        <f>(C14+D14)*I6</f>
        <v>202.57499999999999</v>
      </c>
      <c r="L14" s="25">
        <f>(C14+D14)*E7</f>
        <v>412.55</v>
      </c>
      <c r="M14" s="25"/>
      <c r="N14" s="25">
        <f>'[15]HT-DOCENTE'!J15</f>
        <v>0</v>
      </c>
      <c r="O14" s="25">
        <f t="shared" si="3"/>
        <v>6623.5550000000003</v>
      </c>
      <c r="P14" s="27">
        <f>IF('[15]Calculo ISR '!$BG$34&lt;0,0,'[15]Calculo ISR '!$BG$34)</f>
        <v>791.41532400000006</v>
      </c>
      <c r="Q14" s="28">
        <f>I14*N6</f>
        <v>593.43375000000003</v>
      </c>
      <c r="R14" s="28">
        <f>'[15]HT-DOCENTE'!P15</f>
        <v>0</v>
      </c>
      <c r="S14" s="28">
        <f>I14*T6</f>
        <v>56.517499999999998</v>
      </c>
      <c r="T14" s="28">
        <v>0</v>
      </c>
      <c r="U14" s="28"/>
      <c r="V14" s="25">
        <f t="shared" si="6"/>
        <v>1441.3665740000001</v>
      </c>
      <c r="W14" s="28">
        <f>IF('[15]Calculo ISR '!$BG$34&gt;0,0,('[15]Calculo ISR '!$BG$34)*-1)</f>
        <v>0</v>
      </c>
      <c r="X14" s="25">
        <f t="shared" si="4"/>
        <v>4825.5084260000003</v>
      </c>
      <c r="Y14" s="25">
        <f t="shared" si="5"/>
        <v>356.68</v>
      </c>
      <c r="Z14" s="161"/>
      <c r="AA14" s="162"/>
    </row>
    <row r="15" spans="1:27" s="35" customFormat="1" ht="45" customHeight="1">
      <c r="A15" s="21" t="s">
        <v>42</v>
      </c>
      <c r="B15" s="33" t="s">
        <v>43</v>
      </c>
      <c r="C15" s="32">
        <v>2</v>
      </c>
      <c r="D15" s="32">
        <v>0</v>
      </c>
      <c r="E15" s="24">
        <v>305.5</v>
      </c>
      <c r="F15" s="24">
        <v>348.3</v>
      </c>
      <c r="G15" s="24">
        <f t="shared" si="0"/>
        <v>611</v>
      </c>
      <c r="H15" s="24">
        <f t="shared" si="0"/>
        <v>0</v>
      </c>
      <c r="I15" s="25">
        <f t="shared" si="1"/>
        <v>611</v>
      </c>
      <c r="J15" s="25">
        <f t="shared" si="2"/>
        <v>38.56</v>
      </c>
      <c r="K15" s="25">
        <f>(C15+D15)*I6</f>
        <v>21.9</v>
      </c>
      <c r="L15" s="25">
        <f>(C15+D15)*E7*2</f>
        <v>89.2</v>
      </c>
      <c r="M15" s="25"/>
      <c r="N15" s="25">
        <f>'[15]HT-DOCENTE'!J16</f>
        <v>0</v>
      </c>
      <c r="O15" s="25">
        <f t="shared" si="3"/>
        <v>760.66</v>
      </c>
      <c r="P15" s="27">
        <f>IF('[15]Calculo ISR '!$BH$34&lt;0,0,'[15]Calculo ISR '!$BH$34)</f>
        <v>0</v>
      </c>
      <c r="Q15" s="28">
        <f>I15*N6</f>
        <v>64.155000000000001</v>
      </c>
      <c r="R15" s="28">
        <v>0</v>
      </c>
      <c r="S15" s="28">
        <f>I15*T6</f>
        <v>6.11</v>
      </c>
      <c r="T15" s="28">
        <f>'[15]HT-DOCENTE'!R16</f>
        <v>0</v>
      </c>
      <c r="U15" s="28"/>
      <c r="V15" s="25">
        <f t="shared" si="6"/>
        <v>70.265000000000001</v>
      </c>
      <c r="W15" s="28">
        <f>IF('[15]Calculo ISR '!$BH$34&gt;0,0,('[15]Calculo ISR '!$BH$34)*-1)</f>
        <v>165.65343999999999</v>
      </c>
      <c r="X15" s="25">
        <f t="shared" si="4"/>
        <v>817.48844000000008</v>
      </c>
      <c r="Y15" s="25">
        <f t="shared" si="5"/>
        <v>38.56</v>
      </c>
      <c r="Z15" s="161"/>
      <c r="AA15" s="162"/>
    </row>
    <row r="16" spans="1:27" s="35" customFormat="1" ht="45" customHeight="1">
      <c r="A16" s="21" t="s">
        <v>44</v>
      </c>
      <c r="B16" s="33" t="s">
        <v>45</v>
      </c>
      <c r="C16" s="34">
        <v>9.5</v>
      </c>
      <c r="D16" s="34">
        <v>7.5</v>
      </c>
      <c r="E16" s="24">
        <v>305.5</v>
      </c>
      <c r="F16" s="24">
        <v>348.3</v>
      </c>
      <c r="G16" s="24">
        <f t="shared" si="0"/>
        <v>2902.25</v>
      </c>
      <c r="H16" s="24">
        <f t="shared" si="0"/>
        <v>2612.25</v>
      </c>
      <c r="I16" s="25">
        <f t="shared" si="1"/>
        <v>5514.5</v>
      </c>
      <c r="J16" s="25">
        <f t="shared" si="2"/>
        <v>327.76</v>
      </c>
      <c r="K16" s="25">
        <f>(C16+D16)*I6</f>
        <v>186.14999999999998</v>
      </c>
      <c r="L16" s="25"/>
      <c r="M16" s="25"/>
      <c r="N16" s="25">
        <f>'[15]HT-DOCENTE'!J17</f>
        <v>0</v>
      </c>
      <c r="O16" s="25">
        <f t="shared" si="3"/>
        <v>6028.41</v>
      </c>
      <c r="P16" s="27">
        <f>IF('[15]Calculo ISR '!$BI$34&lt;0,0,'[15]Calculo ISR '!$BI$34)</f>
        <v>670.46966399999997</v>
      </c>
      <c r="Q16" s="28">
        <f>I16*N6</f>
        <v>579.02249999999992</v>
      </c>
      <c r="R16" s="28">
        <f>'[15]HT-DOCENTE'!P17</f>
        <v>0</v>
      </c>
      <c r="S16" s="28">
        <f>I16*T6</f>
        <v>55.145000000000003</v>
      </c>
      <c r="T16" s="28">
        <f>'[15]HT-DOCENTE'!R17</f>
        <v>0</v>
      </c>
      <c r="U16" s="28"/>
      <c r="V16" s="25">
        <f t="shared" si="6"/>
        <v>1304.6371639999998</v>
      </c>
      <c r="W16" s="28">
        <f>IF('[15]Calculo ISR '!$BI$34&gt;0,0,('[15]Calculo ISR '!$BI$34)*-1)</f>
        <v>0</v>
      </c>
      <c r="X16" s="25">
        <f t="shared" si="4"/>
        <v>4396.0128359999999</v>
      </c>
      <c r="Y16" s="25">
        <f t="shared" si="5"/>
        <v>327.76</v>
      </c>
      <c r="Z16" s="161"/>
      <c r="AA16" s="162"/>
    </row>
    <row r="17" spans="1:29" s="35" customFormat="1" ht="45" customHeight="1">
      <c r="A17" s="21" t="s">
        <v>48</v>
      </c>
      <c r="B17" s="33" t="s">
        <v>49</v>
      </c>
      <c r="C17" s="34">
        <v>18</v>
      </c>
      <c r="D17" s="34">
        <v>0</v>
      </c>
      <c r="E17" s="24">
        <v>305.5</v>
      </c>
      <c r="F17" s="24">
        <v>348.3</v>
      </c>
      <c r="G17" s="24">
        <f t="shared" si="0"/>
        <v>5499</v>
      </c>
      <c r="H17" s="24">
        <f t="shared" si="0"/>
        <v>0</v>
      </c>
      <c r="I17" s="25">
        <f t="shared" si="1"/>
        <v>5499</v>
      </c>
      <c r="J17" s="25">
        <f t="shared" si="2"/>
        <v>347.04</v>
      </c>
      <c r="K17" s="25">
        <f>(C17+D17)*I6</f>
        <v>197.1</v>
      </c>
      <c r="L17" s="25"/>
      <c r="M17" s="25"/>
      <c r="N17" s="25">
        <v>0</v>
      </c>
      <c r="O17" s="25">
        <f t="shared" si="3"/>
        <v>6043.14</v>
      </c>
      <c r="P17" s="27">
        <f>IF('[15]Calculo ISR '!$BK$34&lt;0,0,'[15]Calculo ISR '!$BK$34)</f>
        <v>669.49778400000014</v>
      </c>
      <c r="Q17" s="28">
        <f>I17*N6</f>
        <v>577.39499999999998</v>
      </c>
      <c r="R17" s="28">
        <f>'[15]HT-DOCENTE'!P19</f>
        <v>0</v>
      </c>
      <c r="S17" s="28">
        <f>I17*T6</f>
        <v>54.99</v>
      </c>
      <c r="T17" s="28">
        <f>'[15]HT-DOCENTE'!R19</f>
        <v>0</v>
      </c>
      <c r="U17" s="28"/>
      <c r="V17" s="25">
        <f t="shared" si="6"/>
        <v>1301.8827840000001</v>
      </c>
      <c r="W17" s="28">
        <f>IF('[15]Calculo ISR '!$BK$34&gt;0,0,('[15]Calculo ISR '!$BK$34)*-1)</f>
        <v>0</v>
      </c>
      <c r="X17" s="25">
        <f t="shared" si="4"/>
        <v>4394.217216</v>
      </c>
      <c r="Y17" s="25">
        <f t="shared" si="5"/>
        <v>347.04</v>
      </c>
      <c r="Z17" s="161"/>
      <c r="AA17" s="162"/>
    </row>
    <row r="18" spans="1:29" s="35" customFormat="1" ht="45" customHeight="1">
      <c r="A18" s="21" t="s">
        <v>50</v>
      </c>
      <c r="B18" s="33" t="s">
        <v>51</v>
      </c>
      <c r="C18" s="34">
        <v>10.5</v>
      </c>
      <c r="D18" s="34">
        <v>7.5</v>
      </c>
      <c r="E18" s="24">
        <v>305.5</v>
      </c>
      <c r="F18" s="24">
        <v>348.3</v>
      </c>
      <c r="G18" s="24">
        <f t="shared" si="0"/>
        <v>3207.75</v>
      </c>
      <c r="H18" s="24">
        <f t="shared" si="0"/>
        <v>2612.25</v>
      </c>
      <c r="I18" s="25">
        <f t="shared" si="1"/>
        <v>5820</v>
      </c>
      <c r="J18" s="25">
        <f t="shared" si="2"/>
        <v>347.04</v>
      </c>
      <c r="K18" s="25">
        <f>(C18+D18)*I6</f>
        <v>197.1</v>
      </c>
      <c r="L18" s="25"/>
      <c r="M18" s="25"/>
      <c r="N18" s="25">
        <v>0</v>
      </c>
      <c r="O18" s="25">
        <f t="shared" si="3"/>
        <v>6364.14</v>
      </c>
      <c r="P18" s="27">
        <f>IF('[15]Calculo ISR '!$BL$34&lt;0,0,'[15]Calculo ISR '!$BL$34)</f>
        <v>738.06338400000016</v>
      </c>
      <c r="Q18" s="28">
        <f>I18*N6</f>
        <v>611.1</v>
      </c>
      <c r="R18" s="28">
        <v>1570</v>
      </c>
      <c r="S18" s="28">
        <f>I18*T6</f>
        <v>58.2</v>
      </c>
      <c r="T18" s="28"/>
      <c r="U18" s="28"/>
      <c r="V18" s="25">
        <f t="shared" si="6"/>
        <v>2977.3633840000002</v>
      </c>
      <c r="W18" s="28">
        <f>IF('[15]Calculo ISR '!$BL$34&gt;0,0,('[15]Calculo ISR '!$BL$34)*-1)</f>
        <v>0</v>
      </c>
      <c r="X18" s="25">
        <f t="shared" si="4"/>
        <v>3039.7366160000001</v>
      </c>
      <c r="Y18" s="25">
        <f t="shared" si="5"/>
        <v>347.04</v>
      </c>
      <c r="Z18" s="161"/>
      <c r="AA18" s="162"/>
    </row>
    <row r="19" spans="1:29" s="35" customFormat="1" ht="45" customHeight="1">
      <c r="A19" s="21" t="s">
        <v>52</v>
      </c>
      <c r="B19" s="33" t="s">
        <v>53</v>
      </c>
      <c r="C19" s="34">
        <v>12</v>
      </c>
      <c r="D19" s="34">
        <v>7.5</v>
      </c>
      <c r="E19" s="24">
        <v>305.5</v>
      </c>
      <c r="F19" s="24">
        <v>348.3</v>
      </c>
      <c r="G19" s="24">
        <f t="shared" si="0"/>
        <v>3666</v>
      </c>
      <c r="H19" s="24">
        <f t="shared" si="0"/>
        <v>2612.25</v>
      </c>
      <c r="I19" s="25">
        <f t="shared" si="1"/>
        <v>6278.25</v>
      </c>
      <c r="J19" s="25">
        <f t="shared" si="2"/>
        <v>375.96000000000004</v>
      </c>
      <c r="K19" s="25">
        <f>(C19+D19)*I6</f>
        <v>213.52499999999998</v>
      </c>
      <c r="L19" s="25"/>
      <c r="M19" s="25"/>
      <c r="N19" s="25">
        <v>0</v>
      </c>
      <c r="O19" s="25">
        <f t="shared" si="3"/>
        <v>6867.7349999999997</v>
      </c>
      <c r="P19" s="27">
        <f>IF('[15]Calculo ISR '!$BM$34&lt;0,0,'[15]Calculo ISR '!$BM$34)</f>
        <v>839.45396400000004</v>
      </c>
      <c r="Q19" s="28">
        <f>I19*N6</f>
        <v>659.21624999999995</v>
      </c>
      <c r="R19" s="28">
        <f>'[15]HT-DOCENTE'!P21</f>
        <v>0</v>
      </c>
      <c r="S19" s="28">
        <f>I19*T6</f>
        <v>62.782499999999999</v>
      </c>
      <c r="T19" s="28"/>
      <c r="U19" s="28"/>
      <c r="V19" s="25">
        <f t="shared" si="6"/>
        <v>1561.452714</v>
      </c>
      <c r="W19" s="28">
        <f>IF('[15]Calculo ISR '!$BM$34&gt;0,0,('[15]Calculo ISR '!$BM$34)*-1)</f>
        <v>0</v>
      </c>
      <c r="X19" s="25">
        <f t="shared" si="4"/>
        <v>4930.3222859999996</v>
      </c>
      <c r="Y19" s="25">
        <f t="shared" si="5"/>
        <v>375.96000000000004</v>
      </c>
      <c r="Z19" s="161"/>
      <c r="AA19" s="162"/>
    </row>
    <row r="20" spans="1:29" s="35" customFormat="1" ht="45" customHeight="1">
      <c r="A20" s="21" t="s">
        <v>54</v>
      </c>
      <c r="B20" s="33" t="s">
        <v>55</v>
      </c>
      <c r="C20" s="34">
        <v>10</v>
      </c>
      <c r="D20" s="34">
        <v>7.5</v>
      </c>
      <c r="E20" s="24">
        <v>305.5</v>
      </c>
      <c r="F20" s="24">
        <v>348.3</v>
      </c>
      <c r="G20" s="24">
        <f t="shared" si="0"/>
        <v>3055</v>
      </c>
      <c r="H20" s="24">
        <f t="shared" si="0"/>
        <v>2612.25</v>
      </c>
      <c r="I20" s="25">
        <f t="shared" si="1"/>
        <v>5667.25</v>
      </c>
      <c r="J20" s="25">
        <f t="shared" si="2"/>
        <v>337.40000000000003</v>
      </c>
      <c r="K20" s="25">
        <f>(C20+D20)*I6</f>
        <v>191.625</v>
      </c>
      <c r="L20" s="25"/>
      <c r="M20" s="25"/>
      <c r="N20" s="25">
        <v>0</v>
      </c>
      <c r="O20" s="25">
        <f t="shared" si="3"/>
        <v>6196.2749999999996</v>
      </c>
      <c r="P20" s="27">
        <f>IF('[15]Calculo ISR '!$BN$34&lt;0,0,'[15]Calculo ISR '!$BN$34)</f>
        <v>704.26652400000012</v>
      </c>
      <c r="Q20" s="28">
        <f>I20*N6</f>
        <v>595.06124999999997</v>
      </c>
      <c r="R20" s="28">
        <v>1324</v>
      </c>
      <c r="S20" s="28">
        <f>I20*T6</f>
        <v>56.672499999999999</v>
      </c>
      <c r="T20" s="28">
        <f>'[15]HT-DOCENTE'!R22</f>
        <v>0</v>
      </c>
      <c r="U20" s="28"/>
      <c r="V20" s="25">
        <f t="shared" si="6"/>
        <v>2680.0002740000004</v>
      </c>
      <c r="W20" s="28">
        <f>IF('[15]Calculo ISR '!$BN$34&gt;0,0,('[15]Calculo ISR '!$BN$34)*-1)</f>
        <v>0</v>
      </c>
      <c r="X20" s="25">
        <f t="shared" si="4"/>
        <v>3178.8747259999991</v>
      </c>
      <c r="Y20" s="25">
        <f t="shared" si="5"/>
        <v>337.40000000000003</v>
      </c>
      <c r="Z20" s="161"/>
      <c r="AA20" s="162"/>
    </row>
    <row r="21" spans="1:29" s="35" customFormat="1" ht="45" customHeight="1">
      <c r="A21" s="21" t="s">
        <v>56</v>
      </c>
      <c r="B21" s="33" t="s">
        <v>57</v>
      </c>
      <c r="C21" s="34">
        <v>11.5</v>
      </c>
      <c r="D21" s="34">
        <v>7.5</v>
      </c>
      <c r="E21" s="24">
        <v>305.5</v>
      </c>
      <c r="F21" s="24">
        <v>348.3</v>
      </c>
      <c r="G21" s="24">
        <f t="shared" si="0"/>
        <v>3513.25</v>
      </c>
      <c r="H21" s="24">
        <f>D21*F21</f>
        <v>2612.25</v>
      </c>
      <c r="I21" s="25">
        <f t="shared" si="1"/>
        <v>6125.5</v>
      </c>
      <c r="J21" s="25">
        <f t="shared" si="2"/>
        <v>366.32000000000005</v>
      </c>
      <c r="K21" s="25">
        <f>(C21+D21)*I6</f>
        <v>208.04999999999998</v>
      </c>
      <c r="L21" s="25">
        <f>(C21+D21)*E7</f>
        <v>423.7</v>
      </c>
      <c r="M21" s="25"/>
      <c r="N21" s="25">
        <v>0</v>
      </c>
      <c r="O21" s="25">
        <f t="shared" si="3"/>
        <v>7123.57</v>
      </c>
      <c r="P21" s="27">
        <f>IF('[15]Calculo ISR '!$BO$34&lt;0,0,'[15]Calculo ISR '!$BO$34)</f>
        <v>896.15942400000017</v>
      </c>
      <c r="Q21" s="28">
        <f>I21*N6</f>
        <v>643.17750000000001</v>
      </c>
      <c r="R21" s="28">
        <f>'[15]HT-DOCENTE'!P23</f>
        <v>0</v>
      </c>
      <c r="S21" s="28">
        <f>I21*T6</f>
        <v>61.255000000000003</v>
      </c>
      <c r="T21" s="28">
        <f>'[15]HT-DOCENTE'!R23</f>
        <v>0</v>
      </c>
      <c r="U21" s="30"/>
      <c r="V21" s="25">
        <f t="shared" si="6"/>
        <v>1600.5919240000003</v>
      </c>
      <c r="W21" s="28">
        <f>IF('[15]Calculo ISR '!$BO$34&gt;0,0,('[15]Calculo ISR '!$BO$34)*-1)</f>
        <v>0</v>
      </c>
      <c r="X21" s="25">
        <f t="shared" si="4"/>
        <v>5156.6580759999997</v>
      </c>
      <c r="Y21" s="25">
        <f t="shared" si="5"/>
        <v>366.32000000000005</v>
      </c>
      <c r="Z21" s="161"/>
      <c r="AA21" s="162"/>
    </row>
    <row r="22" spans="1:29" s="35" customFormat="1" ht="45" customHeight="1">
      <c r="A22" s="21" t="s">
        <v>58</v>
      </c>
      <c r="B22" s="33" t="s">
        <v>59</v>
      </c>
      <c r="C22" s="34">
        <v>11</v>
      </c>
      <c r="D22" s="34">
        <v>0</v>
      </c>
      <c r="E22" s="24">
        <v>305.5</v>
      </c>
      <c r="F22" s="24">
        <v>348.3</v>
      </c>
      <c r="G22" s="24">
        <f t="shared" si="0"/>
        <v>3360.5</v>
      </c>
      <c r="H22" s="24">
        <f t="shared" si="0"/>
        <v>0</v>
      </c>
      <c r="I22" s="25">
        <f t="shared" si="1"/>
        <v>3360.5</v>
      </c>
      <c r="J22" s="25">
        <f t="shared" si="2"/>
        <v>212.08</v>
      </c>
      <c r="K22" s="25">
        <f>(C22+D22)*I6</f>
        <v>120.44999999999999</v>
      </c>
      <c r="L22" s="25"/>
      <c r="M22" s="25"/>
      <c r="N22" s="25"/>
      <c r="O22" s="25">
        <f t="shared" si="3"/>
        <v>3693.0299999999997</v>
      </c>
      <c r="P22" s="27">
        <f>IF('[15]Calculo ISR '!$BP$34&lt;0,0,'[15]Calculo ISR '!$BP$34)</f>
        <v>149.54427199999995</v>
      </c>
      <c r="Q22" s="28">
        <f>I22*N6</f>
        <v>352.85249999999996</v>
      </c>
      <c r="R22" s="28">
        <v>0</v>
      </c>
      <c r="S22" s="28">
        <f>I22*T6</f>
        <v>33.605000000000004</v>
      </c>
      <c r="T22" s="28"/>
      <c r="U22" s="28"/>
      <c r="V22" s="25">
        <f t="shared" si="6"/>
        <v>536.00177199999996</v>
      </c>
      <c r="W22" s="28">
        <f>IF('[15]Calculo ISR '!$BP$34&gt;0,0,('[15]Calculo ISR '!$BP$34)*-1)</f>
        <v>0</v>
      </c>
      <c r="X22" s="25">
        <f t="shared" si="4"/>
        <v>2944.9482279999997</v>
      </c>
      <c r="Y22" s="25">
        <f t="shared" si="5"/>
        <v>212.08</v>
      </c>
      <c r="Z22" s="161"/>
      <c r="AA22" s="162"/>
    </row>
    <row r="23" spans="1:29" s="35" customFormat="1" ht="45" customHeight="1">
      <c r="A23" s="21" t="s">
        <v>60</v>
      </c>
      <c r="B23" s="33" t="s">
        <v>100</v>
      </c>
      <c r="C23" s="34">
        <v>16</v>
      </c>
      <c r="D23" s="34"/>
      <c r="E23" s="24">
        <v>305.5</v>
      </c>
      <c r="F23" s="24">
        <v>348.3</v>
      </c>
      <c r="G23" s="24">
        <f t="shared" si="0"/>
        <v>4888</v>
      </c>
      <c r="H23" s="24">
        <f t="shared" si="0"/>
        <v>0</v>
      </c>
      <c r="I23" s="25">
        <f t="shared" si="1"/>
        <v>4888</v>
      </c>
      <c r="J23" s="25">
        <f t="shared" si="2"/>
        <v>308.48</v>
      </c>
      <c r="K23" s="25">
        <f>(C23+D23)*I6</f>
        <v>175.2</v>
      </c>
      <c r="L23" s="25"/>
      <c r="M23" s="25"/>
      <c r="N23" s="25"/>
      <c r="O23" s="25">
        <f t="shared" si="3"/>
        <v>5371.6799999999994</v>
      </c>
      <c r="P23" s="27">
        <f>IF('[15]Calculo ISR '!$BQ$34&lt;0,0,'[15]Calculo ISR '!$BQ$34)</f>
        <v>534.83092799999986</v>
      </c>
      <c r="Q23" s="28">
        <f>I23*N6</f>
        <v>513.24</v>
      </c>
      <c r="R23" s="28"/>
      <c r="S23" s="28"/>
      <c r="T23" s="28"/>
      <c r="U23" s="28"/>
      <c r="V23" s="25">
        <f t="shared" ref="V23:V31" si="7">P23+Q23+R23+S23+T23+U23</f>
        <v>1048.0709279999999</v>
      </c>
      <c r="W23" s="28">
        <f>IF('[15]Calculo ISR '!$BQ$34&gt;0,0,('[15]Calculo ISR '!$BQ$34)*-1)</f>
        <v>0</v>
      </c>
      <c r="X23" s="25">
        <f t="shared" si="4"/>
        <v>4015.1290719999993</v>
      </c>
      <c r="Y23" s="25">
        <f t="shared" si="5"/>
        <v>308.48</v>
      </c>
      <c r="Z23" s="161"/>
      <c r="AA23" s="162"/>
    </row>
    <row r="24" spans="1:29" s="35" customFormat="1" ht="45" customHeight="1">
      <c r="A24" s="21" t="s">
        <v>62</v>
      </c>
      <c r="B24" s="33" t="s">
        <v>63</v>
      </c>
      <c r="C24" s="34">
        <v>18</v>
      </c>
      <c r="D24" s="34">
        <v>0</v>
      </c>
      <c r="E24" s="24">
        <v>305.5</v>
      </c>
      <c r="F24" s="24">
        <v>348.3</v>
      </c>
      <c r="G24" s="24">
        <f t="shared" si="0"/>
        <v>5499</v>
      </c>
      <c r="H24" s="24">
        <f t="shared" si="0"/>
        <v>0</v>
      </c>
      <c r="I24" s="25">
        <f t="shared" si="1"/>
        <v>5499</v>
      </c>
      <c r="J24" s="25">
        <f t="shared" si="2"/>
        <v>347.04</v>
      </c>
      <c r="K24" s="25">
        <f>(C24+D24)*I6</f>
        <v>197.1</v>
      </c>
      <c r="L24" s="25"/>
      <c r="M24" s="25"/>
      <c r="N24" s="25">
        <v>0</v>
      </c>
      <c r="O24" s="25">
        <f t="shared" si="3"/>
        <v>6043.14</v>
      </c>
      <c r="P24" s="27">
        <f>IF('[15]Calculo ISR '!$BR$34&lt;0,0,'[15]Calculo ISR '!$BR$34)</f>
        <v>669.49778400000014</v>
      </c>
      <c r="Q24" s="28">
        <f>I24*N6</f>
        <v>577.39499999999998</v>
      </c>
      <c r="R24" s="28"/>
      <c r="S24" s="28">
        <f>I24*T6</f>
        <v>54.99</v>
      </c>
      <c r="T24" s="28"/>
      <c r="U24" s="28"/>
      <c r="V24" s="25">
        <f t="shared" si="7"/>
        <v>1301.8827840000001</v>
      </c>
      <c r="W24" s="28">
        <f>IF('[15]Calculo ISR '!$BR$34&gt;0,0,('[15]Calculo ISR '!$BR$34)*-1)</f>
        <v>0</v>
      </c>
      <c r="X24" s="25">
        <f t="shared" ref="X24:X31" si="8">O24-V24+W24-Y24</f>
        <v>4394.217216</v>
      </c>
      <c r="Y24" s="25">
        <f t="shared" si="5"/>
        <v>347.04</v>
      </c>
      <c r="Z24" s="161"/>
      <c r="AA24" s="162"/>
    </row>
    <row r="25" spans="1:29" s="35" customFormat="1" ht="45" customHeight="1">
      <c r="A25" s="21" t="s">
        <v>64</v>
      </c>
      <c r="B25" s="33" t="s">
        <v>65</v>
      </c>
      <c r="C25" s="34">
        <v>17.5</v>
      </c>
      <c r="D25" s="34">
        <v>0</v>
      </c>
      <c r="E25" s="24">
        <v>305.5</v>
      </c>
      <c r="F25" s="24">
        <v>348.3</v>
      </c>
      <c r="G25" s="24">
        <f t="shared" si="0"/>
        <v>5346.25</v>
      </c>
      <c r="H25" s="24">
        <f t="shared" si="0"/>
        <v>0</v>
      </c>
      <c r="I25" s="25">
        <f t="shared" si="1"/>
        <v>5346.25</v>
      </c>
      <c r="J25" s="25">
        <f t="shared" si="2"/>
        <v>337.40000000000003</v>
      </c>
      <c r="K25" s="25">
        <f>(C25+D25)*I6</f>
        <v>191.625</v>
      </c>
      <c r="L25" s="25"/>
      <c r="M25" s="25"/>
      <c r="N25" s="25">
        <v>0</v>
      </c>
      <c r="O25" s="25">
        <f t="shared" si="3"/>
        <v>5875.2749999999996</v>
      </c>
      <c r="P25" s="27">
        <f>IF('[15]Calculo ISR '!$BS$34&lt;0,0,'[15]Calculo ISR '!$BS$34)</f>
        <v>635.7009240000001</v>
      </c>
      <c r="Q25" s="28">
        <f>I25*N6</f>
        <v>561.35624999999993</v>
      </c>
      <c r="R25" s="28"/>
      <c r="S25" s="28"/>
      <c r="T25" s="28"/>
      <c r="U25" s="28"/>
      <c r="V25" s="25">
        <f t="shared" si="7"/>
        <v>1197.057174</v>
      </c>
      <c r="W25" s="28">
        <f>IF('[15]Calculo ISR '!$BS$34&gt;0,0,('[15]Calculo ISR '!$BS$34)*-1)</f>
        <v>0</v>
      </c>
      <c r="X25" s="25">
        <f t="shared" si="8"/>
        <v>4340.8178260000004</v>
      </c>
      <c r="Y25" s="25">
        <f t="shared" si="5"/>
        <v>337.40000000000003</v>
      </c>
      <c r="Z25" s="161"/>
      <c r="AA25" s="162"/>
    </row>
    <row r="26" spans="1:29" s="35" customFormat="1" ht="45" customHeight="1">
      <c r="A26" s="21" t="s">
        <v>66</v>
      </c>
      <c r="B26" s="36" t="s">
        <v>67</v>
      </c>
      <c r="C26" s="34">
        <v>10</v>
      </c>
      <c r="D26" s="34">
        <v>0</v>
      </c>
      <c r="E26" s="24">
        <v>305.5</v>
      </c>
      <c r="F26" s="24">
        <v>348.3</v>
      </c>
      <c r="G26" s="24">
        <f t="shared" si="0"/>
        <v>3055</v>
      </c>
      <c r="H26" s="24">
        <f t="shared" si="0"/>
        <v>0</v>
      </c>
      <c r="I26" s="25">
        <f t="shared" si="1"/>
        <v>3055</v>
      </c>
      <c r="J26" s="25">
        <f t="shared" si="2"/>
        <v>192.8</v>
      </c>
      <c r="K26" s="25">
        <f>(C26+D26)*I6</f>
        <v>109.5</v>
      </c>
      <c r="L26" s="25"/>
      <c r="M26" s="25"/>
      <c r="N26" s="25">
        <v>0</v>
      </c>
      <c r="O26" s="25">
        <f t="shared" si="3"/>
        <v>3357.3</v>
      </c>
      <c r="P26" s="27">
        <f>IF('[15]Calculo ISR '!$BT$34&lt;0,0,'[15]Calculo ISR '!$BT$34)</f>
        <v>115.11451199999996</v>
      </c>
      <c r="Q26" s="28">
        <f>I26*N6</f>
        <v>320.77499999999998</v>
      </c>
      <c r="R26" s="28"/>
      <c r="S26" s="28"/>
      <c r="T26" s="28"/>
      <c r="U26" s="28"/>
      <c r="V26" s="25">
        <f t="shared" si="7"/>
        <v>435.88951199999997</v>
      </c>
      <c r="W26" s="28">
        <f>IF('[15]Calculo ISR '!$BT$34&gt;0,0,('[15]Calculo ISR '!$BT$34)*-1)</f>
        <v>0</v>
      </c>
      <c r="X26" s="25">
        <f t="shared" si="8"/>
        <v>2728.6104880000003</v>
      </c>
      <c r="Y26" s="25">
        <f t="shared" si="5"/>
        <v>192.8</v>
      </c>
      <c r="Z26" s="161"/>
      <c r="AA26" s="162"/>
    </row>
    <row r="27" spans="1:29" s="35" customFormat="1" ht="45" customHeight="1">
      <c r="A27" s="21" t="s">
        <v>68</v>
      </c>
      <c r="B27" s="33" t="s">
        <v>69</v>
      </c>
      <c r="C27" s="34">
        <v>10.5</v>
      </c>
      <c r="D27" s="34">
        <v>0</v>
      </c>
      <c r="E27" s="24">
        <v>305.5</v>
      </c>
      <c r="F27" s="24">
        <v>348.3</v>
      </c>
      <c r="G27" s="24">
        <f t="shared" si="0"/>
        <v>3207.75</v>
      </c>
      <c r="H27" s="24">
        <f t="shared" si="0"/>
        <v>0</v>
      </c>
      <c r="I27" s="25">
        <f t="shared" si="1"/>
        <v>3207.75</v>
      </c>
      <c r="J27" s="25">
        <f t="shared" si="2"/>
        <v>202.44</v>
      </c>
      <c r="K27" s="25">
        <f>(C27+D27)*I6</f>
        <v>114.97499999999999</v>
      </c>
      <c r="L27" s="25"/>
      <c r="M27" s="25"/>
      <c r="N27" s="25">
        <v>0</v>
      </c>
      <c r="O27" s="25">
        <f t="shared" si="3"/>
        <v>3525.165</v>
      </c>
      <c r="P27" s="27">
        <f>IF('[15]Calculo ISR '!$BU$34&lt;0,0,'[15]Calculo ISR '!$BU$34)</f>
        <v>132.32939199999996</v>
      </c>
      <c r="Q27" s="28">
        <f>I27*N6</f>
        <v>336.81374999999997</v>
      </c>
      <c r="R27" s="28"/>
      <c r="S27" s="28"/>
      <c r="T27" s="28"/>
      <c r="U27" s="28"/>
      <c r="V27" s="25">
        <f t="shared" si="7"/>
        <v>469.1431419999999</v>
      </c>
      <c r="W27" s="28">
        <f>IF('[15]Calculo ISR '!$BU$34&gt;0,0,('[15]Calculo ISR '!$BU$34)*-1)</f>
        <v>0</v>
      </c>
      <c r="X27" s="25">
        <f t="shared" si="8"/>
        <v>2853.581858</v>
      </c>
      <c r="Y27" s="25">
        <f t="shared" si="5"/>
        <v>202.44</v>
      </c>
      <c r="Z27" s="161"/>
      <c r="AA27" s="162"/>
    </row>
    <row r="28" spans="1:29" s="35" customFormat="1" ht="45" customHeight="1">
      <c r="A28" s="21" t="s">
        <v>70</v>
      </c>
      <c r="B28" s="33" t="s">
        <v>71</v>
      </c>
      <c r="C28" s="34">
        <v>7</v>
      </c>
      <c r="D28" s="34">
        <v>0</v>
      </c>
      <c r="E28" s="24">
        <v>305.5</v>
      </c>
      <c r="F28" s="24">
        <v>348.3</v>
      </c>
      <c r="G28" s="24">
        <f t="shared" si="0"/>
        <v>2138.5</v>
      </c>
      <c r="H28" s="24">
        <f t="shared" si="0"/>
        <v>0</v>
      </c>
      <c r="I28" s="25">
        <f t="shared" si="1"/>
        <v>2138.5</v>
      </c>
      <c r="J28" s="25">
        <f t="shared" si="2"/>
        <v>134.96</v>
      </c>
      <c r="K28" s="25">
        <f>(C28+D28)*I6</f>
        <v>76.649999999999991</v>
      </c>
      <c r="L28" s="25"/>
      <c r="M28" s="25"/>
      <c r="N28" s="25"/>
      <c r="O28" s="25">
        <f t="shared" si="3"/>
        <v>2350.11</v>
      </c>
      <c r="P28" s="27">
        <f>IF('[15]Calculo ISR '!$BV$34&lt;0,0,'[15]Calculo ISR '!$BV$34)</f>
        <v>0</v>
      </c>
      <c r="Q28" s="28">
        <f>I28*N6</f>
        <v>224.54249999999999</v>
      </c>
      <c r="R28" s="28"/>
      <c r="S28" s="28"/>
      <c r="T28" s="28"/>
      <c r="U28" s="28"/>
      <c r="V28" s="25">
        <f t="shared" si="7"/>
        <v>224.54249999999999</v>
      </c>
      <c r="W28" s="28">
        <f>IF('[15]Calculo ISR '!$BV$34&gt;0,0,('[15]Calculo ISR '!$BV$34)*-1)</f>
        <v>37.824768000000006</v>
      </c>
      <c r="X28" s="25">
        <f t="shared" si="8"/>
        <v>2028.432268</v>
      </c>
      <c r="Y28" s="25">
        <f t="shared" si="5"/>
        <v>134.96</v>
      </c>
      <c r="Z28" s="161"/>
      <c r="AA28" s="162"/>
    </row>
    <row r="29" spans="1:29" s="35" customFormat="1" ht="45" customHeight="1">
      <c r="A29" s="21" t="s">
        <v>72</v>
      </c>
      <c r="B29" s="33" t="s">
        <v>73</v>
      </c>
      <c r="C29" s="34">
        <v>7.5</v>
      </c>
      <c r="D29" s="34">
        <v>0</v>
      </c>
      <c r="E29" s="24">
        <v>305.5</v>
      </c>
      <c r="F29" s="24">
        <v>348.3</v>
      </c>
      <c r="G29" s="24">
        <f t="shared" si="0"/>
        <v>2291.25</v>
      </c>
      <c r="H29" s="24">
        <f t="shared" si="0"/>
        <v>0</v>
      </c>
      <c r="I29" s="25">
        <f t="shared" si="1"/>
        <v>2291.25</v>
      </c>
      <c r="J29" s="25">
        <f t="shared" si="2"/>
        <v>144.60000000000002</v>
      </c>
      <c r="K29" s="25">
        <f>(C29+D29)*I6</f>
        <v>82.125</v>
      </c>
      <c r="L29" s="25"/>
      <c r="M29" s="25"/>
      <c r="N29" s="25"/>
      <c r="O29" s="25">
        <f t="shared" si="3"/>
        <v>2517.9749999999999</v>
      </c>
      <c r="P29" s="27">
        <f>IF('[15]Calculo ISR '!$BW$34&lt;0,0,'[15]Calculo ISR '!$BW$34)</f>
        <v>0</v>
      </c>
      <c r="Q29" s="28">
        <f>I29*N6</f>
        <v>240.58124999999998</v>
      </c>
      <c r="R29" s="28"/>
      <c r="S29" s="28"/>
      <c r="T29" s="28"/>
      <c r="U29" s="30"/>
      <c r="V29" s="25">
        <f t="shared" si="7"/>
        <v>240.58124999999998</v>
      </c>
      <c r="W29" s="28">
        <f>IF('[15]Calculo ISR '!$BW$34&gt;0,0,('[15]Calculo ISR '!$BW$34)*-1)</f>
        <v>6.2098880000000065</v>
      </c>
      <c r="X29" s="25">
        <f t="shared" si="8"/>
        <v>2139.0036379999997</v>
      </c>
      <c r="Y29" s="25">
        <f t="shared" si="5"/>
        <v>144.60000000000002</v>
      </c>
      <c r="Z29" s="184"/>
      <c r="AA29" s="185"/>
      <c r="AB29" s="70"/>
    </row>
    <row r="30" spans="1:29" s="35" customFormat="1" ht="45" customHeight="1">
      <c r="A30" s="21" t="s">
        <v>94</v>
      </c>
      <c r="B30" s="33" t="s">
        <v>101</v>
      </c>
      <c r="C30" s="34">
        <v>10.5</v>
      </c>
      <c r="D30" s="34">
        <v>0</v>
      </c>
      <c r="E30" s="24">
        <v>305.5</v>
      </c>
      <c r="F30" s="24">
        <v>348.3</v>
      </c>
      <c r="G30" s="24">
        <f t="shared" si="0"/>
        <v>3207.75</v>
      </c>
      <c r="H30" s="24">
        <f t="shared" si="0"/>
        <v>0</v>
      </c>
      <c r="I30" s="25">
        <f t="shared" si="1"/>
        <v>3207.75</v>
      </c>
      <c r="J30" s="25">
        <f t="shared" si="2"/>
        <v>202.44</v>
      </c>
      <c r="K30" s="25">
        <f>(C30+D30)*I6</f>
        <v>114.97499999999999</v>
      </c>
      <c r="L30" s="25"/>
      <c r="M30" s="25"/>
      <c r="N30" s="25"/>
      <c r="O30" s="25">
        <f t="shared" si="3"/>
        <v>3525.165</v>
      </c>
      <c r="P30" s="27">
        <f>IF('[15]Calculo ISR '!$BX$34&lt;0,0,'[15]Calculo ISR '!$BX$34)</f>
        <v>132.32939199999996</v>
      </c>
      <c r="Q30" s="28">
        <f>I30*10.5%</f>
        <v>336.81374999999997</v>
      </c>
      <c r="R30" s="28"/>
      <c r="S30" s="28"/>
      <c r="T30" s="28"/>
      <c r="U30" s="28"/>
      <c r="V30" s="25">
        <f t="shared" si="7"/>
        <v>469.1431419999999</v>
      </c>
      <c r="W30" s="28">
        <f>IF('[15]Calculo ISR '!$BX$34&gt;0,0,('[15]Calculo ISR '!$BX$34)*-1)</f>
        <v>0</v>
      </c>
      <c r="X30" s="25">
        <f t="shared" si="8"/>
        <v>2853.581858</v>
      </c>
      <c r="Y30" s="71">
        <f t="shared" si="5"/>
        <v>202.44</v>
      </c>
      <c r="Z30" s="138"/>
      <c r="AA30" s="73"/>
      <c r="AB30" s="70"/>
    </row>
    <row r="31" spans="1:29" s="35" customFormat="1" ht="45" customHeight="1">
      <c r="A31" s="21" t="s">
        <v>96</v>
      </c>
      <c r="B31" s="33" t="s">
        <v>102</v>
      </c>
      <c r="C31" s="34">
        <v>14</v>
      </c>
      <c r="D31" s="34">
        <v>0</v>
      </c>
      <c r="E31" s="24">
        <v>305.5</v>
      </c>
      <c r="F31" s="24">
        <v>348.3</v>
      </c>
      <c r="G31" s="24">
        <f t="shared" si="0"/>
        <v>4277</v>
      </c>
      <c r="H31" s="24">
        <f t="shared" si="0"/>
        <v>0</v>
      </c>
      <c r="I31" s="25">
        <f t="shared" si="1"/>
        <v>4277</v>
      </c>
      <c r="J31" s="25">
        <f t="shared" si="2"/>
        <v>269.92</v>
      </c>
      <c r="K31" s="25">
        <f>(C31+D31)*I6</f>
        <v>153.29999999999998</v>
      </c>
      <c r="L31" s="25"/>
      <c r="M31" s="25"/>
      <c r="N31" s="25"/>
      <c r="O31" s="25">
        <f t="shared" si="3"/>
        <v>4700.22</v>
      </c>
      <c r="P31" s="27">
        <f>IF('[15]Calculo ISR '!$BY$34&lt;0,0,'[15]Calculo ISR '!$BY$34)</f>
        <v>421.41524800000013</v>
      </c>
      <c r="Q31" s="28">
        <f>I31*10.5%</f>
        <v>449.08499999999998</v>
      </c>
      <c r="R31" s="28"/>
      <c r="S31" s="28"/>
      <c r="T31" s="28"/>
      <c r="U31" s="28"/>
      <c r="V31" s="25">
        <f t="shared" si="7"/>
        <v>870.50024800000006</v>
      </c>
      <c r="W31" s="28">
        <f>IF('[15]Calculo ISR '!$BY$34&gt;0,0,('[15]Calculo ISR '!$BY$34)*-1)</f>
        <v>0</v>
      </c>
      <c r="X31" s="25">
        <f t="shared" si="8"/>
        <v>3559.7997519999999</v>
      </c>
      <c r="Y31" s="71">
        <f t="shared" si="5"/>
        <v>269.92</v>
      </c>
      <c r="Z31" s="138"/>
      <c r="AA31" s="73"/>
      <c r="AB31" s="70"/>
    </row>
    <row r="32" spans="1:29" s="2" customFormat="1" ht="30" customHeight="1" thickBot="1">
      <c r="A32" s="86"/>
      <c r="B32" s="38" t="s">
        <v>74</v>
      </c>
      <c r="C32" s="39">
        <f t="shared" ref="C32:X32" si="9">SUM(C10:C31)</f>
        <v>254</v>
      </c>
      <c r="D32" s="39">
        <f t="shared" si="9"/>
        <v>60</v>
      </c>
      <c r="E32" s="40">
        <f t="shared" si="9"/>
        <v>6721</v>
      </c>
      <c r="F32" s="40">
        <f t="shared" si="9"/>
        <v>7662.6000000000031</v>
      </c>
      <c r="G32" s="40">
        <f t="shared" si="9"/>
        <v>77597</v>
      </c>
      <c r="H32" s="40">
        <f t="shared" si="9"/>
        <v>20898</v>
      </c>
      <c r="I32" s="40">
        <f t="shared" si="9"/>
        <v>98495</v>
      </c>
      <c r="J32" s="40">
        <f t="shared" si="9"/>
        <v>6053.9199999999992</v>
      </c>
      <c r="K32" s="40">
        <f t="shared" si="9"/>
        <v>3438.2999999999993</v>
      </c>
      <c r="L32" s="40">
        <f t="shared" si="9"/>
        <v>1661.3500000000001</v>
      </c>
      <c r="M32" s="40">
        <f t="shared" si="9"/>
        <v>247.76499999999999</v>
      </c>
      <c r="N32" s="40">
        <f t="shared" si="9"/>
        <v>0</v>
      </c>
      <c r="O32" s="40">
        <f t="shared" si="9"/>
        <v>109896.33499999998</v>
      </c>
      <c r="P32" s="40">
        <f t="shared" si="9"/>
        <v>10525.817152000001</v>
      </c>
      <c r="Q32" s="40">
        <f t="shared" si="9"/>
        <v>10341.974999999997</v>
      </c>
      <c r="R32" s="40">
        <f t="shared" si="9"/>
        <v>5980</v>
      </c>
      <c r="S32" s="40">
        <f t="shared" si="9"/>
        <v>700.83500000000004</v>
      </c>
      <c r="T32" s="40">
        <f t="shared" si="9"/>
        <v>0</v>
      </c>
      <c r="U32" s="74">
        <f t="shared" si="9"/>
        <v>0</v>
      </c>
      <c r="V32" s="40">
        <f t="shared" si="9"/>
        <v>27548.627152000008</v>
      </c>
      <c r="W32" s="40">
        <f t="shared" si="9"/>
        <v>209.688096</v>
      </c>
      <c r="X32" s="40">
        <f t="shared" si="9"/>
        <v>76503.475944000005</v>
      </c>
      <c r="Y32" s="40">
        <f>SUM(Y9:Y31)</f>
        <v>6053.9199999999992</v>
      </c>
      <c r="Z32" s="41"/>
      <c r="AA32" s="3"/>
      <c r="AB32" s="75"/>
      <c r="AC32" s="42"/>
    </row>
    <row r="33" spans="1:31" s="2" customFormat="1" ht="3.75" customHeight="1">
      <c r="A33" s="87"/>
      <c r="B33" s="44"/>
      <c r="C33" s="45"/>
      <c r="D33" s="4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62">
        <f>R32+'[15]HT-ADMINISTRATIVOS FIRMA '!O45</f>
        <v>28513.81</v>
      </c>
      <c r="S33" s="46"/>
      <c r="T33" s="46"/>
      <c r="U33" s="46"/>
      <c r="V33" s="46"/>
      <c r="W33" s="46"/>
      <c r="X33" s="46"/>
      <c r="Y33" s="46"/>
      <c r="Z33" s="41"/>
      <c r="AA33" s="3"/>
      <c r="AB33" s="88"/>
    </row>
    <row r="34" spans="1:31" s="2" customFormat="1" ht="8.25" customHeight="1">
      <c r="A34" s="87"/>
      <c r="B34" s="44"/>
      <c r="C34" s="45"/>
      <c r="D34" s="45"/>
      <c r="E34" s="46"/>
      <c r="F34" s="46"/>
      <c r="G34" s="46"/>
      <c r="H34" s="46"/>
      <c r="I34" s="89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1"/>
      <c r="AA34" s="3"/>
      <c r="AB34" s="42"/>
    </row>
    <row r="35" spans="1:31" s="2" customFormat="1" ht="15" customHeight="1">
      <c r="A35" s="69"/>
      <c r="B35" s="137" t="s">
        <v>75</v>
      </c>
      <c r="C35" s="1"/>
      <c r="D35" s="1"/>
      <c r="E35" s="1"/>
      <c r="F35" s="1"/>
      <c r="G35" s="66" t="s">
        <v>76</v>
      </c>
      <c r="H35" s="1"/>
      <c r="I35" s="64"/>
      <c r="L35" s="66"/>
      <c r="M35" s="1" t="s">
        <v>136</v>
      </c>
      <c r="N35" s="66"/>
      <c r="O35" s="66"/>
      <c r="P35" s="49"/>
      <c r="Q35" s="50"/>
      <c r="R35" s="1"/>
      <c r="S35" s="1"/>
      <c r="T35" s="1"/>
      <c r="U35" s="1"/>
      <c r="W35" s="1"/>
      <c r="X35" s="1"/>
      <c r="Y35" s="1"/>
      <c r="Z35" s="1"/>
      <c r="AB35" s="42"/>
      <c r="AE35" s="1"/>
    </row>
    <row r="36" spans="1:31" s="2" customFormat="1" hidden="1">
      <c r="A36" s="69"/>
      <c r="B36" s="1"/>
      <c r="C36" s="1"/>
      <c r="D36" s="1"/>
      <c r="E36" s="1"/>
      <c r="F36" s="1"/>
      <c r="G36" s="1"/>
      <c r="H36" s="1"/>
      <c r="K36" s="1"/>
      <c r="L36" s="1"/>
      <c r="M36" s="1"/>
      <c r="N36" s="1"/>
      <c r="O36" s="51"/>
      <c r="P36" s="51"/>
      <c r="Q36" s="51"/>
      <c r="R36" s="1"/>
      <c r="S36" s="1"/>
      <c r="T36" s="1"/>
      <c r="U36" s="1"/>
      <c r="V36" s="1"/>
      <c r="W36" s="1"/>
      <c r="X36" s="1"/>
      <c r="Y36" s="1"/>
      <c r="Z36" s="1"/>
      <c r="AB36" s="42"/>
      <c r="AE36" s="1"/>
    </row>
    <row r="37" spans="1:31" s="2" customFormat="1" hidden="1">
      <c r="A37" s="69"/>
      <c r="B37" s="1"/>
      <c r="C37" s="1"/>
      <c r="D37" s="1"/>
      <c r="E37" s="1"/>
      <c r="F37" s="1"/>
      <c r="G37" s="1"/>
      <c r="H37" s="1"/>
      <c r="K37" s="1"/>
      <c r="L37" s="1"/>
      <c r="M37" s="1"/>
      <c r="N37" s="1"/>
      <c r="O37" s="51"/>
      <c r="P37" s="51"/>
      <c r="Q37" s="51"/>
      <c r="R37" s="1"/>
      <c r="S37" s="1"/>
      <c r="T37" s="1"/>
      <c r="U37" s="1"/>
      <c r="V37" s="1"/>
      <c r="W37" s="1"/>
      <c r="X37" s="1"/>
      <c r="Y37" s="1"/>
      <c r="Z37" s="1"/>
      <c r="AB37" s="42"/>
      <c r="AE37" s="1"/>
    </row>
    <row r="38" spans="1:31" s="2" customFormat="1" hidden="1">
      <c r="A38" s="69"/>
      <c r="B38" s="1"/>
      <c r="C38" s="1"/>
      <c r="D38" s="1"/>
      <c r="E38" s="1"/>
      <c r="F38" s="1"/>
      <c r="G38" s="1"/>
      <c r="H38" s="1"/>
      <c r="K38" s="1"/>
      <c r="L38" s="1"/>
      <c r="M38" s="1"/>
      <c r="N38" s="1"/>
      <c r="O38" s="52"/>
      <c r="P38" s="52"/>
      <c r="Q38" s="52"/>
      <c r="R38" s="1"/>
      <c r="S38" s="3"/>
      <c r="T38" s="1"/>
      <c r="U38" s="1"/>
      <c r="V38" s="1"/>
      <c r="W38" s="1"/>
      <c r="X38" s="1"/>
      <c r="Y38" s="1"/>
      <c r="Z38" s="1"/>
      <c r="AE38" s="1"/>
    </row>
    <row r="39" spans="1:31" s="2" customFormat="1">
      <c r="A39" s="69"/>
      <c r="B39" s="137" t="s">
        <v>78</v>
      </c>
      <c r="C39" s="1"/>
      <c r="D39" s="1"/>
      <c r="E39" s="1"/>
      <c r="F39" s="53" t="s">
        <v>79</v>
      </c>
      <c r="G39" s="1"/>
      <c r="H39" s="1"/>
      <c r="I39" s="42"/>
      <c r="L39" s="53" t="s">
        <v>154</v>
      </c>
      <c r="M39" s="53"/>
      <c r="N39" s="53"/>
      <c r="O39" s="53"/>
      <c r="P39" s="52"/>
      <c r="Q39" s="49"/>
      <c r="R39" s="1"/>
      <c r="S39" s="1"/>
      <c r="T39" s="1"/>
      <c r="U39" s="127" t="s">
        <v>134</v>
      </c>
      <c r="V39" s="53"/>
      <c r="W39" s="53"/>
      <c r="X39" s="53"/>
      <c r="Y39" s="53"/>
      <c r="Z39" s="1"/>
      <c r="AE39" s="1"/>
    </row>
    <row r="40" spans="1:31" ht="12.75" customHeight="1">
      <c r="B40" s="54" t="s">
        <v>81</v>
      </c>
      <c r="F40" s="53" t="s">
        <v>82</v>
      </c>
      <c r="L40" s="186" t="s">
        <v>83</v>
      </c>
      <c r="M40" s="186"/>
      <c r="N40" s="186"/>
      <c r="O40" s="186"/>
      <c r="P40" s="186"/>
      <c r="Q40" s="52"/>
      <c r="AA40" s="3"/>
    </row>
    <row r="41" spans="1:31">
      <c r="AA41" s="3"/>
    </row>
    <row r="42" spans="1:31">
      <c r="R42" s="3"/>
      <c r="AA42" s="3"/>
    </row>
    <row r="43" spans="1:31">
      <c r="AA43" s="3"/>
    </row>
    <row r="44" spans="1:31">
      <c r="AA44" s="3"/>
    </row>
    <row r="45" spans="1:31">
      <c r="O45" s="6"/>
      <c r="AA45" s="3"/>
    </row>
    <row r="46" spans="1:31">
      <c r="AA46" s="3"/>
    </row>
    <row r="47" spans="1:31">
      <c r="AA47" s="3"/>
    </row>
    <row r="48" spans="1:31" s="56" customFormat="1">
      <c r="A48" s="6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s="56" customFormat="1">
      <c r="A49" s="6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57" customFormat="1">
      <c r="A50" s="6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s="57" customFormat="1">
      <c r="A51" s="6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s="57" customFormat="1">
      <c r="A52" s="6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57" customFormat="1">
      <c r="A53" s="6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57" customFormat="1">
      <c r="A54" s="6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s="57" customFormat="1">
      <c r="A55" s="6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6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s="57" customFormat="1">
      <c r="A56" s="6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s="57" customFormat="1">
      <c r="A57" s="6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s="57" customFormat="1">
      <c r="A58" s="6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s="57" customFormat="1">
      <c r="A59" s="6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1" spans="1:26">
      <c r="S61" s="3"/>
    </row>
  </sheetData>
  <mergeCells count="28">
    <mergeCell ref="W8:Y8"/>
    <mergeCell ref="A8:A9"/>
    <mergeCell ref="B8:B9"/>
    <mergeCell ref="C8:I8"/>
    <mergeCell ref="J8:O8"/>
    <mergeCell ref="P8:V8"/>
    <mergeCell ref="Z20:AA20"/>
    <mergeCell ref="Z9:AA9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Z18:AA18"/>
    <mergeCell ref="Z19:AA19"/>
    <mergeCell ref="Z27:AA27"/>
    <mergeCell ref="Z28:AA28"/>
    <mergeCell ref="Z29:AA29"/>
    <mergeCell ref="L40:P40"/>
    <mergeCell ref="Z21:AA21"/>
    <mergeCell ref="Z22:AA22"/>
    <mergeCell ref="Z23:AA23"/>
    <mergeCell ref="Z24:AA24"/>
    <mergeCell ref="Z25:AA25"/>
    <mergeCell ref="Z26:AA26"/>
  </mergeCells>
  <pageMargins left="0.8" right="0.2" top="0.47244094488188981" bottom="0.51181102362204722" header="0.31496062992125984" footer="0.31496062992125984"/>
  <pageSetup paperSize="5" scale="5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2:AH68"/>
  <sheetViews>
    <sheetView topLeftCell="A3" zoomScale="90" zoomScaleNormal="90" zoomScaleSheetLayoutView="100" workbookViewId="0">
      <pane xSplit="3" ySplit="7" topLeftCell="D37" activePane="bottomRight" state="frozen"/>
      <selection activeCell="A3" sqref="A3"/>
      <selection pane="topRight" activeCell="C3" sqref="C3"/>
      <selection pane="bottomLeft" activeCell="A10" sqref="A10"/>
      <selection pane="bottomRight" activeCell="G49" sqref="G49"/>
    </sheetView>
  </sheetViews>
  <sheetFormatPr baseColWidth="10" defaultRowHeight="12.75"/>
  <cols>
    <col min="1" max="1" width="6.28515625" style="1" customWidth="1"/>
    <col min="2" max="2" width="11.85546875" style="69" customWidth="1"/>
    <col min="3" max="3" width="19.42578125" style="1" customWidth="1"/>
    <col min="4" max="5" width="7.140625" style="1" customWidth="1"/>
    <col min="6" max="6" width="9.28515625" style="1" customWidth="1"/>
    <col min="7" max="7" width="9.85546875" style="1" customWidth="1"/>
    <col min="8" max="8" width="11" style="1" customWidth="1"/>
    <col min="9" max="9" width="10.85546875" style="1" customWidth="1"/>
    <col min="10" max="10" width="11" style="1" customWidth="1"/>
    <col min="11" max="11" width="9.85546875" style="1" customWidth="1"/>
    <col min="12" max="12" width="10" style="1" customWidth="1"/>
    <col min="13" max="13" width="8.7109375" style="1" customWidth="1"/>
    <col min="14" max="14" width="8.5703125" style="1" customWidth="1"/>
    <col min="15" max="15" width="8.42578125" style="1" customWidth="1"/>
    <col min="16" max="16" width="12" style="1" customWidth="1"/>
    <col min="17" max="17" width="10.42578125" style="1" customWidth="1"/>
    <col min="18" max="18" width="12.42578125" style="1" customWidth="1"/>
    <col min="19" max="19" width="10.5703125" style="1" hidden="1" customWidth="1"/>
    <col min="20" max="21" width="10.42578125" style="1" hidden="1" customWidth="1"/>
    <col min="22" max="22" width="8.5703125" style="1" hidden="1" customWidth="1"/>
    <col min="23" max="23" width="4.42578125" style="1" hidden="1" customWidth="1"/>
    <col min="24" max="24" width="8.28515625" style="1" hidden="1" customWidth="1"/>
    <col min="25" max="25" width="11.140625" style="1" customWidth="1"/>
    <col min="26" max="26" width="8.42578125" style="1" customWidth="1"/>
    <col min="27" max="27" width="17.42578125" style="1" customWidth="1"/>
    <col min="28" max="28" width="10.5703125" style="1" hidden="1" customWidth="1"/>
    <col min="29" max="29" width="26.5703125" style="1" hidden="1" customWidth="1"/>
    <col min="30" max="30" width="12.28515625" style="1" hidden="1" customWidth="1"/>
    <col min="31" max="16384" width="11.42578125" style="1"/>
  </cols>
  <sheetData>
    <row r="2" spans="2:30">
      <c r="C2" s="2" t="s">
        <v>0</v>
      </c>
    </row>
    <row r="3" spans="2:30">
      <c r="C3" s="2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2:30">
      <c r="C4" s="2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</row>
    <row r="5" spans="2:30" s="65" customFormat="1">
      <c r="B5" s="4"/>
      <c r="R5" s="64"/>
    </row>
    <row r="6" spans="2:30" s="65" customFormat="1">
      <c r="B6" s="4"/>
      <c r="F6" s="4">
        <v>19.28</v>
      </c>
      <c r="G6" s="4"/>
      <c r="H6" s="4"/>
      <c r="I6" s="4"/>
      <c r="J6" s="4">
        <v>10.95</v>
      </c>
      <c r="K6" s="4"/>
      <c r="Q6" s="128">
        <v>0.105</v>
      </c>
      <c r="W6" s="5">
        <v>0.01</v>
      </c>
    </row>
    <row r="7" spans="2:30" ht="13.5" thickBot="1">
      <c r="B7" s="85" t="s">
        <v>0</v>
      </c>
      <c r="D7" s="91"/>
      <c r="E7" s="91"/>
      <c r="F7" s="4">
        <v>22.3</v>
      </c>
      <c r="G7" s="4"/>
      <c r="H7" s="4"/>
      <c r="I7" s="4"/>
      <c r="J7" s="7">
        <v>0.02</v>
      </c>
      <c r="K7" s="8">
        <v>0.04</v>
      </c>
      <c r="L7" s="129">
        <v>0.06</v>
      </c>
      <c r="M7" s="6" t="s">
        <v>155</v>
      </c>
      <c r="O7" s="65"/>
      <c r="P7" s="65"/>
      <c r="R7" s="159">
        <v>27.13</v>
      </c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</row>
    <row r="8" spans="2:30" ht="15.75" customHeight="1" thickBot="1">
      <c r="B8" s="187" t="s">
        <v>2</v>
      </c>
      <c r="C8" s="166" t="s">
        <v>3</v>
      </c>
      <c r="D8" s="189" t="s">
        <v>4</v>
      </c>
      <c r="E8" s="190"/>
      <c r="F8" s="190"/>
      <c r="G8" s="190"/>
      <c r="H8" s="190"/>
      <c r="I8" s="190"/>
      <c r="J8" s="191"/>
      <c r="K8" s="192" t="s">
        <v>5</v>
      </c>
      <c r="L8" s="193"/>
      <c r="M8" s="193"/>
      <c r="N8" s="194"/>
      <c r="O8" s="194"/>
      <c r="P8" s="194"/>
      <c r="Q8" s="194"/>
      <c r="R8" s="195"/>
      <c r="S8" s="196" t="s">
        <v>6</v>
      </c>
      <c r="T8" s="197"/>
      <c r="U8" s="197"/>
      <c r="V8" s="197"/>
      <c r="W8" s="197"/>
      <c r="X8" s="197"/>
      <c r="Y8" s="197"/>
      <c r="Z8" s="177" t="s">
        <v>7</v>
      </c>
      <c r="AA8" s="177"/>
      <c r="AB8" s="177"/>
    </row>
    <row r="9" spans="2:30" s="20" customFormat="1" ht="84">
      <c r="B9" s="188"/>
      <c r="C9" s="167"/>
      <c r="D9" s="9" t="s">
        <v>87</v>
      </c>
      <c r="E9" s="9" t="s">
        <v>88</v>
      </c>
      <c r="F9" s="9" t="s">
        <v>89</v>
      </c>
      <c r="G9" s="9" t="s">
        <v>90</v>
      </c>
      <c r="H9" s="9" t="s">
        <v>91</v>
      </c>
      <c r="I9" s="9" t="s">
        <v>92</v>
      </c>
      <c r="J9" s="9" t="s">
        <v>10</v>
      </c>
      <c r="K9" s="11" t="s">
        <v>11</v>
      </c>
      <c r="L9" s="11" t="s">
        <v>12</v>
      </c>
      <c r="M9" s="12" t="s">
        <v>13</v>
      </c>
      <c r="N9" s="13" t="s">
        <v>14</v>
      </c>
      <c r="O9" s="13" t="s">
        <v>156</v>
      </c>
      <c r="P9" s="13" t="s">
        <v>157</v>
      </c>
      <c r="Q9" s="13" t="s">
        <v>158</v>
      </c>
      <c r="R9" s="13" t="s">
        <v>16</v>
      </c>
      <c r="S9" s="15" t="s">
        <v>17</v>
      </c>
      <c r="T9" s="16" t="s">
        <v>18</v>
      </c>
      <c r="U9" s="16" t="s">
        <v>19</v>
      </c>
      <c r="V9" s="16" t="s">
        <v>20</v>
      </c>
      <c r="W9" s="16" t="s">
        <v>21</v>
      </c>
      <c r="X9" s="16" t="s">
        <v>22</v>
      </c>
      <c r="Y9" s="16" t="s">
        <v>23</v>
      </c>
      <c r="Z9" s="17" t="s">
        <v>24</v>
      </c>
      <c r="AA9" s="18" t="s">
        <v>25</v>
      </c>
      <c r="AB9" s="19" t="s">
        <v>26</v>
      </c>
      <c r="AC9" s="178" t="s">
        <v>27</v>
      </c>
      <c r="AD9" s="178"/>
    </row>
    <row r="10" spans="2:30" s="35" customFormat="1" ht="45" customHeight="1">
      <c r="B10" s="150" t="s">
        <v>32</v>
      </c>
      <c r="C10" s="33" t="s">
        <v>99</v>
      </c>
      <c r="D10" s="32">
        <v>10</v>
      </c>
      <c r="E10" s="32">
        <v>0</v>
      </c>
      <c r="F10" s="24">
        <v>315.89999999999998</v>
      </c>
      <c r="G10" s="24">
        <v>360.15</v>
      </c>
      <c r="H10" s="24">
        <f t="shared" ref="H10:I34" si="0">D10*F10</f>
        <v>3159</v>
      </c>
      <c r="I10" s="24">
        <f t="shared" si="0"/>
        <v>0</v>
      </c>
      <c r="J10" s="151">
        <f t="shared" ref="J10:J38" si="1">H10+I10</f>
        <v>3159</v>
      </c>
      <c r="K10" s="151">
        <f t="shared" ref="K10:K38" si="2">(D10+E10)*19.28</f>
        <v>192.8</v>
      </c>
      <c r="L10" s="151">
        <f>(D10+E10)*J6</f>
        <v>109.5</v>
      </c>
      <c r="M10" s="151"/>
      <c r="N10" s="151">
        <f>J10*K7</f>
        <v>126.36</v>
      </c>
      <c r="O10" s="151">
        <v>54.08</v>
      </c>
      <c r="P10" s="151">
        <v>1434.060821917808</v>
      </c>
      <c r="Q10" s="151">
        <f>D10*R7*2</f>
        <v>542.6</v>
      </c>
      <c r="R10" s="151">
        <f>SUM(J10:Q10)</f>
        <v>5618.4008219178086</v>
      </c>
      <c r="S10" s="152">
        <f>IF('[16]Calculo ISR '!$BD$34&lt;0,0,'[16]Calculo ISR '!$BD$34)</f>
        <v>611.71915956164389</v>
      </c>
      <c r="T10" s="28">
        <f>J10*Q6</f>
        <v>331.69499999999999</v>
      </c>
      <c r="U10" s="28">
        <v>0</v>
      </c>
      <c r="V10" s="28">
        <f>J10*W6</f>
        <v>31.59</v>
      </c>
      <c r="W10" s="28">
        <f>'[16]HT-DOCENTE'!R11</f>
        <v>0</v>
      </c>
      <c r="X10" s="28"/>
      <c r="Y10" s="151">
        <f>S10+T10+U10+V10+X10+W10</f>
        <v>975.00415956164386</v>
      </c>
      <c r="Z10" s="28">
        <f>IF('[16]Calculo ISR '!$BD$34&gt;0,0,('[16]Calculo ISR '!$BD$34)*-1)</f>
        <v>0</v>
      </c>
      <c r="AA10" s="25">
        <f t="shared" ref="AA10:AA23" si="3">R10-Y10-AB10+Z10</f>
        <v>4450.5966623561644</v>
      </c>
      <c r="AB10" s="25">
        <f t="shared" ref="AB10:AB35" si="4">K10</f>
        <v>192.8</v>
      </c>
      <c r="AC10" s="161"/>
      <c r="AD10" s="162"/>
    </row>
    <row r="11" spans="2:30" s="35" customFormat="1" ht="45" customHeight="1">
      <c r="B11" s="150" t="s">
        <v>34</v>
      </c>
      <c r="C11" s="33" t="s">
        <v>35</v>
      </c>
      <c r="D11" s="32">
        <v>12</v>
      </c>
      <c r="E11" s="32">
        <v>7.5</v>
      </c>
      <c r="F11" s="24">
        <v>315.89999999999998</v>
      </c>
      <c r="G11" s="24">
        <v>360.15</v>
      </c>
      <c r="H11" s="24">
        <f t="shared" si="0"/>
        <v>3790.7999999999997</v>
      </c>
      <c r="I11" s="24">
        <f>E11*G11</f>
        <v>2701.125</v>
      </c>
      <c r="J11" s="151">
        <f t="shared" si="1"/>
        <v>6491.9249999999993</v>
      </c>
      <c r="K11" s="151">
        <f t="shared" si="2"/>
        <v>375.96000000000004</v>
      </c>
      <c r="L11" s="151">
        <f>(D11+E11)*J6</f>
        <v>213.52499999999998</v>
      </c>
      <c r="M11" s="151"/>
      <c r="N11" s="151">
        <f>J11*J7</f>
        <v>129.83849999999998</v>
      </c>
      <c r="O11" s="151">
        <v>55.555500000000002</v>
      </c>
      <c r="P11" s="151">
        <v>3941.9013013698632</v>
      </c>
      <c r="Q11" s="151">
        <f>'[16]HT-DOCENTE'!J12</f>
        <v>0</v>
      </c>
      <c r="R11" s="151">
        <f t="shared" ref="R11:R34" si="5">SUM(J11:Q11)</f>
        <v>11208.705301369862</v>
      </c>
      <c r="S11" s="152">
        <f>IF('[16]Calculo ISR '!$BE$34&lt;0,0,'[16]Calculo ISR '!$BE$34)</f>
        <v>1779.1739028821917</v>
      </c>
      <c r="T11" s="28">
        <f>J11*Q6</f>
        <v>681.65212499999984</v>
      </c>
      <c r="U11" s="28">
        <f>'[16]HT-DOCENTE'!P12</f>
        <v>0</v>
      </c>
      <c r="V11" s="28">
        <f>J11*W6</f>
        <v>64.919249999999991</v>
      </c>
      <c r="W11" s="28">
        <f>'[16]HT-DOCENTE'!R12</f>
        <v>0</v>
      </c>
      <c r="X11" s="28"/>
      <c r="Y11" s="151">
        <f t="shared" ref="Y11:Y22" si="6">S11+T11+U11+V11+X11+W11</f>
        <v>2525.7452778821917</v>
      </c>
      <c r="Z11" s="28">
        <f>IF('[16]Calculo ISR '!$BE$34&gt;0,0,('[16]Calculo ISR '!$BE$34)*-1)</f>
        <v>0</v>
      </c>
      <c r="AA11" s="25">
        <f t="shared" si="3"/>
        <v>8307.0000234876716</v>
      </c>
      <c r="AB11" s="25">
        <f t="shared" si="4"/>
        <v>375.96000000000004</v>
      </c>
      <c r="AC11" s="161"/>
      <c r="AD11" s="162"/>
    </row>
    <row r="12" spans="2:30" s="35" customFormat="1" ht="45" customHeight="1">
      <c r="B12" s="150" t="s">
        <v>36</v>
      </c>
      <c r="C12" s="33" t="s">
        <v>37</v>
      </c>
      <c r="D12" s="32">
        <v>6.5</v>
      </c>
      <c r="E12" s="32">
        <v>7.5</v>
      </c>
      <c r="F12" s="24">
        <v>315.89999999999998</v>
      </c>
      <c r="G12" s="24">
        <v>360.15</v>
      </c>
      <c r="H12" s="24">
        <f t="shared" si="0"/>
        <v>2053.35</v>
      </c>
      <c r="I12" s="24">
        <f t="shared" si="0"/>
        <v>2701.125</v>
      </c>
      <c r="J12" s="151">
        <f t="shared" si="1"/>
        <v>4754.4750000000004</v>
      </c>
      <c r="K12" s="151">
        <f t="shared" si="2"/>
        <v>269.92</v>
      </c>
      <c r="L12" s="151">
        <f>(D12+E12)*J6</f>
        <v>153.29999999999998</v>
      </c>
      <c r="M12" s="151">
        <f>(D12+E12)*F7</f>
        <v>312.2</v>
      </c>
      <c r="N12" s="151"/>
      <c r="O12" s="151"/>
      <c r="P12" s="151">
        <v>3020.1537671232873</v>
      </c>
      <c r="Q12" s="151">
        <f>'[16]HT-DOCENTE'!J13</f>
        <v>0</v>
      </c>
      <c r="R12" s="151">
        <f t="shared" si="5"/>
        <v>8510.0487671232877</v>
      </c>
      <c r="S12" s="152">
        <f>IF('[16]Calculo ISR '!$BF$34&lt;0,0,'[16]Calculo ISR '!$BF$34)</f>
        <v>1212.9023286575343</v>
      </c>
      <c r="T12" s="28">
        <f>J12*Q6</f>
        <v>499.219875</v>
      </c>
      <c r="U12" s="28">
        <v>1431</v>
      </c>
      <c r="V12" s="28">
        <f>J12*W6</f>
        <v>47.544750000000008</v>
      </c>
      <c r="W12" s="28">
        <f>'[16]HT-DOCENTE'!R13</f>
        <v>0</v>
      </c>
      <c r="X12" s="28"/>
      <c r="Y12" s="151">
        <f t="shared" si="6"/>
        <v>3190.6669536575346</v>
      </c>
      <c r="Z12" s="28">
        <f>IF('[16]Calculo ISR '!$BF$34&gt;0,0,('[16]Calculo ISR '!$BF$34)*-1)</f>
        <v>0</v>
      </c>
      <c r="AA12" s="25">
        <f t="shared" si="3"/>
        <v>5049.461813465753</v>
      </c>
      <c r="AB12" s="25">
        <f t="shared" si="4"/>
        <v>269.92</v>
      </c>
      <c r="AC12" s="161"/>
      <c r="AD12" s="162"/>
    </row>
    <row r="13" spans="2:30" s="35" customFormat="1" ht="45" customHeight="1">
      <c r="B13" s="150" t="s">
        <v>38</v>
      </c>
      <c r="C13" s="33" t="s">
        <v>39</v>
      </c>
      <c r="D13" s="32">
        <v>11.5</v>
      </c>
      <c r="E13" s="32">
        <v>7.5</v>
      </c>
      <c r="F13" s="24">
        <v>315.89999999999998</v>
      </c>
      <c r="G13" s="24">
        <v>360.15</v>
      </c>
      <c r="H13" s="24">
        <f t="shared" si="0"/>
        <v>3632.85</v>
      </c>
      <c r="I13" s="24">
        <f t="shared" si="0"/>
        <v>2701.125</v>
      </c>
      <c r="J13" s="151">
        <f t="shared" si="1"/>
        <v>6333.9750000000004</v>
      </c>
      <c r="K13" s="151">
        <f t="shared" si="2"/>
        <v>366.32000000000005</v>
      </c>
      <c r="L13" s="151">
        <f>(D13+E13)*J6</f>
        <v>208.04999999999998</v>
      </c>
      <c r="M13" s="151">
        <f>(D13+E13)*F7</f>
        <v>423.7</v>
      </c>
      <c r="N13" s="151"/>
      <c r="O13" s="151"/>
      <c r="P13" s="151">
        <v>3803.6932191780816</v>
      </c>
      <c r="Q13" s="151">
        <f>'[16]HT-DOCENTE'!J14</f>
        <v>0</v>
      </c>
      <c r="R13" s="151">
        <f t="shared" si="5"/>
        <v>11135.738219178082</v>
      </c>
      <c r="S13" s="152">
        <f>IF('[16]Calculo ISR '!$BG$34&lt;0,0,'[16]Calculo ISR '!$BG$34)</f>
        <v>1764.2793731506852</v>
      </c>
      <c r="T13" s="28">
        <f>J13*Q6</f>
        <v>665.06737499999997</v>
      </c>
      <c r="U13" s="28">
        <v>1655</v>
      </c>
      <c r="V13" s="28">
        <f>J13*W6</f>
        <v>63.339750000000002</v>
      </c>
      <c r="W13" s="28">
        <f>'[16]HT-DOCENTE'!R14</f>
        <v>0</v>
      </c>
      <c r="X13" s="28"/>
      <c r="Y13" s="151">
        <f t="shared" si="6"/>
        <v>4147.6864981506851</v>
      </c>
      <c r="Z13" s="28">
        <f>IF('[16]Calculo ISR '!$BG$34&gt;0,0,('[16]Calculo ISR '!$BG$34)*-1)</f>
        <v>0</v>
      </c>
      <c r="AA13" s="25">
        <f t="shared" si="3"/>
        <v>6621.7317210273968</v>
      </c>
      <c r="AB13" s="25">
        <f t="shared" si="4"/>
        <v>366.32000000000005</v>
      </c>
      <c r="AC13" s="161"/>
      <c r="AD13" s="162"/>
    </row>
    <row r="14" spans="2:30" s="35" customFormat="1" ht="45" customHeight="1">
      <c r="B14" s="150" t="s">
        <v>40</v>
      </c>
      <c r="C14" s="33" t="s">
        <v>41</v>
      </c>
      <c r="D14" s="32">
        <v>18.5</v>
      </c>
      <c r="E14" s="32">
        <v>0</v>
      </c>
      <c r="F14" s="24">
        <v>315.89999999999998</v>
      </c>
      <c r="G14" s="24">
        <v>360.15</v>
      </c>
      <c r="H14" s="24">
        <f t="shared" si="0"/>
        <v>5844.15</v>
      </c>
      <c r="I14" s="24">
        <f t="shared" si="0"/>
        <v>0</v>
      </c>
      <c r="J14" s="151">
        <f t="shared" si="1"/>
        <v>5844.15</v>
      </c>
      <c r="K14" s="151">
        <f t="shared" si="2"/>
        <v>356.68</v>
      </c>
      <c r="L14" s="151">
        <f>(D14+E14)*J6</f>
        <v>202.57499999999999</v>
      </c>
      <c r="M14" s="151">
        <f>(D14+E14)*F7</f>
        <v>412.55</v>
      </c>
      <c r="N14" s="151"/>
      <c r="O14" s="151"/>
      <c r="P14" s="151">
        <v>2786.012602739725</v>
      </c>
      <c r="Q14" s="151">
        <f>'[16]HT-DOCENTE'!J15</f>
        <v>0</v>
      </c>
      <c r="R14" s="151">
        <f t="shared" si="5"/>
        <v>9601.9676027397254</v>
      </c>
      <c r="S14" s="152">
        <f>IF('[16]Calculo ISR '!$BH$34&lt;0,0,'[16]Calculo ISR '!$BH$34)</f>
        <v>1427.6042559452053</v>
      </c>
      <c r="T14" s="28">
        <f>J14*Q6</f>
        <v>613.63574999999992</v>
      </c>
      <c r="U14" s="28">
        <f>'[16]HT-DOCENTE'!P15</f>
        <v>0</v>
      </c>
      <c r="V14" s="28">
        <f>J14*W6</f>
        <v>58.441499999999998</v>
      </c>
      <c r="W14" s="28">
        <v>0</v>
      </c>
      <c r="X14" s="28"/>
      <c r="Y14" s="151">
        <f t="shared" si="6"/>
        <v>2099.6815059452051</v>
      </c>
      <c r="Z14" s="28">
        <f>IF('[16]Calculo ISR '!$BH$34&gt;0,0,('[16]Calculo ISR '!$BH$34)*-1)</f>
        <v>0</v>
      </c>
      <c r="AA14" s="25">
        <f t="shared" si="3"/>
        <v>7145.6060967945195</v>
      </c>
      <c r="AB14" s="25">
        <f t="shared" si="4"/>
        <v>356.68</v>
      </c>
      <c r="AC14" s="161"/>
      <c r="AD14" s="162"/>
    </row>
    <row r="15" spans="2:30" s="35" customFormat="1" ht="45" customHeight="1">
      <c r="B15" s="150" t="s">
        <v>42</v>
      </c>
      <c r="C15" s="33" t="s">
        <v>43</v>
      </c>
      <c r="D15" s="32">
        <v>2.5</v>
      </c>
      <c r="E15" s="32">
        <v>0</v>
      </c>
      <c r="F15" s="24">
        <v>315.89999999999998</v>
      </c>
      <c r="G15" s="24">
        <v>360.15</v>
      </c>
      <c r="H15" s="24">
        <f t="shared" si="0"/>
        <v>789.75</v>
      </c>
      <c r="I15" s="24">
        <f t="shared" si="0"/>
        <v>0</v>
      </c>
      <c r="J15" s="151">
        <f t="shared" si="1"/>
        <v>789.75</v>
      </c>
      <c r="K15" s="151">
        <f t="shared" si="2"/>
        <v>48.2</v>
      </c>
      <c r="L15" s="151">
        <f>(D15+E15)*J6</f>
        <v>27.375</v>
      </c>
      <c r="M15" s="151">
        <f>(D15+E15)*F7*2</f>
        <v>111.5</v>
      </c>
      <c r="N15" s="151"/>
      <c r="O15" s="151"/>
      <c r="P15" s="151">
        <v>292.01616438356155</v>
      </c>
      <c r="Q15" s="151">
        <f>R7*D15*2</f>
        <v>135.65</v>
      </c>
      <c r="R15" s="151">
        <f t="shared" si="5"/>
        <v>1404.4911643835617</v>
      </c>
      <c r="S15" s="152">
        <f>IF('[16]Calculo ISR '!$BI$34&lt;0,0,'[16]Calculo ISR '!$BI$34)</f>
        <v>0</v>
      </c>
      <c r="T15" s="28">
        <f>J15*Q6</f>
        <v>82.923749999999998</v>
      </c>
      <c r="U15" s="28">
        <v>0</v>
      </c>
      <c r="V15" s="28">
        <f>J15*W6</f>
        <v>7.8975</v>
      </c>
      <c r="W15" s="28">
        <f>'[16]HT-DOCENTE'!R16</f>
        <v>0</v>
      </c>
      <c r="X15" s="28"/>
      <c r="Y15" s="151">
        <f t="shared" si="6"/>
        <v>90.821249999999992</v>
      </c>
      <c r="Z15" s="28">
        <f>IF('[16]Calculo ISR '!$BI$34&gt;0,0,('[16]Calculo ISR '!$BI$34)*-1)</f>
        <v>124.91520547945203</v>
      </c>
      <c r="AA15" s="25">
        <f t="shared" si="3"/>
        <v>1390.3851198630136</v>
      </c>
      <c r="AB15" s="25">
        <f t="shared" si="4"/>
        <v>48.2</v>
      </c>
      <c r="AC15" s="161"/>
      <c r="AD15" s="162"/>
    </row>
    <row r="16" spans="2:30" s="35" customFormat="1" ht="45" customHeight="1">
      <c r="B16" s="150" t="s">
        <v>44</v>
      </c>
      <c r="C16" s="33" t="s">
        <v>45</v>
      </c>
      <c r="D16" s="153">
        <v>9.5</v>
      </c>
      <c r="E16" s="153">
        <v>7.5</v>
      </c>
      <c r="F16" s="24">
        <v>315.89999999999998</v>
      </c>
      <c r="G16" s="24">
        <v>360.15</v>
      </c>
      <c r="H16" s="24">
        <f t="shared" si="0"/>
        <v>3001.0499999999997</v>
      </c>
      <c r="I16" s="24">
        <f t="shared" si="0"/>
        <v>2701.125</v>
      </c>
      <c r="J16" s="151">
        <f t="shared" si="1"/>
        <v>5702.1749999999993</v>
      </c>
      <c r="K16" s="151">
        <f t="shared" si="2"/>
        <v>327.76</v>
      </c>
      <c r="L16" s="151">
        <f>(D16+E16)*J6</f>
        <v>186.14999999999998</v>
      </c>
      <c r="M16" s="151"/>
      <c r="N16" s="151"/>
      <c r="O16" s="151"/>
      <c r="P16" s="151">
        <v>3782.8932191780818</v>
      </c>
      <c r="Q16" s="151">
        <f>'[16]HT-DOCENTE'!J17</f>
        <v>0</v>
      </c>
      <c r="R16" s="151">
        <f t="shared" si="5"/>
        <v>9998.9782191780814</v>
      </c>
      <c r="S16" s="152">
        <f>IF('[16]Calculo ISR '!$BJ$34&lt;0,0,'[16]Calculo ISR '!$BJ$34)</f>
        <v>1518.5830356164383</v>
      </c>
      <c r="T16" s="28">
        <f>J16*Q6</f>
        <v>598.72837499999991</v>
      </c>
      <c r="U16" s="28">
        <f>'[16]HT-DOCENTE'!P17</f>
        <v>0</v>
      </c>
      <c r="V16" s="28">
        <f>J16*W6</f>
        <v>57.021749999999997</v>
      </c>
      <c r="W16" s="28">
        <f>'[16]HT-DOCENTE'!R17</f>
        <v>0</v>
      </c>
      <c r="X16" s="28"/>
      <c r="Y16" s="151">
        <f t="shared" si="6"/>
        <v>2174.3331606164384</v>
      </c>
      <c r="Z16" s="28">
        <f>IF('[16]Calculo ISR '!$BJ$34&gt;0,0,('[16]Calculo ISR '!$BJ$34)*-1)</f>
        <v>0</v>
      </c>
      <c r="AA16" s="25">
        <f t="shared" si="3"/>
        <v>7496.8850585616428</v>
      </c>
      <c r="AB16" s="25">
        <f t="shared" si="4"/>
        <v>327.76</v>
      </c>
      <c r="AC16" s="161"/>
      <c r="AD16" s="162"/>
    </row>
    <row r="17" spans="2:31" s="35" customFormat="1" ht="45" customHeight="1">
      <c r="B17" s="150" t="s">
        <v>48</v>
      </c>
      <c r="C17" s="33" t="s">
        <v>49</v>
      </c>
      <c r="D17" s="153">
        <v>18</v>
      </c>
      <c r="E17" s="153">
        <v>0</v>
      </c>
      <c r="F17" s="24">
        <v>315.89999999999998</v>
      </c>
      <c r="G17" s="24">
        <v>360.15</v>
      </c>
      <c r="H17" s="24">
        <f t="shared" si="0"/>
        <v>5686.2</v>
      </c>
      <c r="I17" s="24">
        <f t="shared" si="0"/>
        <v>0</v>
      </c>
      <c r="J17" s="151">
        <f t="shared" si="1"/>
        <v>5686.2</v>
      </c>
      <c r="K17" s="151">
        <f t="shared" si="2"/>
        <v>347.04</v>
      </c>
      <c r="L17" s="151">
        <f>(D17+E17)*J6</f>
        <v>197.1</v>
      </c>
      <c r="M17" s="151"/>
      <c r="N17" s="151"/>
      <c r="O17" s="151"/>
      <c r="P17" s="151">
        <v>2593.7835616438342</v>
      </c>
      <c r="Q17" s="151">
        <v>0</v>
      </c>
      <c r="R17" s="151">
        <f t="shared" si="5"/>
        <v>8824.1235616438353</v>
      </c>
      <c r="S17" s="152">
        <f>IF('[16]Calculo ISR '!$BL$34&lt;0,0,'[16]Calculo ISR '!$BL$34)</f>
        <v>1263.5158727671233</v>
      </c>
      <c r="T17" s="28">
        <f>J17*Q6</f>
        <v>597.05099999999993</v>
      </c>
      <c r="U17" s="28">
        <f>'[16]HT-DOCENTE'!P19</f>
        <v>0</v>
      </c>
      <c r="V17" s="28">
        <f>J17*W6</f>
        <v>56.862000000000002</v>
      </c>
      <c r="W17" s="28">
        <f>'[16]HT-DOCENTE'!R19</f>
        <v>0</v>
      </c>
      <c r="X17" s="28"/>
      <c r="Y17" s="151">
        <f t="shared" si="6"/>
        <v>1917.4288727671233</v>
      </c>
      <c r="Z17" s="28">
        <f>IF('[16]Calculo ISR '!$BL$34&gt;0,0,('[16]Calculo ISR '!$BL$34)*-1)</f>
        <v>0</v>
      </c>
      <c r="AA17" s="25">
        <f t="shared" si="3"/>
        <v>6559.6546888767125</v>
      </c>
      <c r="AB17" s="25">
        <f t="shared" si="4"/>
        <v>347.04</v>
      </c>
      <c r="AC17" s="161"/>
      <c r="AD17" s="162"/>
    </row>
    <row r="18" spans="2:31" s="35" customFormat="1" ht="45" customHeight="1">
      <c r="B18" s="150" t="s">
        <v>50</v>
      </c>
      <c r="C18" s="33" t="s">
        <v>51</v>
      </c>
      <c r="D18" s="153">
        <v>10.5</v>
      </c>
      <c r="E18" s="153">
        <v>7.5</v>
      </c>
      <c r="F18" s="24">
        <v>315.89999999999998</v>
      </c>
      <c r="G18" s="24">
        <v>360.15</v>
      </c>
      <c r="H18" s="24">
        <f t="shared" si="0"/>
        <v>3316.95</v>
      </c>
      <c r="I18" s="24">
        <f t="shared" si="0"/>
        <v>2701.125</v>
      </c>
      <c r="J18" s="151">
        <f t="shared" si="1"/>
        <v>6018.0749999999998</v>
      </c>
      <c r="K18" s="151">
        <f t="shared" si="2"/>
        <v>347.04</v>
      </c>
      <c r="L18" s="151">
        <f>(D18+E18)*J6</f>
        <v>197.1</v>
      </c>
      <c r="M18" s="151"/>
      <c r="N18" s="151"/>
      <c r="O18" s="151"/>
      <c r="P18" s="151">
        <v>2658.6895205479441</v>
      </c>
      <c r="Q18" s="151">
        <v>0</v>
      </c>
      <c r="R18" s="151">
        <f t="shared" si="5"/>
        <v>9220.9045205479451</v>
      </c>
      <c r="S18" s="152">
        <f>IF('[16]Calculo ISR '!$BM$34&lt;0,0,'[16]Calculo ISR '!$BM$34)</f>
        <v>1348.2682855890412</v>
      </c>
      <c r="T18" s="28">
        <f>J18*Q6</f>
        <v>631.897875</v>
      </c>
      <c r="U18" s="28">
        <v>1570</v>
      </c>
      <c r="V18" s="28">
        <f>J18*W6</f>
        <v>60.180749999999996</v>
      </c>
      <c r="W18" s="28"/>
      <c r="X18" s="28"/>
      <c r="Y18" s="151">
        <f t="shared" si="6"/>
        <v>3610.3469105890413</v>
      </c>
      <c r="Z18" s="28">
        <f>IF('[16]Calculo ISR '!$BM$34&gt;0,0,('[16]Calculo ISR '!$BM$34)*-1)</f>
        <v>0</v>
      </c>
      <c r="AA18" s="25">
        <f t="shared" si="3"/>
        <v>5263.5176099589034</v>
      </c>
      <c r="AB18" s="25">
        <f t="shared" si="4"/>
        <v>347.04</v>
      </c>
      <c r="AC18" s="161"/>
      <c r="AD18" s="162"/>
    </row>
    <row r="19" spans="2:31" s="35" customFormat="1" ht="45" customHeight="1">
      <c r="B19" s="150" t="s">
        <v>52</v>
      </c>
      <c r="C19" s="33" t="s">
        <v>53</v>
      </c>
      <c r="D19" s="153">
        <v>12</v>
      </c>
      <c r="E19" s="153">
        <v>7.5</v>
      </c>
      <c r="F19" s="24">
        <v>315.89999999999998</v>
      </c>
      <c r="G19" s="24">
        <v>360.15</v>
      </c>
      <c r="H19" s="24">
        <f t="shared" si="0"/>
        <v>3790.7999999999997</v>
      </c>
      <c r="I19" s="24">
        <f t="shared" si="0"/>
        <v>2701.125</v>
      </c>
      <c r="J19" s="151">
        <f t="shared" si="1"/>
        <v>6491.9249999999993</v>
      </c>
      <c r="K19" s="151">
        <f t="shared" si="2"/>
        <v>375.96000000000004</v>
      </c>
      <c r="L19" s="151">
        <f>(D19+E19)*J6</f>
        <v>213.52499999999998</v>
      </c>
      <c r="M19" s="151"/>
      <c r="N19" s="151"/>
      <c r="O19" s="151"/>
      <c r="P19" s="151">
        <v>2807.2876027397251</v>
      </c>
      <c r="Q19" s="151">
        <f>D19*R7*2</f>
        <v>651.12</v>
      </c>
      <c r="R19" s="151">
        <f t="shared" si="5"/>
        <v>10539.817602739726</v>
      </c>
      <c r="S19" s="152">
        <f>IF('[16]Calculo ISR '!$BN$34&lt;0,0,'[16]Calculo ISR '!$BN$34)</f>
        <v>1623.8108079452054</v>
      </c>
      <c r="T19" s="28">
        <f>J19*Q6</f>
        <v>681.65212499999984</v>
      </c>
      <c r="U19" s="28">
        <f>'[16]HT-DOCENTE'!P21</f>
        <v>0</v>
      </c>
      <c r="V19" s="28">
        <f>J19*W6</f>
        <v>64.919249999999991</v>
      </c>
      <c r="W19" s="28"/>
      <c r="X19" s="28"/>
      <c r="Y19" s="151">
        <f t="shared" si="6"/>
        <v>2370.3821829452054</v>
      </c>
      <c r="Z19" s="28">
        <f>IF('[16]Calculo ISR '!$BN$34&gt;0,0,('[16]Calculo ISR '!$BN$34)*-1)</f>
        <v>0</v>
      </c>
      <c r="AA19" s="25">
        <f t="shared" si="3"/>
        <v>7793.4754197945203</v>
      </c>
      <c r="AB19" s="25">
        <f t="shared" si="4"/>
        <v>375.96000000000004</v>
      </c>
      <c r="AC19" s="161"/>
      <c r="AD19" s="162"/>
    </row>
    <row r="20" spans="2:31" s="35" customFormat="1" ht="45" customHeight="1">
      <c r="B20" s="150" t="s">
        <v>54</v>
      </c>
      <c r="C20" s="33" t="s">
        <v>55</v>
      </c>
      <c r="D20" s="153">
        <v>11</v>
      </c>
      <c r="E20" s="153">
        <v>7.5</v>
      </c>
      <c r="F20" s="24">
        <v>315.89999999999998</v>
      </c>
      <c r="G20" s="24">
        <v>360.15</v>
      </c>
      <c r="H20" s="24">
        <f t="shared" si="0"/>
        <v>3474.8999999999996</v>
      </c>
      <c r="I20" s="24">
        <f t="shared" si="0"/>
        <v>2701.125</v>
      </c>
      <c r="J20" s="151">
        <f t="shared" si="1"/>
        <v>6176.0249999999996</v>
      </c>
      <c r="K20" s="151">
        <f t="shared" si="2"/>
        <v>356.68</v>
      </c>
      <c r="L20" s="151">
        <f>(D20+E20)*J6</f>
        <v>202.57499999999999</v>
      </c>
      <c r="M20" s="151"/>
      <c r="N20" s="151"/>
      <c r="O20" s="151"/>
      <c r="P20" s="151">
        <v>2796.887602739725</v>
      </c>
      <c r="Q20" s="151">
        <v>0</v>
      </c>
      <c r="R20" s="151">
        <f t="shared" si="5"/>
        <v>9532.1676027397243</v>
      </c>
      <c r="S20" s="152">
        <f>IF('[16]Calculo ISR '!$BO$34&lt;0,0,'[16]Calculo ISR '!$BO$34)</f>
        <v>1412.6949759452052</v>
      </c>
      <c r="T20" s="28">
        <f>J20*Q6</f>
        <v>648.48262499999998</v>
      </c>
      <c r="U20" s="28">
        <v>1324</v>
      </c>
      <c r="V20" s="28">
        <f>J20*W6</f>
        <v>61.760249999999999</v>
      </c>
      <c r="W20" s="28">
        <f>'[16]HT-DOCENTE'!R22</f>
        <v>0</v>
      </c>
      <c r="X20" s="28"/>
      <c r="Y20" s="151">
        <f t="shared" si="6"/>
        <v>3446.9378509452049</v>
      </c>
      <c r="Z20" s="28">
        <f>IF('[16]Calculo ISR '!$BO$34&gt;0,0,('[16]Calculo ISR '!$BO$34)*-1)</f>
        <v>0</v>
      </c>
      <c r="AA20" s="25">
        <f t="shared" si="3"/>
        <v>5728.5497517945187</v>
      </c>
      <c r="AB20" s="25">
        <f t="shared" si="4"/>
        <v>356.68</v>
      </c>
      <c r="AC20" s="161"/>
      <c r="AD20" s="162"/>
    </row>
    <row r="21" spans="2:31" s="35" customFormat="1" ht="45" customHeight="1">
      <c r="B21" s="150" t="s">
        <v>56</v>
      </c>
      <c r="C21" s="33" t="s">
        <v>57</v>
      </c>
      <c r="D21" s="153">
        <v>11.5</v>
      </c>
      <c r="E21" s="153">
        <v>7.5</v>
      </c>
      <c r="F21" s="24">
        <v>315.89999999999998</v>
      </c>
      <c r="G21" s="24">
        <v>360.15</v>
      </c>
      <c r="H21" s="24">
        <f t="shared" si="0"/>
        <v>3632.85</v>
      </c>
      <c r="I21" s="24">
        <f>E21*G21</f>
        <v>2701.125</v>
      </c>
      <c r="J21" s="151">
        <f t="shared" si="1"/>
        <v>6333.9750000000004</v>
      </c>
      <c r="K21" s="151">
        <f t="shared" si="2"/>
        <v>366.32000000000005</v>
      </c>
      <c r="L21" s="151">
        <f>(D21+E21)*J6</f>
        <v>208.04999999999998</v>
      </c>
      <c r="M21" s="151">
        <f>(D21+E21)*F7</f>
        <v>423.7</v>
      </c>
      <c r="N21" s="151"/>
      <c r="O21" s="151"/>
      <c r="P21" s="151">
        <v>2735.588561643835</v>
      </c>
      <c r="Q21" s="151">
        <v>0</v>
      </c>
      <c r="R21" s="151">
        <f t="shared" si="5"/>
        <v>10067.633561643835</v>
      </c>
      <c r="S21" s="152">
        <f>IF('[16]Calculo ISR '!$BP$34&lt;0,0,'[16]Calculo ISR '!$BP$34)</f>
        <v>1525.0114007671234</v>
      </c>
      <c r="T21" s="28">
        <f>J21*Q6</f>
        <v>665.06737499999997</v>
      </c>
      <c r="U21" s="28">
        <f>'[16]HT-DOCENTE'!P23</f>
        <v>0</v>
      </c>
      <c r="V21" s="28">
        <f>J21*W6</f>
        <v>63.339750000000002</v>
      </c>
      <c r="W21" s="28">
        <f>'[16]HT-DOCENTE'!R23</f>
        <v>0</v>
      </c>
      <c r="X21" s="30"/>
      <c r="Y21" s="151">
        <f t="shared" si="6"/>
        <v>2253.4185257671234</v>
      </c>
      <c r="Z21" s="28">
        <f>IF('[16]Calculo ISR '!$BP$34&gt;0,0,('[16]Calculo ISR '!$BP$34)*-1)</f>
        <v>0</v>
      </c>
      <c r="AA21" s="25">
        <f t="shared" si="3"/>
        <v>7447.8950358767124</v>
      </c>
      <c r="AB21" s="25">
        <f t="shared" si="4"/>
        <v>366.32000000000005</v>
      </c>
      <c r="AC21" s="161"/>
      <c r="AD21" s="162"/>
    </row>
    <row r="22" spans="2:31" s="35" customFormat="1" ht="45" customHeight="1">
      <c r="B22" s="150" t="s">
        <v>58</v>
      </c>
      <c r="C22" s="33" t="s">
        <v>59</v>
      </c>
      <c r="D22" s="153">
        <v>11</v>
      </c>
      <c r="E22" s="153">
        <v>0</v>
      </c>
      <c r="F22" s="24">
        <v>315.89999999999998</v>
      </c>
      <c r="G22" s="24">
        <v>360.15</v>
      </c>
      <c r="H22" s="24">
        <f t="shared" si="0"/>
        <v>3474.8999999999996</v>
      </c>
      <c r="I22" s="24">
        <f t="shared" si="0"/>
        <v>0</v>
      </c>
      <c r="J22" s="151">
        <f t="shared" si="1"/>
        <v>3474.8999999999996</v>
      </c>
      <c r="K22" s="151">
        <f t="shared" si="2"/>
        <v>212.08</v>
      </c>
      <c r="L22" s="151">
        <f>(D22+E22)*J6</f>
        <v>120.44999999999999</v>
      </c>
      <c r="M22" s="151"/>
      <c r="N22" s="151"/>
      <c r="O22" s="151"/>
      <c r="P22" s="151">
        <v>1577.4689041095889</v>
      </c>
      <c r="Q22" s="151"/>
      <c r="R22" s="151">
        <f t="shared" si="5"/>
        <v>5384.8989041095883</v>
      </c>
      <c r="S22" s="152">
        <f>IF('[16]Calculo ISR '!$BQ$34&lt;0,0,'[16]Calculo ISR '!$BQ$34)</f>
        <v>557.72494191780811</v>
      </c>
      <c r="T22" s="28">
        <f>J22*Q6</f>
        <v>364.86449999999996</v>
      </c>
      <c r="U22" s="28">
        <v>0</v>
      </c>
      <c r="V22" s="28">
        <f>J22*W6</f>
        <v>34.748999999999995</v>
      </c>
      <c r="W22" s="28"/>
      <c r="X22" s="28"/>
      <c r="Y22" s="151">
        <f t="shared" si="6"/>
        <v>957.33844191780804</v>
      </c>
      <c r="Z22" s="28">
        <f>IF('[16]Calculo ISR '!$BQ$34&gt;0,0,('[16]Calculo ISR '!$BQ$34)*-1)</f>
        <v>0</v>
      </c>
      <c r="AA22" s="25">
        <f t="shared" si="3"/>
        <v>4215.4804621917801</v>
      </c>
      <c r="AB22" s="25">
        <f t="shared" si="4"/>
        <v>212.08</v>
      </c>
      <c r="AC22" s="161"/>
      <c r="AD22" s="162"/>
    </row>
    <row r="23" spans="2:31" s="35" customFormat="1" ht="45" customHeight="1">
      <c r="B23" s="150" t="s">
        <v>60</v>
      </c>
      <c r="C23" s="33" t="s">
        <v>100</v>
      </c>
      <c r="D23" s="153">
        <v>16</v>
      </c>
      <c r="E23" s="153"/>
      <c r="F23" s="24">
        <v>315.89999999999998</v>
      </c>
      <c r="G23" s="24">
        <v>360.15</v>
      </c>
      <c r="H23" s="24">
        <f t="shared" si="0"/>
        <v>5054.3999999999996</v>
      </c>
      <c r="I23" s="24">
        <f t="shared" si="0"/>
        <v>0</v>
      </c>
      <c r="J23" s="151">
        <f t="shared" si="1"/>
        <v>5054.3999999999996</v>
      </c>
      <c r="K23" s="151">
        <f t="shared" si="2"/>
        <v>308.48</v>
      </c>
      <c r="L23" s="151">
        <f>(D23+E23)*J6</f>
        <v>175.2</v>
      </c>
      <c r="M23" s="151"/>
      <c r="N23" s="151"/>
      <c r="O23" s="151"/>
      <c r="P23" s="151">
        <v>2627.0145205479444</v>
      </c>
      <c r="Q23" s="151"/>
      <c r="R23" s="151">
        <f t="shared" si="5"/>
        <v>8165.0945205479438</v>
      </c>
      <c r="S23" s="152">
        <f>IF('[16]Calculo ISR '!$BR$34&lt;0,0,'[16]Calculo ISR '!$BR$34)</f>
        <v>1130.983685589041</v>
      </c>
      <c r="T23" s="28">
        <f>J23*Q6</f>
        <v>530.71199999999999</v>
      </c>
      <c r="U23" s="28"/>
      <c r="V23" s="28"/>
      <c r="W23" s="28"/>
      <c r="X23" s="28"/>
      <c r="Y23" s="151">
        <f t="shared" ref="Y23:Y35" si="7">S23+T23+U23+V23+W23+X23</f>
        <v>1661.695685589041</v>
      </c>
      <c r="Z23" s="28">
        <f>IF('[16]Calculo ISR '!$BR$34&gt;0,0,('[16]Calculo ISR '!$BR$34)*-1)</f>
        <v>0</v>
      </c>
      <c r="AA23" s="25">
        <f t="shared" si="3"/>
        <v>6194.9188349589022</v>
      </c>
      <c r="AB23" s="25">
        <f t="shared" si="4"/>
        <v>308.48</v>
      </c>
      <c r="AC23" s="161"/>
      <c r="AD23" s="162"/>
    </row>
    <row r="24" spans="2:31" s="35" customFormat="1" ht="45" customHeight="1">
      <c r="B24" s="150" t="s">
        <v>62</v>
      </c>
      <c r="C24" s="33" t="s">
        <v>63</v>
      </c>
      <c r="D24" s="153">
        <v>18</v>
      </c>
      <c r="E24" s="153">
        <v>0</v>
      </c>
      <c r="F24" s="24">
        <v>315.89999999999998</v>
      </c>
      <c r="G24" s="24">
        <v>360.15</v>
      </c>
      <c r="H24" s="24">
        <f t="shared" si="0"/>
        <v>5686.2</v>
      </c>
      <c r="I24" s="24">
        <f t="shared" si="0"/>
        <v>0</v>
      </c>
      <c r="J24" s="151">
        <f t="shared" si="1"/>
        <v>5686.2</v>
      </c>
      <c r="K24" s="151">
        <f t="shared" si="2"/>
        <v>347.04</v>
      </c>
      <c r="L24" s="151">
        <f>(D24+E24)*J6</f>
        <v>197.1</v>
      </c>
      <c r="M24" s="151"/>
      <c r="N24" s="151"/>
      <c r="O24" s="151"/>
      <c r="P24" s="151">
        <v>2514.8064383561632</v>
      </c>
      <c r="Q24" s="151">
        <v>0</v>
      </c>
      <c r="R24" s="151">
        <f t="shared" si="5"/>
        <v>8745.1464383561633</v>
      </c>
      <c r="S24" s="152">
        <f>IF('[16]Calculo ISR '!$BS$34&lt;0,0,'[16]Calculo ISR '!$BS$34)</f>
        <v>1246.6463592328764</v>
      </c>
      <c r="T24" s="28">
        <f>J24*Q6</f>
        <v>597.05099999999993</v>
      </c>
      <c r="U24" s="28"/>
      <c r="V24" s="28">
        <f>J24*W6</f>
        <v>56.862000000000002</v>
      </c>
      <c r="W24" s="28"/>
      <c r="X24" s="28"/>
      <c r="Y24" s="151">
        <f t="shared" si="7"/>
        <v>1900.5593592328764</v>
      </c>
      <c r="Z24" s="28">
        <f>IF('[16]Calculo ISR '!$BS$34&gt;0,0,('[16]Calculo ISR '!$BS$34)*-1)</f>
        <v>0</v>
      </c>
      <c r="AA24" s="25">
        <f t="shared" ref="AA24:AA34" si="8">R24-Y24+Z24-AB24</f>
        <v>6497.5470791232865</v>
      </c>
      <c r="AB24" s="25">
        <f t="shared" si="4"/>
        <v>347.04</v>
      </c>
      <c r="AC24" s="161"/>
      <c r="AD24" s="162"/>
    </row>
    <row r="25" spans="2:31" s="35" customFormat="1" ht="45" customHeight="1">
      <c r="B25" s="150" t="s">
        <v>64</v>
      </c>
      <c r="C25" s="33" t="s">
        <v>65</v>
      </c>
      <c r="D25" s="153">
        <v>17.5</v>
      </c>
      <c r="E25" s="153">
        <v>0</v>
      </c>
      <c r="F25" s="24">
        <v>315.89999999999998</v>
      </c>
      <c r="G25" s="24">
        <v>360.15</v>
      </c>
      <c r="H25" s="24">
        <f t="shared" si="0"/>
        <v>5528.25</v>
      </c>
      <c r="I25" s="24">
        <f t="shared" si="0"/>
        <v>0</v>
      </c>
      <c r="J25" s="151">
        <f t="shared" si="1"/>
        <v>5528.25</v>
      </c>
      <c r="K25" s="151">
        <f t="shared" si="2"/>
        <v>337.40000000000003</v>
      </c>
      <c r="L25" s="151">
        <f>(D25+E25)*J6</f>
        <v>191.625</v>
      </c>
      <c r="M25" s="151"/>
      <c r="N25" s="151"/>
      <c r="O25" s="151"/>
      <c r="P25" s="151">
        <v>2443.1073972602735</v>
      </c>
      <c r="Q25" s="151">
        <v>0</v>
      </c>
      <c r="R25" s="151">
        <f t="shared" si="5"/>
        <v>8500.3823972602731</v>
      </c>
      <c r="S25" s="152">
        <f>IF('[16]Calculo ISR '!$BT$34&lt;0,0,'[16]Calculo ISR '!$BT$34)</f>
        <v>1196.4238640547946</v>
      </c>
      <c r="T25" s="28">
        <f>J25*Q6</f>
        <v>580.46624999999995</v>
      </c>
      <c r="U25" s="28"/>
      <c r="V25" s="28"/>
      <c r="W25" s="28"/>
      <c r="X25" s="28"/>
      <c r="Y25" s="151">
        <f t="shared" si="7"/>
        <v>1776.8901140547946</v>
      </c>
      <c r="Z25" s="28">
        <f>IF('[16]Calculo ISR '!$BT$34&gt;0,0,('[16]Calculo ISR '!$BT$34)*-1)</f>
        <v>0</v>
      </c>
      <c r="AA25" s="25">
        <f t="shared" si="8"/>
        <v>6386.0922832054785</v>
      </c>
      <c r="AB25" s="25">
        <f t="shared" si="4"/>
        <v>337.40000000000003</v>
      </c>
      <c r="AC25" s="161"/>
      <c r="AD25" s="162"/>
    </row>
    <row r="26" spans="2:31" s="35" customFormat="1" ht="45" customHeight="1">
      <c r="B26" s="150" t="s">
        <v>66</v>
      </c>
      <c r="C26" s="36" t="s">
        <v>67</v>
      </c>
      <c r="D26" s="153">
        <v>10</v>
      </c>
      <c r="E26" s="153">
        <v>0</v>
      </c>
      <c r="F26" s="24">
        <v>315.89999999999998</v>
      </c>
      <c r="G26" s="24">
        <v>360.15</v>
      </c>
      <c r="H26" s="24">
        <f t="shared" si="0"/>
        <v>3159</v>
      </c>
      <c r="I26" s="24">
        <f t="shared" si="0"/>
        <v>0</v>
      </c>
      <c r="J26" s="151">
        <f t="shared" si="1"/>
        <v>3159</v>
      </c>
      <c r="K26" s="151">
        <f t="shared" si="2"/>
        <v>192.8</v>
      </c>
      <c r="L26" s="151">
        <f>(D26+E26)*J6</f>
        <v>109.5</v>
      </c>
      <c r="M26" s="151"/>
      <c r="N26" s="151"/>
      <c r="O26" s="151"/>
      <c r="P26" s="151">
        <v>1633.567945205479</v>
      </c>
      <c r="Q26" s="151">
        <v>0</v>
      </c>
      <c r="R26" s="151">
        <f t="shared" si="5"/>
        <v>5094.8679452054794</v>
      </c>
      <c r="S26" s="152">
        <f>IF('[16]Calculo ISR '!$BU$34&lt;0,0,'[16]Calculo ISR '!$BU$34)</f>
        <v>505.95606378082192</v>
      </c>
      <c r="T26" s="28">
        <f>J26*Q6</f>
        <v>331.69499999999999</v>
      </c>
      <c r="U26" s="28"/>
      <c r="V26" s="28"/>
      <c r="W26" s="28"/>
      <c r="X26" s="28"/>
      <c r="Y26" s="151">
        <f t="shared" si="7"/>
        <v>837.65106378082191</v>
      </c>
      <c r="Z26" s="28">
        <f>IF('[16]Calculo ISR '!$BU$34&gt;0,0,('[16]Calculo ISR '!$BU$34)*-1)</f>
        <v>0</v>
      </c>
      <c r="AA26" s="25">
        <f t="shared" si="8"/>
        <v>4064.4168814246577</v>
      </c>
      <c r="AB26" s="25">
        <f t="shared" si="4"/>
        <v>192.8</v>
      </c>
      <c r="AC26" s="161"/>
      <c r="AD26" s="162"/>
    </row>
    <row r="27" spans="2:31" s="35" customFormat="1" ht="45" customHeight="1">
      <c r="B27" s="150" t="s">
        <v>68</v>
      </c>
      <c r="C27" s="33" t="s">
        <v>69</v>
      </c>
      <c r="D27" s="153">
        <v>10.5</v>
      </c>
      <c r="E27" s="153">
        <v>0</v>
      </c>
      <c r="F27" s="24">
        <v>315.89999999999998</v>
      </c>
      <c r="G27" s="24">
        <v>360.15</v>
      </c>
      <c r="H27" s="24">
        <f t="shared" si="0"/>
        <v>3316.95</v>
      </c>
      <c r="I27" s="24">
        <f t="shared" si="0"/>
        <v>0</v>
      </c>
      <c r="J27" s="151">
        <f t="shared" si="1"/>
        <v>3316.95</v>
      </c>
      <c r="K27" s="151">
        <f t="shared" si="2"/>
        <v>202.44</v>
      </c>
      <c r="L27" s="151">
        <f>(D27+E27)*J6</f>
        <v>114.97499999999999</v>
      </c>
      <c r="M27" s="151"/>
      <c r="N27" s="151"/>
      <c r="O27" s="151"/>
      <c r="P27" s="151">
        <v>1505.7598630136984</v>
      </c>
      <c r="Q27" s="151">
        <f>R7*D27*2</f>
        <v>569.73</v>
      </c>
      <c r="R27" s="151">
        <f t="shared" si="5"/>
        <v>5709.8548630136975</v>
      </c>
      <c r="S27" s="152">
        <f>IF('[16]Calculo ISR '!$BV$34&lt;0,0,'[16]Calculo ISR '!$BV$34)</f>
        <v>629.19463873972597</v>
      </c>
      <c r="T27" s="28">
        <f>J27*Q6</f>
        <v>348.27974999999998</v>
      </c>
      <c r="U27" s="28"/>
      <c r="V27" s="28"/>
      <c r="W27" s="28"/>
      <c r="X27" s="28"/>
      <c r="Y27" s="151">
        <f t="shared" si="7"/>
        <v>977.47438873972601</v>
      </c>
      <c r="Z27" s="28">
        <f>IF('[16]Calculo ISR '!$BV$34&gt;0,0,('[16]Calculo ISR '!$BV$34)*-1)</f>
        <v>0</v>
      </c>
      <c r="AA27" s="25">
        <f t="shared" si="8"/>
        <v>4529.9404742739716</v>
      </c>
      <c r="AB27" s="25">
        <f t="shared" si="4"/>
        <v>202.44</v>
      </c>
      <c r="AC27" s="161"/>
      <c r="AD27" s="162"/>
    </row>
    <row r="28" spans="2:31" s="35" customFormat="1" ht="45" customHeight="1">
      <c r="B28" s="150" t="s">
        <v>70</v>
      </c>
      <c r="C28" s="33" t="s">
        <v>71</v>
      </c>
      <c r="D28" s="153">
        <v>7</v>
      </c>
      <c r="E28" s="153">
        <v>0</v>
      </c>
      <c r="F28" s="24">
        <v>315.89999999999998</v>
      </c>
      <c r="G28" s="24">
        <v>360.15</v>
      </c>
      <c r="H28" s="24">
        <f t="shared" si="0"/>
        <v>2211.2999999999997</v>
      </c>
      <c r="I28" s="24">
        <f t="shared" si="0"/>
        <v>0</v>
      </c>
      <c r="J28" s="151">
        <f t="shared" si="1"/>
        <v>2211.2999999999997</v>
      </c>
      <c r="K28" s="151">
        <f t="shared" si="2"/>
        <v>134.96</v>
      </c>
      <c r="L28" s="151">
        <f>(D28+E28)*J6</f>
        <v>76.649999999999991</v>
      </c>
      <c r="M28" s="151"/>
      <c r="N28" s="151"/>
      <c r="O28" s="151"/>
      <c r="P28" s="151">
        <v>1070.3456164383558</v>
      </c>
      <c r="Q28" s="151"/>
      <c r="R28" s="151">
        <f t="shared" si="5"/>
        <v>3493.2556164383559</v>
      </c>
      <c r="S28" s="152">
        <f>IF('[16]Calculo ISR '!$BW$34&lt;0,0,'[16]Calculo ISR '!$BW$34)</f>
        <v>136.19947506849311</v>
      </c>
      <c r="T28" s="28">
        <f>J28*Q6</f>
        <v>232.18649999999997</v>
      </c>
      <c r="U28" s="28"/>
      <c r="V28" s="28"/>
      <c r="W28" s="28"/>
      <c r="X28" s="28"/>
      <c r="Y28" s="151">
        <f t="shared" si="7"/>
        <v>368.38597506849305</v>
      </c>
      <c r="Z28" s="28">
        <f>IF('[16]Calculo ISR '!$BW$34&gt;0,0,('[16]Calculo ISR '!$BW$34)*-1)</f>
        <v>0</v>
      </c>
      <c r="AA28" s="25">
        <f t="shared" si="8"/>
        <v>2989.9096413698626</v>
      </c>
      <c r="AB28" s="25">
        <f t="shared" si="4"/>
        <v>134.96</v>
      </c>
      <c r="AC28" s="161"/>
      <c r="AD28" s="162"/>
    </row>
    <row r="29" spans="2:31" s="35" customFormat="1" ht="45" customHeight="1">
      <c r="B29" s="150" t="s">
        <v>72</v>
      </c>
      <c r="C29" s="33" t="s">
        <v>73</v>
      </c>
      <c r="D29" s="153">
        <v>7.5</v>
      </c>
      <c r="E29" s="153">
        <v>0</v>
      </c>
      <c r="F29" s="24">
        <v>315.89999999999998</v>
      </c>
      <c r="G29" s="24">
        <v>360.15</v>
      </c>
      <c r="H29" s="24">
        <f t="shared" si="0"/>
        <v>2369.25</v>
      </c>
      <c r="I29" s="24">
        <f t="shared" si="0"/>
        <v>0</v>
      </c>
      <c r="J29" s="151">
        <f t="shared" si="1"/>
        <v>2369.25</v>
      </c>
      <c r="K29" s="151">
        <f t="shared" si="2"/>
        <v>144.60000000000002</v>
      </c>
      <c r="L29" s="151">
        <f>(D29+E29)*J6</f>
        <v>82.125</v>
      </c>
      <c r="M29" s="151"/>
      <c r="N29" s="151"/>
      <c r="O29" s="151"/>
      <c r="P29" s="151">
        <v>1408.060821917808</v>
      </c>
      <c r="Q29" s="151">
        <f>R7*D29*2</f>
        <v>406.95</v>
      </c>
      <c r="R29" s="151">
        <f t="shared" si="5"/>
        <v>4410.9858219178077</v>
      </c>
      <c r="S29" s="152">
        <f>IF('[16]Calculo ISR '!$BX$34&lt;0,0,'[16]Calculo ISR '!$BX$34)</f>
        <v>392.04182728767114</v>
      </c>
      <c r="T29" s="28">
        <f>J29*Q6</f>
        <v>248.77124999999998</v>
      </c>
      <c r="U29" s="28"/>
      <c r="V29" s="28"/>
      <c r="W29" s="28"/>
      <c r="X29" s="30"/>
      <c r="Y29" s="151">
        <f t="shared" si="7"/>
        <v>640.81307728767115</v>
      </c>
      <c r="Z29" s="28">
        <f>IF('[16]Calculo ISR '!$BX$34&gt;0,0,('[16]Calculo ISR '!$BX$34)*-1)</f>
        <v>0</v>
      </c>
      <c r="AA29" s="25">
        <f t="shared" si="8"/>
        <v>3625.5727446301366</v>
      </c>
      <c r="AB29" s="25">
        <f t="shared" si="4"/>
        <v>144.60000000000002</v>
      </c>
      <c r="AC29" s="184"/>
      <c r="AD29" s="185"/>
      <c r="AE29" s="70"/>
    </row>
    <row r="30" spans="2:31" s="35" customFormat="1" ht="45" customHeight="1">
      <c r="B30" s="150" t="s">
        <v>94</v>
      </c>
      <c r="C30" s="33" t="s">
        <v>101</v>
      </c>
      <c r="D30" s="153">
        <v>10.5</v>
      </c>
      <c r="E30" s="153">
        <v>0</v>
      </c>
      <c r="F30" s="24">
        <v>315.89999999999998</v>
      </c>
      <c r="G30" s="24">
        <v>360.15</v>
      </c>
      <c r="H30" s="24">
        <f t="shared" si="0"/>
        <v>3316.95</v>
      </c>
      <c r="I30" s="24">
        <f t="shared" si="0"/>
        <v>0</v>
      </c>
      <c r="J30" s="151">
        <f t="shared" si="1"/>
        <v>3316.95</v>
      </c>
      <c r="K30" s="151">
        <f t="shared" si="2"/>
        <v>202.44</v>
      </c>
      <c r="L30" s="151">
        <f>(D30+E30)*J6</f>
        <v>114.97499999999999</v>
      </c>
      <c r="M30" s="151"/>
      <c r="N30" s="151"/>
      <c r="O30" s="151"/>
      <c r="P30" s="151">
        <v>4182.2960273972594</v>
      </c>
      <c r="Q30" s="151"/>
      <c r="R30" s="151">
        <f t="shared" si="5"/>
        <v>7816.6610273972592</v>
      </c>
      <c r="S30" s="152">
        <f>IF('[16]Calculo ISR '!$BY$34&lt;0,0,'[16]Calculo ISR '!$BY$34)</f>
        <v>1079.2084354520548</v>
      </c>
      <c r="T30" s="28">
        <f>J30*10.5%</f>
        <v>348.27974999999998</v>
      </c>
      <c r="U30" s="28"/>
      <c r="V30" s="28"/>
      <c r="W30" s="28"/>
      <c r="X30" s="30">
        <f>[16]descuentos!D10</f>
        <v>305.5</v>
      </c>
      <c r="Y30" s="151">
        <f t="shared" si="7"/>
        <v>1732.9881854520547</v>
      </c>
      <c r="Z30" s="28">
        <f>IF('[16]Calculo ISR '!$BY$34&gt;0,0,('[16]Calculo ISR '!$BY$34)*-1)</f>
        <v>0</v>
      </c>
      <c r="AA30" s="25">
        <f t="shared" si="8"/>
        <v>5881.2328419452051</v>
      </c>
      <c r="AB30" s="71">
        <f t="shared" si="4"/>
        <v>202.44</v>
      </c>
      <c r="AC30" s="138"/>
      <c r="AD30" s="73"/>
      <c r="AE30" s="70"/>
    </row>
    <row r="31" spans="2:31" s="35" customFormat="1" ht="45" customHeight="1">
      <c r="B31" s="150" t="s">
        <v>96</v>
      </c>
      <c r="C31" s="33" t="s">
        <v>102</v>
      </c>
      <c r="D31" s="153">
        <v>14</v>
      </c>
      <c r="E31" s="153">
        <v>0</v>
      </c>
      <c r="F31" s="24">
        <v>315.89999999999998</v>
      </c>
      <c r="G31" s="24">
        <v>360.15</v>
      </c>
      <c r="H31" s="24">
        <f t="shared" si="0"/>
        <v>4422.5999999999995</v>
      </c>
      <c r="I31" s="24">
        <f t="shared" si="0"/>
        <v>0</v>
      </c>
      <c r="J31" s="151">
        <f t="shared" si="1"/>
        <v>4422.5999999999995</v>
      </c>
      <c r="K31" s="151">
        <f t="shared" si="2"/>
        <v>269.92</v>
      </c>
      <c r="L31" s="151">
        <f>(D31+E31)*J6</f>
        <v>153.29999999999998</v>
      </c>
      <c r="M31" s="151"/>
      <c r="N31" s="151"/>
      <c r="O31" s="151"/>
      <c r="P31" s="151">
        <v>2649.7156164383559</v>
      </c>
      <c r="Q31" s="151"/>
      <c r="R31" s="151">
        <f t="shared" si="5"/>
        <v>7495.5356164383556</v>
      </c>
      <c r="S31" s="152">
        <f>IF('[16]Calculo ISR '!$BZ$34&lt;0,0,'[16]Calculo ISR '!$BZ$34)</f>
        <v>996.20231967123277</v>
      </c>
      <c r="T31" s="28">
        <f>J31*10.5%</f>
        <v>464.37299999999993</v>
      </c>
      <c r="U31" s="28"/>
      <c r="V31" s="28"/>
      <c r="W31" s="28"/>
      <c r="X31" s="30">
        <f>[16]descuentos!D11</f>
        <v>305.5</v>
      </c>
      <c r="Y31" s="151">
        <f t="shared" si="7"/>
        <v>1766.0753196712326</v>
      </c>
      <c r="Z31" s="28">
        <f>IF('[16]Calculo ISR '!$BZ$34&gt;0,0,('[16]Calculo ISR '!$BZ$34)*-1)</f>
        <v>0</v>
      </c>
      <c r="AA31" s="25">
        <f t="shared" si="8"/>
        <v>5459.5402967671234</v>
      </c>
      <c r="AB31" s="71">
        <f t="shared" si="4"/>
        <v>269.92</v>
      </c>
      <c r="AC31" s="138"/>
      <c r="AD31" s="73"/>
      <c r="AE31" s="70"/>
    </row>
    <row r="32" spans="2:31" s="35" customFormat="1" ht="45" customHeight="1">
      <c r="B32" s="150" t="s">
        <v>103</v>
      </c>
      <c r="C32" s="33" t="s">
        <v>124</v>
      </c>
      <c r="D32" s="153">
        <v>4</v>
      </c>
      <c r="E32" s="153">
        <v>0</v>
      </c>
      <c r="F32" s="24">
        <v>315.89999999999998</v>
      </c>
      <c r="G32" s="24">
        <v>360.15</v>
      </c>
      <c r="H32" s="24">
        <f t="shared" si="0"/>
        <v>1263.5999999999999</v>
      </c>
      <c r="I32" s="24">
        <f t="shared" si="0"/>
        <v>0</v>
      </c>
      <c r="J32" s="151">
        <f t="shared" si="1"/>
        <v>1263.5999999999999</v>
      </c>
      <c r="K32" s="151">
        <f t="shared" si="2"/>
        <v>77.12</v>
      </c>
      <c r="L32" s="151">
        <f>(D32+E32)*J6</f>
        <v>43.8</v>
      </c>
      <c r="M32" s="151"/>
      <c r="N32" s="151"/>
      <c r="O32" s="151"/>
      <c r="P32" s="151">
        <v>156</v>
      </c>
      <c r="Q32" s="151"/>
      <c r="R32" s="151">
        <f t="shared" si="5"/>
        <v>1540.5199999999998</v>
      </c>
      <c r="S32" s="152">
        <f>IF('[16]Calculo ISR '!$CA$34&lt;0,0,'[16]Calculo ISR '!$CA$34)</f>
        <v>0</v>
      </c>
      <c r="T32" s="28">
        <f t="shared" ref="T32:T34" si="9">J32*10.5%</f>
        <v>132.678</v>
      </c>
      <c r="U32" s="28"/>
      <c r="V32" s="28"/>
      <c r="W32" s="28"/>
      <c r="X32" s="28"/>
      <c r="Y32" s="151">
        <f t="shared" si="7"/>
        <v>132.678</v>
      </c>
      <c r="Z32" s="28">
        <f>IF('[16]Calculo ISR '!$CA$34&gt;0,0,('[16]Calculo ISR '!$CA$34)*-1)</f>
        <v>118.06024000000001</v>
      </c>
      <c r="AA32" s="25">
        <f t="shared" si="8"/>
        <v>1448.7822399999995</v>
      </c>
      <c r="AB32" s="71">
        <f t="shared" si="4"/>
        <v>77.12</v>
      </c>
      <c r="AC32" s="138"/>
      <c r="AD32" s="73"/>
      <c r="AE32" s="70"/>
    </row>
    <row r="33" spans="2:34" s="35" customFormat="1" ht="45" customHeight="1">
      <c r="B33" s="150" t="s">
        <v>105</v>
      </c>
      <c r="C33" s="33" t="s">
        <v>106</v>
      </c>
      <c r="D33" s="153">
        <v>4</v>
      </c>
      <c r="E33" s="153">
        <v>0</v>
      </c>
      <c r="F33" s="24">
        <v>315.89999999999998</v>
      </c>
      <c r="G33" s="24">
        <v>360.15</v>
      </c>
      <c r="H33" s="24">
        <f t="shared" si="0"/>
        <v>1263.5999999999999</v>
      </c>
      <c r="I33" s="24">
        <f t="shared" si="0"/>
        <v>0</v>
      </c>
      <c r="J33" s="151">
        <f t="shared" si="1"/>
        <v>1263.5999999999999</v>
      </c>
      <c r="K33" s="151">
        <f t="shared" si="2"/>
        <v>77.12</v>
      </c>
      <c r="L33" s="151">
        <f>(D33+E33)*J6</f>
        <v>43.8</v>
      </c>
      <c r="M33" s="151"/>
      <c r="N33" s="151"/>
      <c r="O33" s="151"/>
      <c r="P33" s="151"/>
      <c r="Q33" s="151"/>
      <c r="R33" s="151">
        <f t="shared" si="5"/>
        <v>1384.5199999999998</v>
      </c>
      <c r="S33" s="152">
        <f>IF('[16]Calculo ISR '!$CB$34&lt;0,0,'[16]Calculo ISR '!$CB$34)</f>
        <v>0</v>
      </c>
      <c r="T33" s="28">
        <f t="shared" si="9"/>
        <v>132.678</v>
      </c>
      <c r="U33" s="28"/>
      <c r="V33" s="28"/>
      <c r="W33" s="28"/>
      <c r="X33" s="30">
        <f>[16]descuentos!D12</f>
        <v>305.5</v>
      </c>
      <c r="Y33" s="151">
        <f t="shared" si="7"/>
        <v>438.178</v>
      </c>
      <c r="Z33" s="28">
        <f>IF('[16]Calculo ISR '!$CB$34&gt;0,0,('[16]Calculo ISR '!$CB$34)*-1)</f>
        <v>128.04424</v>
      </c>
      <c r="AA33" s="25">
        <f t="shared" si="8"/>
        <v>997.26623999999981</v>
      </c>
      <c r="AB33" s="71">
        <f t="shared" si="4"/>
        <v>77.12</v>
      </c>
      <c r="AC33" s="138"/>
      <c r="AD33" s="73"/>
      <c r="AE33" s="70"/>
    </row>
    <row r="34" spans="2:34" s="35" customFormat="1" ht="45" customHeight="1">
      <c r="B34" s="150" t="s">
        <v>112</v>
      </c>
      <c r="C34" s="33" t="s">
        <v>113</v>
      </c>
      <c r="D34" s="153">
        <v>4</v>
      </c>
      <c r="E34" s="153">
        <v>0</v>
      </c>
      <c r="F34" s="24">
        <v>315.89999999999998</v>
      </c>
      <c r="G34" s="24">
        <v>360.15</v>
      </c>
      <c r="H34" s="24">
        <f t="shared" si="0"/>
        <v>1263.5999999999999</v>
      </c>
      <c r="I34" s="24">
        <f t="shared" si="0"/>
        <v>0</v>
      </c>
      <c r="J34" s="151">
        <f t="shared" si="1"/>
        <v>1263.5999999999999</v>
      </c>
      <c r="K34" s="151">
        <f t="shared" si="2"/>
        <v>77.12</v>
      </c>
      <c r="L34" s="151">
        <f>(D34+E34)*J6</f>
        <v>43.8</v>
      </c>
      <c r="M34" s="151"/>
      <c r="N34" s="151"/>
      <c r="O34" s="151"/>
      <c r="P34" s="151"/>
      <c r="Q34" s="151"/>
      <c r="R34" s="151">
        <f t="shared" si="5"/>
        <v>1384.5199999999998</v>
      </c>
      <c r="S34" s="152">
        <f>IF('[16]Calculo ISR '!$CC$34&lt;0,0,'[16]Calculo ISR '!$CC$34)</f>
        <v>0</v>
      </c>
      <c r="T34" s="28">
        <f t="shared" si="9"/>
        <v>132.678</v>
      </c>
      <c r="U34" s="28"/>
      <c r="V34" s="28"/>
      <c r="W34" s="28"/>
      <c r="X34" s="28"/>
      <c r="Y34" s="151">
        <f t="shared" si="7"/>
        <v>132.678</v>
      </c>
      <c r="Z34" s="28">
        <f>IF('[16]Calculo ISR '!$CC$34&gt;0,0,('[16]Calculo ISR '!$CC$34)*-1)</f>
        <v>128.04424</v>
      </c>
      <c r="AA34" s="25">
        <f t="shared" si="8"/>
        <v>1302.7662399999995</v>
      </c>
      <c r="AB34" s="71">
        <f t="shared" si="4"/>
        <v>77.12</v>
      </c>
      <c r="AC34" s="138"/>
      <c r="AD34" s="73"/>
      <c r="AE34" s="70"/>
    </row>
    <row r="35" spans="2:34" s="35" customFormat="1" ht="45" customHeight="1">
      <c r="B35" s="150" t="s">
        <v>125</v>
      </c>
      <c r="C35" s="33" t="s">
        <v>126</v>
      </c>
      <c r="D35" s="153">
        <v>15</v>
      </c>
      <c r="E35" s="153">
        <v>0</v>
      </c>
      <c r="F35" s="24">
        <v>315.89999999999998</v>
      </c>
      <c r="G35" s="24">
        <v>360.15</v>
      </c>
      <c r="H35" s="24">
        <f t="shared" ref="H35:I38" si="10">D35*F35</f>
        <v>4738.5</v>
      </c>
      <c r="I35" s="24">
        <f t="shared" si="10"/>
        <v>0</v>
      </c>
      <c r="J35" s="151">
        <f t="shared" si="1"/>
        <v>4738.5</v>
      </c>
      <c r="K35" s="151">
        <f t="shared" si="2"/>
        <v>289.20000000000005</v>
      </c>
      <c r="L35" s="151">
        <f>(D35+E35)*J$6</f>
        <v>164.25</v>
      </c>
      <c r="M35" s="151"/>
      <c r="N35" s="151"/>
      <c r="O35" s="151"/>
      <c r="P35" s="151"/>
      <c r="Q35" s="151">
        <f>D35*R7*2</f>
        <v>813.9</v>
      </c>
      <c r="R35" s="151">
        <f>SUM(J35:Q35)</f>
        <v>6005.8499999999995</v>
      </c>
      <c r="S35" s="152">
        <f>IF('[16]Calculo ISR '!$CF$34&lt;0,0,'[16]Calculo ISR '!$CF$34)</f>
        <v>673.88726399999996</v>
      </c>
      <c r="T35" s="28">
        <f>J35*10.5%</f>
        <v>497.54249999999996</v>
      </c>
      <c r="U35" s="28"/>
      <c r="V35" s="28"/>
      <c r="W35" s="28"/>
      <c r="X35" s="28"/>
      <c r="Y35" s="151">
        <f t="shared" si="7"/>
        <v>1171.429764</v>
      </c>
      <c r="Z35" s="28">
        <f>IF('[16]Calculo ISR '!$CF$34&gt;0,0,('[16]Calculo ISR '!$CF$34)*-1)</f>
        <v>0</v>
      </c>
      <c r="AA35" s="25">
        <f>R35-Y35+Z35-AB35</f>
        <v>4545.2202360000001</v>
      </c>
      <c r="AB35" s="71">
        <f t="shared" si="4"/>
        <v>289.20000000000005</v>
      </c>
      <c r="AC35" s="138"/>
      <c r="AD35" s="73"/>
      <c r="AE35" s="70"/>
    </row>
    <row r="36" spans="2:34" s="35" customFormat="1" ht="45" customHeight="1">
      <c r="B36" s="150" t="s">
        <v>127</v>
      </c>
      <c r="C36" s="33" t="s">
        <v>128</v>
      </c>
      <c r="D36" s="153">
        <v>5</v>
      </c>
      <c r="E36" s="153"/>
      <c r="F36" s="24">
        <v>315.89999999999998</v>
      </c>
      <c r="G36" s="24">
        <v>360.15</v>
      </c>
      <c r="H36" s="24">
        <f t="shared" si="10"/>
        <v>1579.5</v>
      </c>
      <c r="I36" s="24">
        <f t="shared" si="10"/>
        <v>0</v>
      </c>
      <c r="J36" s="151">
        <f t="shared" si="1"/>
        <v>1579.5</v>
      </c>
      <c r="K36" s="151">
        <f t="shared" si="2"/>
        <v>96.4</v>
      </c>
      <c r="L36" s="151">
        <f t="shared" ref="L36:L38" si="11">(D36+E36)*J$6</f>
        <v>54.75</v>
      </c>
      <c r="M36" s="151"/>
      <c r="N36" s="151"/>
      <c r="O36" s="151"/>
      <c r="P36" s="151"/>
      <c r="Q36" s="151"/>
      <c r="R36" s="151">
        <f>SUM(J36:Q36)</f>
        <v>1730.65</v>
      </c>
      <c r="S36" s="152">
        <f>IF('[16]Calculo ISR '!$CE$34&lt;0,0,'[16]Calculo ISR '!$CE$34)</f>
        <v>0</v>
      </c>
      <c r="T36" s="28">
        <f t="shared" ref="T36:T38" si="12">J36*10.5%</f>
        <v>165.8475</v>
      </c>
      <c r="U36" s="28"/>
      <c r="V36" s="28"/>
      <c r="W36" s="28"/>
      <c r="X36" s="28"/>
      <c r="Y36" s="151">
        <f>S36+T36+U36+V36+W36+X36</f>
        <v>165.8475</v>
      </c>
      <c r="Z36" s="28">
        <f>IF('[16]Calculo ISR '!$CE$34&gt;0,0,('[16]Calculo ISR '!$CE$34)*-1)</f>
        <v>107.12583999999998</v>
      </c>
      <c r="AA36" s="25">
        <f t="shared" ref="AA36:AA38" si="13">R36-Y36+Z36-AB36</f>
        <v>1575.5283399999998</v>
      </c>
      <c r="AB36" s="25">
        <f>K36</f>
        <v>96.4</v>
      </c>
      <c r="AC36" s="138"/>
      <c r="AD36" s="73"/>
      <c r="AE36" s="70"/>
    </row>
    <row r="37" spans="2:34" s="35" customFormat="1" ht="45" customHeight="1">
      <c r="B37" s="150" t="s">
        <v>129</v>
      </c>
      <c r="C37" s="33" t="s">
        <v>130</v>
      </c>
      <c r="D37" s="153">
        <v>10</v>
      </c>
      <c r="E37" s="153"/>
      <c r="F37" s="24">
        <v>315.89999999999998</v>
      </c>
      <c r="G37" s="24">
        <v>360.15</v>
      </c>
      <c r="H37" s="24">
        <f t="shared" si="10"/>
        <v>3159</v>
      </c>
      <c r="I37" s="24">
        <f t="shared" si="10"/>
        <v>0</v>
      </c>
      <c r="J37" s="151">
        <f t="shared" si="1"/>
        <v>3159</v>
      </c>
      <c r="K37" s="151">
        <f t="shared" si="2"/>
        <v>192.8</v>
      </c>
      <c r="L37" s="151">
        <f t="shared" si="11"/>
        <v>109.5</v>
      </c>
      <c r="M37" s="151"/>
      <c r="N37" s="151"/>
      <c r="O37" s="151"/>
      <c r="P37" s="151"/>
      <c r="Q37" s="151"/>
      <c r="R37" s="151">
        <f t="shared" ref="R37:R38" si="14">SUM(J37:Q37)</f>
        <v>3461.3</v>
      </c>
      <c r="S37" s="152">
        <f>IF('[16]Calculo ISR '!$CD$34&lt;0,0,'[16]Calculo ISR '!$CD$34)</f>
        <v>126.42971199999997</v>
      </c>
      <c r="T37" s="28">
        <f t="shared" si="12"/>
        <v>331.69499999999999</v>
      </c>
      <c r="U37" s="28"/>
      <c r="V37" s="28"/>
      <c r="W37" s="28"/>
      <c r="X37" s="28"/>
      <c r="Y37" s="151">
        <f t="shared" ref="Y37:Y38" si="15">S37+T37+U37+V37+W37+X37</f>
        <v>458.12471199999993</v>
      </c>
      <c r="Z37" s="28">
        <f>IF('[16]Calculo ISR '!$CD$34&gt;0,0,('[16]Calculo ISR '!$CD$34)*-1)</f>
        <v>0</v>
      </c>
      <c r="AA37" s="25">
        <f t="shared" si="13"/>
        <v>2810.3752880000002</v>
      </c>
      <c r="AB37" s="25">
        <f>K37</f>
        <v>192.8</v>
      </c>
      <c r="AC37" s="138"/>
      <c r="AD37" s="73"/>
      <c r="AE37" s="70"/>
    </row>
    <row r="38" spans="2:34" s="35" customFormat="1" ht="45" customHeight="1">
      <c r="B38" s="154" t="s">
        <v>131</v>
      </c>
      <c r="C38" s="33" t="s">
        <v>132</v>
      </c>
      <c r="D38" s="153">
        <v>14</v>
      </c>
      <c r="E38" s="153">
        <v>0</v>
      </c>
      <c r="F38" s="24">
        <v>315.89999999999998</v>
      </c>
      <c r="G38" s="24">
        <v>360.15</v>
      </c>
      <c r="H38" s="24">
        <f t="shared" si="10"/>
        <v>4422.5999999999995</v>
      </c>
      <c r="I38" s="24">
        <f t="shared" si="10"/>
        <v>0</v>
      </c>
      <c r="J38" s="151">
        <f t="shared" si="1"/>
        <v>4422.5999999999995</v>
      </c>
      <c r="K38" s="151">
        <f t="shared" si="2"/>
        <v>269.92</v>
      </c>
      <c r="L38" s="151">
        <f t="shared" si="11"/>
        <v>153.29999999999998</v>
      </c>
      <c r="M38" s="151"/>
      <c r="N38" s="151"/>
      <c r="O38" s="151"/>
      <c r="P38" s="151"/>
      <c r="Q38" s="151">
        <f>R7*D38*2</f>
        <v>759.64</v>
      </c>
      <c r="R38" s="151">
        <f t="shared" si="14"/>
        <v>5605.46</v>
      </c>
      <c r="S38" s="152">
        <f>IF('[16]Calculo ISR '!$CJ$34&lt;0,0,'[16]Calculo ISR '!$CJ$34)</f>
        <v>592.48216800000012</v>
      </c>
      <c r="T38" s="28">
        <f t="shared" si="12"/>
        <v>464.37299999999993</v>
      </c>
      <c r="U38" s="28"/>
      <c r="V38" s="28"/>
      <c r="W38" s="28"/>
      <c r="X38" s="28"/>
      <c r="Y38" s="151">
        <f t="shared" si="15"/>
        <v>1056.855168</v>
      </c>
      <c r="Z38" s="28">
        <f>IF('[16]Calculo ISR '!$CJ$34&gt;0,0,('[16]Calculo ISR '!$CJ$34)*-1)</f>
        <v>0</v>
      </c>
      <c r="AA38" s="25">
        <f t="shared" si="13"/>
        <v>4278.6848319999999</v>
      </c>
      <c r="AB38" s="25">
        <f>K38</f>
        <v>269.92</v>
      </c>
      <c r="AC38" s="138"/>
      <c r="AD38" s="73"/>
      <c r="AE38" s="70"/>
    </row>
    <row r="39" spans="2:34" s="2" customFormat="1" ht="30" customHeight="1" thickBot="1">
      <c r="B39" s="86"/>
      <c r="C39" s="38" t="s">
        <v>147</v>
      </c>
      <c r="D39" s="155">
        <f t="shared" ref="D39:AA39" si="16">SUM(D10:D38)</f>
        <v>311.5</v>
      </c>
      <c r="E39" s="155">
        <f t="shared" si="16"/>
        <v>60</v>
      </c>
      <c r="F39" s="156">
        <f t="shared" si="16"/>
        <v>9161.0999999999949</v>
      </c>
      <c r="G39" s="156">
        <f t="shared" si="16"/>
        <v>10444.349999999995</v>
      </c>
      <c r="H39" s="156">
        <f t="shared" si="16"/>
        <v>98402.850000000035</v>
      </c>
      <c r="I39" s="156">
        <f t="shared" si="16"/>
        <v>21609</v>
      </c>
      <c r="J39" s="156">
        <f t="shared" si="16"/>
        <v>120011.85</v>
      </c>
      <c r="K39" s="156">
        <f t="shared" si="16"/>
        <v>7162.5199999999986</v>
      </c>
      <c r="L39" s="156">
        <f t="shared" si="16"/>
        <v>4067.9250000000002</v>
      </c>
      <c r="M39" s="156">
        <f t="shared" si="16"/>
        <v>1683.65</v>
      </c>
      <c r="N39" s="156">
        <f t="shared" si="16"/>
        <v>256.19849999999997</v>
      </c>
      <c r="O39" s="156">
        <f t="shared" si="16"/>
        <v>109.63550000000001</v>
      </c>
      <c r="P39" s="156">
        <f t="shared" si="16"/>
        <v>54421.111095890396</v>
      </c>
      <c r="Q39" s="156">
        <f t="shared" si="16"/>
        <v>3879.5899999999997</v>
      </c>
      <c r="R39" s="156">
        <f t="shared" si="16"/>
        <v>191592.48009589035</v>
      </c>
      <c r="S39" s="156">
        <f t="shared" si="16"/>
        <v>24750.944153621916</v>
      </c>
      <c r="T39" s="156">
        <f t="shared" si="16"/>
        <v>12601.244249999994</v>
      </c>
      <c r="U39" s="156">
        <f t="shared" si="16"/>
        <v>5980</v>
      </c>
      <c r="V39" s="156">
        <f t="shared" si="16"/>
        <v>729.42750000000001</v>
      </c>
      <c r="W39" s="156">
        <f t="shared" si="16"/>
        <v>0</v>
      </c>
      <c r="X39" s="157">
        <f t="shared" si="16"/>
        <v>916.5</v>
      </c>
      <c r="Y39" s="156">
        <f t="shared" si="16"/>
        <v>44978.115903621925</v>
      </c>
      <c r="Z39" s="40">
        <f t="shared" si="16"/>
        <v>606.18976547945203</v>
      </c>
      <c r="AA39" s="40">
        <f t="shared" si="16"/>
        <v>140058.03395774795</v>
      </c>
      <c r="AB39" s="40">
        <f>SUM(AB9:AB38)</f>
        <v>7162.5199999999986</v>
      </c>
      <c r="AC39" s="41"/>
      <c r="AD39" s="3"/>
      <c r="AE39" s="75"/>
      <c r="AF39" s="42"/>
    </row>
    <row r="40" spans="2:34" s="65" customFormat="1" ht="11.25" customHeight="1">
      <c r="B40" s="76"/>
      <c r="C40" s="60"/>
      <c r="D40" s="61"/>
      <c r="E40" s="61"/>
      <c r="F40" s="62"/>
      <c r="G40" s="62"/>
      <c r="H40" s="62"/>
      <c r="I40" s="62"/>
      <c r="J40" s="62"/>
      <c r="K40" s="62"/>
      <c r="L40" s="89"/>
      <c r="M40" s="89"/>
      <c r="N40" s="89"/>
      <c r="O40" s="89"/>
      <c r="P40" s="62"/>
      <c r="Q40" s="62"/>
      <c r="R40" s="62"/>
      <c r="S40" s="62"/>
      <c r="T40" s="62"/>
      <c r="U40" s="62">
        <f>U39+'[16]HT-ADMINISTRATIVOS FIRMA '!R45</f>
        <v>28513.81</v>
      </c>
      <c r="V40" s="62"/>
      <c r="W40" s="62"/>
      <c r="X40" s="62"/>
      <c r="Y40" s="62"/>
      <c r="Z40" s="62"/>
      <c r="AA40" s="62"/>
      <c r="AB40" s="62"/>
      <c r="AC40" s="63"/>
      <c r="AD40" s="64"/>
      <c r="AE40" s="94"/>
    </row>
    <row r="41" spans="2:34" s="65" customFormat="1" ht="11.25" customHeight="1">
      <c r="B41" s="76"/>
      <c r="C41" s="60"/>
      <c r="D41" s="61"/>
      <c r="E41" s="61"/>
      <c r="F41" s="62"/>
      <c r="G41" s="62"/>
      <c r="H41" s="62"/>
      <c r="I41" s="62"/>
      <c r="J41" s="62"/>
      <c r="K41" s="62"/>
      <c r="L41" s="89"/>
      <c r="M41" s="89"/>
      <c r="N41" s="158"/>
      <c r="O41" s="89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3"/>
      <c r="AD41" s="64"/>
      <c r="AE41" s="64"/>
    </row>
    <row r="42" spans="2:34" s="2" customFormat="1" ht="15" customHeight="1">
      <c r="B42" s="69"/>
      <c r="C42" s="137" t="s">
        <v>75</v>
      </c>
      <c r="D42" s="1"/>
      <c r="E42" s="1"/>
      <c r="F42" s="1"/>
      <c r="G42" s="1"/>
      <c r="H42" s="1"/>
      <c r="I42" s="1"/>
      <c r="J42" s="66" t="s">
        <v>76</v>
      </c>
      <c r="M42" s="66"/>
      <c r="N42" s="66"/>
      <c r="O42" s="66"/>
      <c r="P42" s="66"/>
      <c r="Q42" s="66"/>
      <c r="R42" s="66"/>
      <c r="S42" s="49"/>
      <c r="T42" s="50"/>
      <c r="U42" s="1"/>
      <c r="V42" s="1"/>
      <c r="W42" s="1"/>
      <c r="X42" s="1"/>
      <c r="Y42" s="1" t="s">
        <v>77</v>
      </c>
      <c r="Z42" s="1"/>
      <c r="AA42" s="1"/>
      <c r="AB42" s="1"/>
      <c r="AC42" s="1"/>
      <c r="AE42" s="88"/>
      <c r="AH42" s="1"/>
    </row>
    <row r="43" spans="2:34" s="2" customFormat="1" hidden="1">
      <c r="B43" s="69"/>
      <c r="C43" s="1"/>
      <c r="D43" s="1"/>
      <c r="E43" s="1"/>
      <c r="F43" s="1"/>
      <c r="G43" s="1"/>
      <c r="H43" s="1"/>
      <c r="I43" s="1"/>
      <c r="L43" s="1"/>
      <c r="M43" s="1"/>
      <c r="N43" s="1"/>
      <c r="O43" s="1"/>
      <c r="P43" s="1"/>
      <c r="Q43" s="1"/>
      <c r="R43" s="51"/>
      <c r="S43" s="51"/>
      <c r="T43" s="51"/>
      <c r="U43" s="1"/>
      <c r="V43" s="1"/>
      <c r="W43" s="1"/>
      <c r="X43" s="1"/>
      <c r="Y43" s="1"/>
      <c r="Z43" s="1"/>
      <c r="AA43" s="1"/>
      <c r="AB43" s="1"/>
      <c r="AC43" s="1"/>
      <c r="AE43" s="42"/>
      <c r="AH43" s="1"/>
    </row>
    <row r="44" spans="2:34" s="2" customFormat="1" hidden="1">
      <c r="B44" s="69"/>
      <c r="C44" s="1"/>
      <c r="D44" s="1"/>
      <c r="E44" s="1"/>
      <c r="F44" s="1"/>
      <c r="G44" s="1"/>
      <c r="H44" s="1"/>
      <c r="I44" s="1"/>
      <c r="L44" s="1"/>
      <c r="M44" s="1"/>
      <c r="N44" s="1"/>
      <c r="O44" s="1"/>
      <c r="P44" s="1"/>
      <c r="Q44" s="1"/>
      <c r="R44" s="51"/>
      <c r="S44" s="51"/>
      <c r="T44" s="51"/>
      <c r="U44" s="1"/>
      <c r="V44" s="1"/>
      <c r="W44" s="1"/>
      <c r="X44" s="1"/>
      <c r="Y44" s="1"/>
      <c r="Z44" s="1"/>
      <c r="AA44" s="1"/>
      <c r="AB44" s="1"/>
      <c r="AC44" s="1"/>
      <c r="AE44" s="42"/>
      <c r="AH44" s="1"/>
    </row>
    <row r="45" spans="2:34" s="2" customFormat="1" hidden="1">
      <c r="B45" s="69"/>
      <c r="C45" s="1"/>
      <c r="D45" s="1"/>
      <c r="E45" s="1"/>
      <c r="F45" s="1"/>
      <c r="G45" s="1"/>
      <c r="H45" s="1"/>
      <c r="I45" s="1"/>
      <c r="L45" s="1"/>
      <c r="M45" s="1"/>
      <c r="N45" s="1"/>
      <c r="O45" s="1"/>
      <c r="P45" s="1"/>
      <c r="Q45" s="1"/>
      <c r="R45" s="52"/>
      <c r="S45" s="52"/>
      <c r="T45" s="52"/>
      <c r="U45" s="1"/>
      <c r="V45" s="3"/>
      <c r="W45" s="1"/>
      <c r="X45" s="1"/>
      <c r="Y45" s="1"/>
      <c r="Z45" s="1"/>
      <c r="AA45" s="1"/>
      <c r="AB45" s="1"/>
      <c r="AC45" s="1"/>
      <c r="AH45" s="1"/>
    </row>
    <row r="46" spans="2:34" s="2" customFormat="1">
      <c r="B46" s="69"/>
      <c r="C46" s="137" t="s">
        <v>78</v>
      </c>
      <c r="D46" s="1"/>
      <c r="E46" s="1"/>
      <c r="F46" s="1"/>
      <c r="G46" s="1"/>
      <c r="H46" s="1"/>
      <c r="I46" s="53" t="s">
        <v>79</v>
      </c>
      <c r="M46" s="53"/>
      <c r="N46" s="53"/>
      <c r="O46" s="53"/>
      <c r="P46" s="53"/>
      <c r="Q46" s="53"/>
      <c r="R46" s="53"/>
      <c r="S46" s="52"/>
      <c r="T46" s="49"/>
      <c r="U46" s="1"/>
      <c r="V46" s="1"/>
      <c r="W46" s="1"/>
      <c r="Y46" s="53" t="s">
        <v>134</v>
      </c>
      <c r="Z46" s="53"/>
      <c r="AA46" s="53"/>
      <c r="AB46" s="53"/>
      <c r="AC46" s="1"/>
      <c r="AH46" s="1"/>
    </row>
    <row r="47" spans="2:34" ht="12.75" customHeight="1">
      <c r="C47" s="54" t="s">
        <v>81</v>
      </c>
      <c r="I47" s="53" t="s">
        <v>82</v>
      </c>
      <c r="M47" s="53"/>
      <c r="N47" s="53"/>
      <c r="O47" s="53"/>
      <c r="P47" s="53"/>
      <c r="Q47" s="53"/>
      <c r="R47" s="53"/>
      <c r="S47" s="53"/>
      <c r="T47" s="52"/>
      <c r="Y47" s="53" t="s">
        <v>83</v>
      </c>
      <c r="Z47" s="53"/>
      <c r="AA47" s="53"/>
      <c r="AB47" s="53"/>
      <c r="AD47" s="3"/>
    </row>
    <row r="48" spans="2:34">
      <c r="AD48" s="3"/>
    </row>
    <row r="49" spans="2:30">
      <c r="U49" s="3"/>
      <c r="AD49" s="3"/>
    </row>
    <row r="50" spans="2:30">
      <c r="AD50" s="3"/>
    </row>
    <row r="51" spans="2:30">
      <c r="AD51" s="3"/>
    </row>
    <row r="52" spans="2:30">
      <c r="R52" s="6"/>
      <c r="AD52" s="3"/>
    </row>
    <row r="53" spans="2:30">
      <c r="AD53" s="3"/>
    </row>
    <row r="54" spans="2:30">
      <c r="AD54" s="3"/>
    </row>
    <row r="55" spans="2:30" s="56" customFormat="1">
      <c r="B55" s="6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2:30" s="56" customFormat="1">
      <c r="B56" s="6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2:30" s="57" customFormat="1">
      <c r="B57" s="6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2:30" s="57" customFormat="1">
      <c r="B58" s="6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2:30" s="57" customFormat="1">
      <c r="B59" s="6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2:30" s="57" customFormat="1">
      <c r="B60" s="6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2:30" s="57" customFormat="1">
      <c r="B61" s="6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2:30" s="57" customFormat="1">
      <c r="B62" s="6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6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30" s="57" customFormat="1">
      <c r="B63" s="6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2:30" s="57" customFormat="1">
      <c r="B64" s="6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2:29" s="57" customFormat="1">
      <c r="B65" s="6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2:29" s="57" customFormat="1">
      <c r="B66" s="6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8" spans="2:29">
      <c r="V68" s="3"/>
    </row>
  </sheetData>
  <mergeCells count="27">
    <mergeCell ref="Z8:AB8"/>
    <mergeCell ref="B8:B9"/>
    <mergeCell ref="C8:C9"/>
    <mergeCell ref="D8:J8"/>
    <mergeCell ref="K8:R8"/>
    <mergeCell ref="S8:Y8"/>
    <mergeCell ref="AC20:AD20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7:AD27"/>
    <mergeCell ref="AC28:AD28"/>
    <mergeCell ref="AC29:AD29"/>
    <mergeCell ref="AC21:AD21"/>
    <mergeCell ref="AC22:AD22"/>
    <mergeCell ref="AC23:AD23"/>
    <mergeCell ref="AC24:AD24"/>
    <mergeCell ref="AC25:AD25"/>
    <mergeCell ref="AC26:AD26"/>
  </mergeCells>
  <pageMargins left="0.7" right="0.17" top="0.47244094488188981" bottom="0.51181102362204722" header="0.31496062992125984" footer="0.31496062992125984"/>
  <pageSetup paperSize="5" scale="5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E68"/>
  <sheetViews>
    <sheetView topLeftCell="A3" zoomScale="80" zoomScaleNormal="80" zoomScaleSheetLayoutView="100" workbookViewId="0">
      <pane xSplit="2" ySplit="7" topLeftCell="C37" activePane="bottomRight" state="frozen"/>
      <selection activeCell="A3" sqref="A3"/>
      <selection pane="topRight" activeCell="C3" sqref="C3"/>
      <selection pane="bottomLeft" activeCell="A10" sqref="A10"/>
      <selection pane="bottomRight" activeCell="M52" sqref="M52"/>
    </sheetView>
  </sheetViews>
  <sheetFormatPr baseColWidth="10" defaultRowHeight="12.75"/>
  <cols>
    <col min="1" max="1" width="12.7109375" style="69" customWidth="1"/>
    <col min="2" max="2" width="31.5703125" style="1" customWidth="1"/>
    <col min="3" max="4" width="7.140625" style="1" customWidth="1"/>
    <col min="5" max="5" width="10.42578125" style="1" customWidth="1"/>
    <col min="6" max="6" width="11" style="1" customWidth="1"/>
    <col min="7" max="7" width="13.28515625" style="1" customWidth="1"/>
    <col min="8" max="8" width="10.85546875" style="1" customWidth="1"/>
    <col min="9" max="9" width="13" style="1" customWidth="1"/>
    <col min="10" max="10" width="10.5703125" style="1" customWidth="1"/>
    <col min="11" max="11" width="9.85546875" style="1" customWidth="1"/>
    <col min="12" max="12" width="10.140625" style="1" customWidth="1"/>
    <col min="13" max="13" width="8.42578125" style="1" customWidth="1"/>
    <col min="14" max="14" width="4.85546875" style="1" hidden="1" customWidth="1"/>
    <col min="15" max="15" width="13.140625" style="1" customWidth="1"/>
    <col min="16" max="16" width="11" style="1" hidden="1" customWidth="1"/>
    <col min="17" max="17" width="10.85546875" style="1" hidden="1" customWidth="1"/>
    <col min="18" max="18" width="11.140625" style="1" hidden="1" customWidth="1"/>
    <col min="19" max="19" width="8.5703125" style="1" hidden="1" customWidth="1"/>
    <col min="20" max="20" width="5" style="1" hidden="1" customWidth="1"/>
    <col min="21" max="21" width="5.28515625" style="1" hidden="1" customWidth="1"/>
    <col min="22" max="22" width="15.85546875" style="1" customWidth="1"/>
    <col min="23" max="23" width="8.28515625" style="1" customWidth="1"/>
    <col min="24" max="24" width="12.42578125" style="1" customWidth="1"/>
    <col min="25" max="25" width="10.5703125" style="1" hidden="1" customWidth="1"/>
    <col min="26" max="26" width="31" style="1" hidden="1" customWidth="1"/>
    <col min="27" max="27" width="12.28515625" style="1" hidden="1" customWidth="1"/>
    <col min="28" max="16384" width="11.42578125" style="1"/>
  </cols>
  <sheetData>
    <row r="2" spans="1:27">
      <c r="B2" s="2" t="s">
        <v>0</v>
      </c>
    </row>
    <row r="3" spans="1:27" s="91" customFormat="1">
      <c r="A3" s="92"/>
    </row>
    <row r="4" spans="1:27" s="91" customFormat="1">
      <c r="A4" s="92"/>
    </row>
    <row r="5" spans="1:27" s="91" customFormat="1">
      <c r="A5" s="92"/>
      <c r="O5" s="90"/>
    </row>
    <row r="6" spans="1:27" s="91" customFormat="1">
      <c r="A6" s="92"/>
      <c r="E6" s="4">
        <v>19.28</v>
      </c>
      <c r="F6" s="4"/>
      <c r="G6" s="4"/>
      <c r="H6" s="4"/>
      <c r="I6" s="4">
        <v>10.95</v>
      </c>
      <c r="J6" s="4"/>
      <c r="K6" s="65"/>
      <c r="L6" s="65"/>
      <c r="M6" s="65"/>
      <c r="N6" s="128">
        <v>0.105</v>
      </c>
      <c r="T6" s="5">
        <v>0.01</v>
      </c>
    </row>
    <row r="7" spans="1:27" ht="13.5" thickBot="1">
      <c r="A7" s="85" t="s">
        <v>0</v>
      </c>
      <c r="C7" s="2"/>
      <c r="D7" s="91"/>
      <c r="E7" s="4">
        <v>22.3</v>
      </c>
      <c r="F7" s="4"/>
      <c r="G7" s="4"/>
      <c r="H7" s="4"/>
      <c r="I7" s="7">
        <v>0.02</v>
      </c>
      <c r="J7" s="8">
        <v>0.04</v>
      </c>
      <c r="K7" s="129">
        <v>0.06</v>
      </c>
      <c r="L7" s="6" t="s">
        <v>159</v>
      </c>
      <c r="M7" s="65"/>
      <c r="N7" s="65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spans="1:27" ht="15.75" customHeight="1" thickBot="1">
      <c r="A8" s="164" t="s">
        <v>2</v>
      </c>
      <c r="B8" s="166" t="s">
        <v>3</v>
      </c>
      <c r="C8" s="168" t="s">
        <v>4</v>
      </c>
      <c r="D8" s="169"/>
      <c r="E8" s="169"/>
      <c r="F8" s="169"/>
      <c r="G8" s="169"/>
      <c r="H8" s="169"/>
      <c r="I8" s="170"/>
      <c r="J8" s="171" t="s">
        <v>5</v>
      </c>
      <c r="K8" s="172"/>
      <c r="L8" s="172"/>
      <c r="M8" s="173"/>
      <c r="N8" s="173"/>
      <c r="O8" s="174"/>
      <c r="P8" s="175" t="s">
        <v>6</v>
      </c>
      <c r="Q8" s="176"/>
      <c r="R8" s="176"/>
      <c r="S8" s="176"/>
      <c r="T8" s="176"/>
      <c r="U8" s="176"/>
      <c r="V8" s="176"/>
      <c r="W8" s="177" t="s">
        <v>7</v>
      </c>
      <c r="X8" s="177"/>
      <c r="Y8" s="177"/>
    </row>
    <row r="9" spans="1:27" s="20" customFormat="1" ht="72">
      <c r="A9" s="165"/>
      <c r="B9" s="167"/>
      <c r="C9" s="9" t="s">
        <v>87</v>
      </c>
      <c r="D9" s="9" t="s">
        <v>88</v>
      </c>
      <c r="E9" s="9" t="s">
        <v>89</v>
      </c>
      <c r="F9" s="9" t="s">
        <v>90</v>
      </c>
      <c r="G9" s="9" t="s">
        <v>91</v>
      </c>
      <c r="H9" s="9" t="s">
        <v>92</v>
      </c>
      <c r="I9" s="67" t="s">
        <v>10</v>
      </c>
      <c r="J9" s="11" t="s">
        <v>11</v>
      </c>
      <c r="K9" s="11" t="s">
        <v>12</v>
      </c>
      <c r="L9" s="12" t="s">
        <v>13</v>
      </c>
      <c r="M9" s="13" t="s">
        <v>14</v>
      </c>
      <c r="N9" s="134" t="s">
        <v>15</v>
      </c>
      <c r="O9" s="14" t="s">
        <v>16</v>
      </c>
      <c r="P9" s="15" t="s">
        <v>17</v>
      </c>
      <c r="Q9" s="16" t="s">
        <v>18</v>
      </c>
      <c r="R9" s="16" t="s">
        <v>19</v>
      </c>
      <c r="S9" s="16" t="s">
        <v>20</v>
      </c>
      <c r="T9" s="16" t="s">
        <v>21</v>
      </c>
      <c r="U9" s="16" t="s">
        <v>22</v>
      </c>
      <c r="V9" s="16" t="s">
        <v>23</v>
      </c>
      <c r="W9" s="17" t="s">
        <v>24</v>
      </c>
      <c r="X9" s="18" t="s">
        <v>25</v>
      </c>
      <c r="Y9" s="19" t="s">
        <v>26</v>
      </c>
      <c r="Z9" s="178" t="s">
        <v>27</v>
      </c>
      <c r="AA9" s="178"/>
    </row>
    <row r="10" spans="1:27" s="35" customFormat="1" ht="45" customHeight="1">
      <c r="A10" s="21" t="s">
        <v>32</v>
      </c>
      <c r="B10" s="33" t="s">
        <v>99</v>
      </c>
      <c r="C10" s="32">
        <v>10</v>
      </c>
      <c r="D10" s="32">
        <v>0</v>
      </c>
      <c r="E10" s="24">
        <v>315.89999999999998</v>
      </c>
      <c r="F10" s="24">
        <v>360.15</v>
      </c>
      <c r="G10" s="24">
        <f t="shared" ref="G10:H31" si="0">C10*E10</f>
        <v>3159</v>
      </c>
      <c r="H10" s="24">
        <f t="shared" si="0"/>
        <v>0</v>
      </c>
      <c r="I10" s="25">
        <f t="shared" ref="I10:I38" si="1">G10+H10</f>
        <v>3159</v>
      </c>
      <c r="J10" s="25">
        <f t="shared" ref="J10:J38" si="2">(C10+D10)*19.28</f>
        <v>192.8</v>
      </c>
      <c r="K10" s="25">
        <f>(C10+D10)*I6</f>
        <v>109.5</v>
      </c>
      <c r="L10" s="25"/>
      <c r="M10" s="25">
        <f>I10*J7</f>
        <v>126.36</v>
      </c>
      <c r="N10" s="25">
        <v>0</v>
      </c>
      <c r="O10" s="25">
        <f t="shared" ref="O10:O38" si="3">SUM(I10:N10)</f>
        <v>3587.6600000000003</v>
      </c>
      <c r="P10" s="27">
        <f>IF('[17]Calculo ISR '!$BE$34&lt;0,0,'[17]Calculo ISR '!$BE$34)</f>
        <v>140.17767999999998</v>
      </c>
      <c r="Q10" s="28">
        <f>I10*N6</f>
        <v>331.69499999999999</v>
      </c>
      <c r="R10" s="28">
        <v>1003.62</v>
      </c>
      <c r="S10" s="28">
        <f>I10*T6</f>
        <v>31.59</v>
      </c>
      <c r="T10" s="28">
        <f>'[17]HT-DOCENTE'!R11</f>
        <v>0</v>
      </c>
      <c r="U10" s="28"/>
      <c r="V10" s="25">
        <f>P10+Q10+R10+S10+U10+T10</f>
        <v>1507.0826799999998</v>
      </c>
      <c r="W10" s="28">
        <f>IF('[17]Calculo ISR '!$BE$34&gt;0,0,('[17]Calculo ISR '!$BE$34)*-1)</f>
        <v>0</v>
      </c>
      <c r="X10" s="25">
        <f t="shared" ref="X10:X23" si="4">O10-V10-Y10+W10</f>
        <v>1887.7773200000004</v>
      </c>
      <c r="Y10" s="25">
        <f t="shared" ref="Y10:Y38" si="5">J10</f>
        <v>192.8</v>
      </c>
      <c r="Z10" s="161"/>
      <c r="AA10" s="162"/>
    </row>
    <row r="11" spans="1:27" s="35" customFormat="1" ht="45" customHeight="1">
      <c r="A11" s="21" t="s">
        <v>34</v>
      </c>
      <c r="B11" s="33" t="s">
        <v>35</v>
      </c>
      <c r="C11" s="32">
        <v>12</v>
      </c>
      <c r="D11" s="32">
        <v>7.5</v>
      </c>
      <c r="E11" s="24">
        <v>315.89999999999998</v>
      </c>
      <c r="F11" s="24">
        <v>360.15</v>
      </c>
      <c r="G11" s="24">
        <f t="shared" si="0"/>
        <v>3790.7999999999997</v>
      </c>
      <c r="H11" s="24">
        <f>D11*F11</f>
        <v>2701.125</v>
      </c>
      <c r="I11" s="25">
        <f t="shared" si="1"/>
        <v>6491.9249999999993</v>
      </c>
      <c r="J11" s="25">
        <f t="shared" si="2"/>
        <v>375.96000000000004</v>
      </c>
      <c r="K11" s="25">
        <f>(C11+D11)*I6</f>
        <v>213.52499999999998</v>
      </c>
      <c r="L11" s="25"/>
      <c r="M11" s="25">
        <f>I11*I7</f>
        <v>129.83849999999998</v>
      </c>
      <c r="N11" s="25">
        <f>'[17]HT-DOCENTE'!J12</f>
        <v>0</v>
      </c>
      <c r="O11" s="25">
        <f t="shared" si="3"/>
        <v>7211.2484999999988</v>
      </c>
      <c r="P11" s="27">
        <f>IF('[17]Calculo ISR '!$BF$34&lt;0,0,'[17]Calculo ISR '!$BF$34)</f>
        <v>912.82844759999989</v>
      </c>
      <c r="Q11" s="28">
        <f>I11*N6</f>
        <v>681.65212499999984</v>
      </c>
      <c r="R11" s="28">
        <f>'[17]HT-DOCENTE'!P12</f>
        <v>0</v>
      </c>
      <c r="S11" s="28">
        <f>I11*T6</f>
        <v>64.919249999999991</v>
      </c>
      <c r="T11" s="28">
        <f>'[17]HT-DOCENTE'!R12</f>
        <v>0</v>
      </c>
      <c r="U11" s="28"/>
      <c r="V11" s="25">
        <f t="shared" ref="V11:V22" si="6">P11+Q11+R11+S11+U11+T11</f>
        <v>1659.3998225999997</v>
      </c>
      <c r="W11" s="28">
        <f>IF('[17]Calculo ISR '!$BF$34&gt;0,0,('[17]Calculo ISR '!$BF$34)*-1)</f>
        <v>0</v>
      </c>
      <c r="X11" s="25">
        <f t="shared" si="4"/>
        <v>5175.8886773999993</v>
      </c>
      <c r="Y11" s="25">
        <f t="shared" si="5"/>
        <v>375.96000000000004</v>
      </c>
      <c r="Z11" s="161"/>
      <c r="AA11" s="162"/>
    </row>
    <row r="12" spans="1:27" s="35" customFormat="1" ht="45" customHeight="1">
      <c r="A12" s="21" t="s">
        <v>36</v>
      </c>
      <c r="B12" s="33" t="s">
        <v>37</v>
      </c>
      <c r="C12" s="32">
        <v>6.5</v>
      </c>
      <c r="D12" s="32">
        <v>7.5</v>
      </c>
      <c r="E12" s="24">
        <v>315.89999999999998</v>
      </c>
      <c r="F12" s="24">
        <v>360.15</v>
      </c>
      <c r="G12" s="24">
        <f t="shared" si="0"/>
        <v>2053.35</v>
      </c>
      <c r="H12" s="24">
        <f t="shared" si="0"/>
        <v>2701.125</v>
      </c>
      <c r="I12" s="25">
        <f t="shared" si="1"/>
        <v>4754.4750000000004</v>
      </c>
      <c r="J12" s="25">
        <f t="shared" si="2"/>
        <v>269.92</v>
      </c>
      <c r="K12" s="25">
        <f>(C12+D12)*I6</f>
        <v>153.29999999999998</v>
      </c>
      <c r="L12" s="25">
        <f>(C12+D12)*E7</f>
        <v>312.2</v>
      </c>
      <c r="M12" s="25">
        <f>I12*I7</f>
        <v>95.089500000000015</v>
      </c>
      <c r="N12" s="25">
        <f>'[17]HT-DOCENTE'!J13</f>
        <v>0</v>
      </c>
      <c r="O12" s="25">
        <f t="shared" si="3"/>
        <v>5584.9845000000005</v>
      </c>
      <c r="P12" s="27">
        <f>IF('[17]Calculo ISR '!$BG$34&lt;0,0,'[17]Calculo ISR '!$BG$34)</f>
        <v>588.10860120000018</v>
      </c>
      <c r="Q12" s="28">
        <f>I12*N6</f>
        <v>499.219875</v>
      </c>
      <c r="R12" s="28">
        <v>1431</v>
      </c>
      <c r="S12" s="28">
        <f>I12*T6</f>
        <v>47.544750000000008</v>
      </c>
      <c r="T12" s="28">
        <f>'[17]HT-DOCENTE'!R13</f>
        <v>0</v>
      </c>
      <c r="U12" s="28"/>
      <c r="V12" s="25">
        <f t="shared" si="6"/>
        <v>2565.8732262000003</v>
      </c>
      <c r="W12" s="28">
        <f>IF('[17]Calculo ISR '!$BG$34&gt;0,0,('[17]Calculo ISR '!$BG$34)*-1)</f>
        <v>0</v>
      </c>
      <c r="X12" s="25">
        <f t="shared" si="4"/>
        <v>2749.1912738000001</v>
      </c>
      <c r="Y12" s="25">
        <f t="shared" si="5"/>
        <v>269.92</v>
      </c>
      <c r="Z12" s="161"/>
      <c r="AA12" s="162"/>
    </row>
    <row r="13" spans="1:27" s="35" customFormat="1" ht="45" customHeight="1">
      <c r="A13" s="21" t="s">
        <v>38</v>
      </c>
      <c r="B13" s="33" t="s">
        <v>39</v>
      </c>
      <c r="C13" s="32">
        <v>11.5</v>
      </c>
      <c r="D13" s="32">
        <v>7.5</v>
      </c>
      <c r="E13" s="24">
        <v>315.89999999999998</v>
      </c>
      <c r="F13" s="24">
        <v>360.15</v>
      </c>
      <c r="G13" s="24">
        <f t="shared" si="0"/>
        <v>3632.85</v>
      </c>
      <c r="H13" s="24">
        <f t="shared" si="0"/>
        <v>2701.125</v>
      </c>
      <c r="I13" s="25">
        <f t="shared" si="1"/>
        <v>6333.9750000000004</v>
      </c>
      <c r="J13" s="25">
        <f t="shared" si="2"/>
        <v>366.32000000000005</v>
      </c>
      <c r="K13" s="25">
        <f>(C13+D13)*I6</f>
        <v>208.04999999999998</v>
      </c>
      <c r="L13" s="25">
        <f>(C13+D13)*E7</f>
        <v>423.7</v>
      </c>
      <c r="M13" s="25"/>
      <c r="N13" s="25">
        <f>'[17]HT-DOCENTE'!J14</f>
        <v>0</v>
      </c>
      <c r="O13" s="25">
        <f t="shared" si="3"/>
        <v>7332.0450000000001</v>
      </c>
      <c r="P13" s="27">
        <f>IF('[17]Calculo ISR '!$BH$34&lt;0,0,'[17]Calculo ISR '!$BH$34)</f>
        <v>940.68968400000017</v>
      </c>
      <c r="Q13" s="28">
        <f>I13*N6</f>
        <v>665.06737499999997</v>
      </c>
      <c r="R13" s="28">
        <v>1655</v>
      </c>
      <c r="S13" s="28">
        <f>I13*T6</f>
        <v>63.339750000000002</v>
      </c>
      <c r="T13" s="28">
        <f>'[17]HT-DOCENTE'!R14</f>
        <v>0</v>
      </c>
      <c r="U13" s="28"/>
      <c r="V13" s="25">
        <f t="shared" si="6"/>
        <v>3324.0968090000001</v>
      </c>
      <c r="W13" s="28">
        <f>IF('[17]Calculo ISR '!$BH$34&gt;0,0,('[17]Calculo ISR '!$BH$34)*-1)</f>
        <v>0</v>
      </c>
      <c r="X13" s="25">
        <f t="shared" si="4"/>
        <v>3641.6281909999998</v>
      </c>
      <c r="Y13" s="25">
        <f t="shared" si="5"/>
        <v>366.32000000000005</v>
      </c>
      <c r="Z13" s="161"/>
      <c r="AA13" s="162"/>
    </row>
    <row r="14" spans="1:27" s="35" customFormat="1" ht="45" customHeight="1">
      <c r="A14" s="21" t="s">
        <v>40</v>
      </c>
      <c r="B14" s="33" t="s">
        <v>41</v>
      </c>
      <c r="C14" s="32">
        <v>18.5</v>
      </c>
      <c r="D14" s="32">
        <v>0</v>
      </c>
      <c r="E14" s="24">
        <v>315.89999999999998</v>
      </c>
      <c r="F14" s="24">
        <v>360.15</v>
      </c>
      <c r="G14" s="24">
        <f t="shared" si="0"/>
        <v>5844.15</v>
      </c>
      <c r="H14" s="24">
        <f t="shared" si="0"/>
        <v>0</v>
      </c>
      <c r="I14" s="25">
        <f t="shared" si="1"/>
        <v>5844.15</v>
      </c>
      <c r="J14" s="25">
        <f t="shared" si="2"/>
        <v>356.68</v>
      </c>
      <c r="K14" s="25">
        <f>(C14+D14)*I6</f>
        <v>202.57499999999999</v>
      </c>
      <c r="L14" s="25">
        <f>(C14+D14)*E7</f>
        <v>412.55</v>
      </c>
      <c r="M14" s="25"/>
      <c r="N14" s="25">
        <f>'[17]HT-DOCENTE'!J15</f>
        <v>0</v>
      </c>
      <c r="O14" s="25">
        <f t="shared" si="3"/>
        <v>6815.9549999999999</v>
      </c>
      <c r="P14" s="27">
        <f>IF('[17]Calculo ISR '!$BI$34&lt;0,0,'[17]Calculo ISR '!$BI$34)</f>
        <v>832.51196400000003</v>
      </c>
      <c r="Q14" s="28">
        <f>I14*N6</f>
        <v>613.63574999999992</v>
      </c>
      <c r="R14" s="28">
        <f>'[17]HT-DOCENTE'!P15</f>
        <v>0</v>
      </c>
      <c r="S14" s="28">
        <f>I14*T6</f>
        <v>58.441499999999998</v>
      </c>
      <c r="T14" s="28">
        <v>0</v>
      </c>
      <c r="U14" s="28"/>
      <c r="V14" s="25">
        <f t="shared" si="6"/>
        <v>1504.5892139999999</v>
      </c>
      <c r="W14" s="28">
        <f>IF('[17]Calculo ISR '!$BI$34&gt;0,0,('[17]Calculo ISR '!$BI$34)*-1)</f>
        <v>0</v>
      </c>
      <c r="X14" s="25">
        <f t="shared" si="4"/>
        <v>4954.685786</v>
      </c>
      <c r="Y14" s="25">
        <f t="shared" si="5"/>
        <v>356.68</v>
      </c>
      <c r="Z14" s="161"/>
      <c r="AA14" s="162"/>
    </row>
    <row r="15" spans="1:27" s="35" customFormat="1" ht="45" customHeight="1">
      <c r="A15" s="21" t="s">
        <v>42</v>
      </c>
      <c r="B15" s="33" t="s">
        <v>43</v>
      </c>
      <c r="C15" s="32">
        <v>2.5</v>
      </c>
      <c r="D15" s="32">
        <v>0</v>
      </c>
      <c r="E15" s="24">
        <v>315.89999999999998</v>
      </c>
      <c r="F15" s="24">
        <v>360.15</v>
      </c>
      <c r="G15" s="24">
        <f t="shared" si="0"/>
        <v>789.75</v>
      </c>
      <c r="H15" s="24">
        <f t="shared" si="0"/>
        <v>0</v>
      </c>
      <c r="I15" s="25">
        <f t="shared" si="1"/>
        <v>789.75</v>
      </c>
      <c r="J15" s="25">
        <f t="shared" si="2"/>
        <v>48.2</v>
      </c>
      <c r="K15" s="25">
        <f>(C15+D15)*I6</f>
        <v>27.375</v>
      </c>
      <c r="L15" s="25">
        <f>(C15+D15)*E7*2</f>
        <v>111.5</v>
      </c>
      <c r="M15" s="25"/>
      <c r="N15" s="25">
        <f>'[17]HT-DOCENTE'!J16</f>
        <v>0</v>
      </c>
      <c r="O15" s="25">
        <f t="shared" si="3"/>
        <v>976.82500000000005</v>
      </c>
      <c r="P15" s="27">
        <f>IF('[17]Calculo ISR '!$BJ$34&lt;0,0,'[17]Calculo ISR '!$BJ$34)</f>
        <v>0</v>
      </c>
      <c r="Q15" s="28">
        <f>I15*N6</f>
        <v>82.923749999999998</v>
      </c>
      <c r="R15" s="28">
        <v>0</v>
      </c>
      <c r="S15" s="28">
        <f>I15*T6</f>
        <v>7.8975</v>
      </c>
      <c r="T15" s="28">
        <f>'[17]HT-DOCENTE'!R16</f>
        <v>0</v>
      </c>
      <c r="U15" s="28"/>
      <c r="V15" s="25">
        <f t="shared" si="6"/>
        <v>90.821249999999992</v>
      </c>
      <c r="W15" s="28">
        <f>IF('[17]Calculo ISR '!$BJ$34&gt;0,0,('[17]Calculo ISR '!$BJ$34)*-1)</f>
        <v>152.28583999999998</v>
      </c>
      <c r="X15" s="25">
        <f t="shared" si="4"/>
        <v>990.08959000000004</v>
      </c>
      <c r="Y15" s="25">
        <f t="shared" si="5"/>
        <v>48.2</v>
      </c>
      <c r="Z15" s="161"/>
      <c r="AA15" s="162"/>
    </row>
    <row r="16" spans="1:27" s="35" customFormat="1" ht="45" customHeight="1">
      <c r="A16" s="21" t="s">
        <v>44</v>
      </c>
      <c r="B16" s="33" t="s">
        <v>45</v>
      </c>
      <c r="C16" s="34">
        <v>9.5</v>
      </c>
      <c r="D16" s="34">
        <v>7.5</v>
      </c>
      <c r="E16" s="24">
        <v>315.89999999999998</v>
      </c>
      <c r="F16" s="24">
        <v>360.15</v>
      </c>
      <c r="G16" s="24">
        <f t="shared" si="0"/>
        <v>3001.0499999999997</v>
      </c>
      <c r="H16" s="24">
        <f t="shared" si="0"/>
        <v>2701.125</v>
      </c>
      <c r="I16" s="25">
        <f t="shared" si="1"/>
        <v>5702.1749999999993</v>
      </c>
      <c r="J16" s="25">
        <f t="shared" si="2"/>
        <v>327.76</v>
      </c>
      <c r="K16" s="25">
        <f>(C16+D16)*I6</f>
        <v>186.14999999999998</v>
      </c>
      <c r="L16" s="25"/>
      <c r="M16" s="25"/>
      <c r="N16" s="25">
        <f>'[17]HT-DOCENTE'!J17</f>
        <v>0</v>
      </c>
      <c r="O16" s="25">
        <f t="shared" si="3"/>
        <v>6216.0849999999991</v>
      </c>
      <c r="P16" s="27">
        <f>IF('[17]Calculo ISR '!$BK$34&lt;0,0,'[17]Calculo ISR '!$BK$34)</f>
        <v>710.55704399999991</v>
      </c>
      <c r="Q16" s="28">
        <f>I16*N6</f>
        <v>598.72837499999991</v>
      </c>
      <c r="R16" s="28">
        <f>'[17]HT-DOCENTE'!P17</f>
        <v>0</v>
      </c>
      <c r="S16" s="28">
        <f>I16*T6</f>
        <v>57.021749999999997</v>
      </c>
      <c r="T16" s="28">
        <f>'[17]HT-DOCENTE'!R17</f>
        <v>0</v>
      </c>
      <c r="U16" s="28"/>
      <c r="V16" s="25">
        <f t="shared" si="6"/>
        <v>1366.3071689999997</v>
      </c>
      <c r="W16" s="28">
        <f>IF('[17]Calculo ISR '!$BK$34&gt;0,0,('[17]Calculo ISR '!$BK$34)*-1)</f>
        <v>0</v>
      </c>
      <c r="X16" s="25">
        <f t="shared" si="4"/>
        <v>4522.0178309999992</v>
      </c>
      <c r="Y16" s="25">
        <f t="shared" si="5"/>
        <v>327.76</v>
      </c>
      <c r="Z16" s="161"/>
      <c r="AA16" s="162"/>
    </row>
    <row r="17" spans="1:28" s="35" customFormat="1" ht="45" customHeight="1">
      <c r="A17" s="21" t="s">
        <v>48</v>
      </c>
      <c r="B17" s="33" t="s">
        <v>49</v>
      </c>
      <c r="C17" s="34">
        <v>18</v>
      </c>
      <c r="D17" s="34">
        <v>0</v>
      </c>
      <c r="E17" s="24">
        <v>315.89999999999998</v>
      </c>
      <c r="F17" s="24">
        <v>360.15</v>
      </c>
      <c r="G17" s="24">
        <f t="shared" si="0"/>
        <v>5686.2</v>
      </c>
      <c r="H17" s="24">
        <f t="shared" si="0"/>
        <v>0</v>
      </c>
      <c r="I17" s="25">
        <f t="shared" si="1"/>
        <v>5686.2</v>
      </c>
      <c r="J17" s="25">
        <f t="shared" si="2"/>
        <v>347.04</v>
      </c>
      <c r="K17" s="25">
        <f>(C17+D17)*I6</f>
        <v>197.1</v>
      </c>
      <c r="L17" s="25"/>
      <c r="M17" s="25"/>
      <c r="N17" s="25">
        <v>0</v>
      </c>
      <c r="O17" s="25">
        <f t="shared" si="3"/>
        <v>6230.34</v>
      </c>
      <c r="P17" s="27">
        <f>IF('[17]Calculo ISR '!$BM$34&lt;0,0,'[17]Calculo ISR '!$BM$34)</f>
        <v>709.4837040000001</v>
      </c>
      <c r="Q17" s="28">
        <f>I17*N6</f>
        <v>597.05099999999993</v>
      </c>
      <c r="R17" s="28">
        <f>'[17]HT-DOCENTE'!P19</f>
        <v>0</v>
      </c>
      <c r="S17" s="28">
        <f>I17*T6</f>
        <v>56.862000000000002</v>
      </c>
      <c r="T17" s="28">
        <f>'[17]HT-DOCENTE'!R19</f>
        <v>0</v>
      </c>
      <c r="U17" s="28"/>
      <c r="V17" s="25">
        <f t="shared" si="6"/>
        <v>1363.3967040000002</v>
      </c>
      <c r="W17" s="28">
        <f>IF('[17]Calculo ISR '!$BM$34&gt;0,0,('[17]Calculo ISR '!$BM$34)*-1)</f>
        <v>0</v>
      </c>
      <c r="X17" s="25">
        <f t="shared" si="4"/>
        <v>4519.9032959999995</v>
      </c>
      <c r="Y17" s="25">
        <f t="shared" si="5"/>
        <v>347.04</v>
      </c>
      <c r="Z17" s="161"/>
      <c r="AA17" s="162"/>
    </row>
    <row r="18" spans="1:28" s="35" customFormat="1" ht="45" customHeight="1">
      <c r="A18" s="21" t="s">
        <v>50</v>
      </c>
      <c r="B18" s="33" t="s">
        <v>51</v>
      </c>
      <c r="C18" s="34">
        <v>10.5</v>
      </c>
      <c r="D18" s="34">
        <v>7.5</v>
      </c>
      <c r="E18" s="24">
        <v>315.89999999999998</v>
      </c>
      <c r="F18" s="24">
        <v>360.15</v>
      </c>
      <c r="G18" s="24">
        <f t="shared" si="0"/>
        <v>3316.95</v>
      </c>
      <c r="H18" s="24">
        <f t="shared" si="0"/>
        <v>2701.125</v>
      </c>
      <c r="I18" s="25">
        <f t="shared" si="1"/>
        <v>6018.0749999999998</v>
      </c>
      <c r="J18" s="25">
        <f t="shared" si="2"/>
        <v>347.04</v>
      </c>
      <c r="K18" s="25">
        <f>(C18+D18)*I6</f>
        <v>197.1</v>
      </c>
      <c r="L18" s="25"/>
      <c r="M18" s="25"/>
      <c r="N18" s="25">
        <v>0</v>
      </c>
      <c r="O18" s="25">
        <f t="shared" si="3"/>
        <v>6562.2150000000001</v>
      </c>
      <c r="P18" s="27">
        <f>IF('[17]Calculo ISR '!$BN$34&lt;0,0,'[17]Calculo ISR '!$BN$34)</f>
        <v>780.37220400000012</v>
      </c>
      <c r="Q18" s="28">
        <f>I18*N6</f>
        <v>631.897875</v>
      </c>
      <c r="R18" s="28">
        <v>1570</v>
      </c>
      <c r="S18" s="28">
        <f>I18*T6</f>
        <v>60.180749999999996</v>
      </c>
      <c r="T18" s="28"/>
      <c r="U18" s="28"/>
      <c r="V18" s="25">
        <f t="shared" si="6"/>
        <v>3042.4508289999999</v>
      </c>
      <c r="W18" s="28">
        <f>IF('[17]Calculo ISR '!$BN$34&gt;0,0,('[17]Calculo ISR '!$BN$34)*-1)</f>
        <v>0</v>
      </c>
      <c r="X18" s="25">
        <f t="shared" si="4"/>
        <v>3172.7241710000003</v>
      </c>
      <c r="Y18" s="25">
        <f t="shared" si="5"/>
        <v>347.04</v>
      </c>
      <c r="Z18" s="161"/>
      <c r="AA18" s="162"/>
    </row>
    <row r="19" spans="1:28" s="35" customFormat="1" ht="45" customHeight="1">
      <c r="A19" s="21" t="s">
        <v>52</v>
      </c>
      <c r="B19" s="33" t="s">
        <v>53</v>
      </c>
      <c r="C19" s="34">
        <v>12</v>
      </c>
      <c r="D19" s="34">
        <v>7.5</v>
      </c>
      <c r="E19" s="24">
        <v>315.89999999999998</v>
      </c>
      <c r="F19" s="24">
        <v>360.15</v>
      </c>
      <c r="G19" s="24">
        <f t="shared" si="0"/>
        <v>3790.7999999999997</v>
      </c>
      <c r="H19" s="24">
        <f t="shared" si="0"/>
        <v>2701.125</v>
      </c>
      <c r="I19" s="25">
        <f t="shared" si="1"/>
        <v>6491.9249999999993</v>
      </c>
      <c r="J19" s="25">
        <f t="shared" si="2"/>
        <v>375.96000000000004</v>
      </c>
      <c r="K19" s="25">
        <f>(C19+D19)*I6</f>
        <v>213.52499999999998</v>
      </c>
      <c r="L19" s="25"/>
      <c r="M19" s="25"/>
      <c r="N19" s="25">
        <v>0</v>
      </c>
      <c r="O19" s="25">
        <f t="shared" si="3"/>
        <v>7081.4099999999989</v>
      </c>
      <c r="P19" s="27">
        <f>IF('[17]Calculo ISR '!$BO$34&lt;0,0,'[17]Calculo ISR '!$BO$34)</f>
        <v>885.09494399999994</v>
      </c>
      <c r="Q19" s="28">
        <f>I19*N6</f>
        <v>681.65212499999984</v>
      </c>
      <c r="R19" s="28">
        <f>'[17]HT-DOCENTE'!P21</f>
        <v>0</v>
      </c>
      <c r="S19" s="28">
        <f>I19*T6</f>
        <v>64.919249999999991</v>
      </c>
      <c r="T19" s="28"/>
      <c r="U19" s="28"/>
      <c r="V19" s="25">
        <f t="shared" si="6"/>
        <v>1631.6663189999997</v>
      </c>
      <c r="W19" s="28">
        <f>IF('[17]Calculo ISR '!$BO$34&gt;0,0,('[17]Calculo ISR '!$BO$34)*-1)</f>
        <v>0</v>
      </c>
      <c r="X19" s="25">
        <f t="shared" si="4"/>
        <v>5073.783680999999</v>
      </c>
      <c r="Y19" s="25">
        <f t="shared" si="5"/>
        <v>375.96000000000004</v>
      </c>
      <c r="Z19" s="161"/>
      <c r="AA19" s="162"/>
    </row>
    <row r="20" spans="1:28" s="35" customFormat="1" ht="45" customHeight="1">
      <c r="A20" s="21" t="s">
        <v>54</v>
      </c>
      <c r="B20" s="33" t="s">
        <v>55</v>
      </c>
      <c r="C20" s="34">
        <v>11</v>
      </c>
      <c r="D20" s="34">
        <v>7.5</v>
      </c>
      <c r="E20" s="24">
        <v>315.89999999999998</v>
      </c>
      <c r="F20" s="24">
        <v>360.15</v>
      </c>
      <c r="G20" s="24">
        <f t="shared" si="0"/>
        <v>3474.8999999999996</v>
      </c>
      <c r="H20" s="24">
        <f t="shared" si="0"/>
        <v>2701.125</v>
      </c>
      <c r="I20" s="25">
        <f t="shared" si="1"/>
        <v>6176.0249999999996</v>
      </c>
      <c r="J20" s="25">
        <f t="shared" si="2"/>
        <v>356.68</v>
      </c>
      <c r="K20" s="25">
        <f>(C20+D20)*I6</f>
        <v>202.57499999999999</v>
      </c>
      <c r="L20" s="25"/>
      <c r="M20" s="25"/>
      <c r="N20" s="25">
        <v>0</v>
      </c>
      <c r="O20" s="25">
        <f t="shared" si="3"/>
        <v>6735.28</v>
      </c>
      <c r="P20" s="27">
        <f>IF('[17]Calculo ISR '!$BP$34&lt;0,0,'[17]Calculo ISR '!$BP$34)</f>
        <v>815.27978399999995</v>
      </c>
      <c r="Q20" s="28">
        <f>I20*N6</f>
        <v>648.48262499999998</v>
      </c>
      <c r="R20" s="28">
        <v>1324</v>
      </c>
      <c r="S20" s="28">
        <f>I20*T6</f>
        <v>61.760249999999999</v>
      </c>
      <c r="T20" s="28">
        <f>'[17]HT-DOCENTE'!R22</f>
        <v>0</v>
      </c>
      <c r="U20" s="28"/>
      <c r="V20" s="25">
        <f t="shared" si="6"/>
        <v>2849.5226589999997</v>
      </c>
      <c r="W20" s="28">
        <f>IF('[17]Calculo ISR '!$BP$34&gt;0,0,('[17]Calculo ISR '!$BP$34)*-1)</f>
        <v>0</v>
      </c>
      <c r="X20" s="25">
        <f t="shared" si="4"/>
        <v>3529.0773410000002</v>
      </c>
      <c r="Y20" s="25">
        <f t="shared" si="5"/>
        <v>356.68</v>
      </c>
      <c r="Z20" s="161"/>
      <c r="AA20" s="162"/>
    </row>
    <row r="21" spans="1:28" s="35" customFormat="1" ht="45" customHeight="1">
      <c r="A21" s="21" t="s">
        <v>56</v>
      </c>
      <c r="B21" s="33" t="s">
        <v>57</v>
      </c>
      <c r="C21" s="34">
        <v>11.5</v>
      </c>
      <c r="D21" s="34">
        <v>7.5</v>
      </c>
      <c r="E21" s="24">
        <v>315.89999999999998</v>
      </c>
      <c r="F21" s="24">
        <v>360.15</v>
      </c>
      <c r="G21" s="24">
        <f t="shared" si="0"/>
        <v>3632.85</v>
      </c>
      <c r="H21" s="24">
        <f>D21*F21</f>
        <v>2701.125</v>
      </c>
      <c r="I21" s="25">
        <f t="shared" si="1"/>
        <v>6333.9750000000004</v>
      </c>
      <c r="J21" s="25">
        <f t="shared" si="2"/>
        <v>366.32000000000005</v>
      </c>
      <c r="K21" s="25">
        <f>(C21+D21)*I6</f>
        <v>208.04999999999998</v>
      </c>
      <c r="L21" s="25">
        <f>(C21+D21)*E7</f>
        <v>423.7</v>
      </c>
      <c r="M21" s="25"/>
      <c r="N21" s="25">
        <v>0</v>
      </c>
      <c r="O21" s="25">
        <f t="shared" si="3"/>
        <v>7332.0450000000001</v>
      </c>
      <c r="P21" s="27">
        <f>IF('[17]Calculo ISR '!$BQ$34&lt;0,0,'[17]Calculo ISR '!$BQ$34)</f>
        <v>940.68968400000017</v>
      </c>
      <c r="Q21" s="28">
        <f>I21*N6</f>
        <v>665.06737499999997</v>
      </c>
      <c r="R21" s="28">
        <f>'[17]HT-DOCENTE'!P23</f>
        <v>0</v>
      </c>
      <c r="S21" s="28">
        <f>I21*T6</f>
        <v>63.339750000000002</v>
      </c>
      <c r="T21" s="28">
        <f>'[17]HT-DOCENTE'!R23</f>
        <v>0</v>
      </c>
      <c r="U21" s="30"/>
      <c r="V21" s="25">
        <f t="shared" si="6"/>
        <v>1669.0968090000001</v>
      </c>
      <c r="W21" s="28">
        <f>IF('[17]Calculo ISR '!$BQ$34&gt;0,0,('[17]Calculo ISR '!$BQ$34)*-1)</f>
        <v>0</v>
      </c>
      <c r="X21" s="25">
        <f t="shared" si="4"/>
        <v>5296.6281909999998</v>
      </c>
      <c r="Y21" s="25">
        <f t="shared" si="5"/>
        <v>366.32000000000005</v>
      </c>
      <c r="Z21" s="161"/>
      <c r="AA21" s="162"/>
    </row>
    <row r="22" spans="1:28" s="35" customFormat="1" ht="45" customHeight="1">
      <c r="A22" s="21" t="s">
        <v>58</v>
      </c>
      <c r="B22" s="33" t="s">
        <v>59</v>
      </c>
      <c r="C22" s="34">
        <v>11</v>
      </c>
      <c r="D22" s="34">
        <v>0</v>
      </c>
      <c r="E22" s="24">
        <v>315.89999999999998</v>
      </c>
      <c r="F22" s="24">
        <v>360.15</v>
      </c>
      <c r="G22" s="24">
        <f t="shared" si="0"/>
        <v>3474.8999999999996</v>
      </c>
      <c r="H22" s="24">
        <f t="shared" si="0"/>
        <v>0</v>
      </c>
      <c r="I22" s="25">
        <f t="shared" si="1"/>
        <v>3474.8999999999996</v>
      </c>
      <c r="J22" s="25">
        <f t="shared" si="2"/>
        <v>212.08</v>
      </c>
      <c r="K22" s="25">
        <f>(C22+D22)*I6</f>
        <v>120.44999999999999</v>
      </c>
      <c r="L22" s="25"/>
      <c r="M22" s="25"/>
      <c r="N22" s="25"/>
      <c r="O22" s="25">
        <f t="shared" si="3"/>
        <v>3807.4299999999994</v>
      </c>
      <c r="P22" s="27">
        <f>IF('[17]Calculo ISR '!$BR$34&lt;0,0,'[17]Calculo ISR '!$BR$34)</f>
        <v>179.69099199999991</v>
      </c>
      <c r="Q22" s="28">
        <f>I22*N6</f>
        <v>364.86449999999996</v>
      </c>
      <c r="R22" s="28">
        <v>0</v>
      </c>
      <c r="S22" s="28">
        <f>I22*T6</f>
        <v>34.748999999999995</v>
      </c>
      <c r="T22" s="28"/>
      <c r="U22" s="28"/>
      <c r="V22" s="25">
        <f t="shared" si="6"/>
        <v>579.30449199999987</v>
      </c>
      <c r="W22" s="28">
        <f>IF('[17]Calculo ISR '!$BR$34&gt;0,0,('[17]Calculo ISR '!$BR$34)*-1)</f>
        <v>0</v>
      </c>
      <c r="X22" s="25">
        <f t="shared" si="4"/>
        <v>3016.0455079999997</v>
      </c>
      <c r="Y22" s="25">
        <f t="shared" si="5"/>
        <v>212.08</v>
      </c>
      <c r="Z22" s="161"/>
      <c r="AA22" s="162"/>
    </row>
    <row r="23" spans="1:28" s="35" customFormat="1" ht="45" customHeight="1">
      <c r="A23" s="21" t="s">
        <v>60</v>
      </c>
      <c r="B23" s="33" t="s">
        <v>100</v>
      </c>
      <c r="C23" s="34">
        <v>16</v>
      </c>
      <c r="D23" s="34">
        <v>0</v>
      </c>
      <c r="E23" s="24">
        <v>315.89999999999998</v>
      </c>
      <c r="F23" s="24">
        <v>360.15</v>
      </c>
      <c r="G23" s="24">
        <f t="shared" si="0"/>
        <v>5054.3999999999996</v>
      </c>
      <c r="H23" s="24">
        <f t="shared" si="0"/>
        <v>0</v>
      </c>
      <c r="I23" s="25">
        <f t="shared" si="1"/>
        <v>5054.3999999999996</v>
      </c>
      <c r="J23" s="25">
        <f t="shared" si="2"/>
        <v>308.48</v>
      </c>
      <c r="K23" s="25">
        <f>(C23+D23)*I6</f>
        <v>175.2</v>
      </c>
      <c r="L23" s="25"/>
      <c r="M23" s="25"/>
      <c r="N23" s="25"/>
      <c r="O23" s="25">
        <f t="shared" si="3"/>
        <v>5538.079999999999</v>
      </c>
      <c r="P23" s="27">
        <f>IF('[17]Calculo ISR '!$BS$34&lt;0,0,'[17]Calculo ISR '!$BS$34)</f>
        <v>569.85338399999978</v>
      </c>
      <c r="Q23" s="28">
        <f>I23*N6</f>
        <v>530.71199999999999</v>
      </c>
      <c r="R23" s="28"/>
      <c r="S23" s="28"/>
      <c r="T23" s="28"/>
      <c r="U23" s="28"/>
      <c r="V23" s="25">
        <f t="shared" ref="V23:V38" si="7">P23+Q23+R23+S23+T23+U23</f>
        <v>1100.5653839999998</v>
      </c>
      <c r="W23" s="28">
        <f>IF('[17]Calculo ISR '!$BS$34&gt;0,0,('[17]Calculo ISR '!$BS$34)*-1)</f>
        <v>0</v>
      </c>
      <c r="X23" s="25">
        <f t="shared" si="4"/>
        <v>4129.034615999999</v>
      </c>
      <c r="Y23" s="25">
        <f t="shared" si="5"/>
        <v>308.48</v>
      </c>
      <c r="Z23" s="161"/>
      <c r="AA23" s="162"/>
    </row>
    <row r="24" spans="1:28" s="35" customFormat="1" ht="45" customHeight="1">
      <c r="A24" s="21" t="s">
        <v>62</v>
      </c>
      <c r="B24" s="33" t="s">
        <v>63</v>
      </c>
      <c r="C24" s="34">
        <v>18</v>
      </c>
      <c r="D24" s="34">
        <v>0</v>
      </c>
      <c r="E24" s="24">
        <v>315.89999999999998</v>
      </c>
      <c r="F24" s="24">
        <v>360.15</v>
      </c>
      <c r="G24" s="24">
        <f t="shared" si="0"/>
        <v>5686.2</v>
      </c>
      <c r="H24" s="24">
        <f t="shared" si="0"/>
        <v>0</v>
      </c>
      <c r="I24" s="25">
        <f t="shared" si="1"/>
        <v>5686.2</v>
      </c>
      <c r="J24" s="25">
        <f t="shared" si="2"/>
        <v>347.04</v>
      </c>
      <c r="K24" s="25">
        <f>(C24+D24)*I6</f>
        <v>197.1</v>
      </c>
      <c r="L24" s="25"/>
      <c r="M24" s="25"/>
      <c r="N24" s="25">
        <v>0</v>
      </c>
      <c r="O24" s="25">
        <f t="shared" si="3"/>
        <v>6230.34</v>
      </c>
      <c r="P24" s="27">
        <f>IF('[17]Calculo ISR '!$BT$34&lt;0,0,'[17]Calculo ISR '!$BT$34)</f>
        <v>709.4837040000001</v>
      </c>
      <c r="Q24" s="28">
        <f>I24*N6</f>
        <v>597.05099999999993</v>
      </c>
      <c r="R24" s="28"/>
      <c r="S24" s="28">
        <f>I24*T6</f>
        <v>56.862000000000002</v>
      </c>
      <c r="T24" s="28"/>
      <c r="U24" s="28"/>
      <c r="V24" s="25">
        <f t="shared" si="7"/>
        <v>1363.3967040000002</v>
      </c>
      <c r="W24" s="28">
        <f>IF('[17]Calculo ISR '!$BT$34&gt;0,0,('[17]Calculo ISR '!$BT$34)*-1)</f>
        <v>0</v>
      </c>
      <c r="X24" s="25">
        <f t="shared" ref="X24:X38" si="8">O24-V24+W24-Y24</f>
        <v>4519.9032959999995</v>
      </c>
      <c r="Y24" s="25">
        <f t="shared" si="5"/>
        <v>347.04</v>
      </c>
      <c r="Z24" s="161"/>
      <c r="AA24" s="162"/>
    </row>
    <row r="25" spans="1:28" s="35" customFormat="1" ht="45" customHeight="1">
      <c r="A25" s="21" t="s">
        <v>64</v>
      </c>
      <c r="B25" s="33" t="s">
        <v>65</v>
      </c>
      <c r="C25" s="34">
        <v>17.5</v>
      </c>
      <c r="D25" s="34">
        <v>0</v>
      </c>
      <c r="E25" s="24">
        <v>315.89999999999998</v>
      </c>
      <c r="F25" s="24">
        <v>360.15</v>
      </c>
      <c r="G25" s="24">
        <f t="shared" si="0"/>
        <v>5528.25</v>
      </c>
      <c r="H25" s="24">
        <f t="shared" si="0"/>
        <v>0</v>
      </c>
      <c r="I25" s="25">
        <f t="shared" si="1"/>
        <v>5528.25</v>
      </c>
      <c r="J25" s="25">
        <f t="shared" si="2"/>
        <v>337.40000000000003</v>
      </c>
      <c r="K25" s="25">
        <f>(C25+D25)*I6</f>
        <v>191.625</v>
      </c>
      <c r="L25" s="25"/>
      <c r="M25" s="25"/>
      <c r="N25" s="25">
        <v>0</v>
      </c>
      <c r="O25" s="25">
        <f t="shared" si="3"/>
        <v>6057.2749999999996</v>
      </c>
      <c r="P25" s="27">
        <f>IF('[17]Calculo ISR '!$BU$34&lt;0,0,'[17]Calculo ISR '!$BU$34)</f>
        <v>674.57612400000005</v>
      </c>
      <c r="Q25" s="28">
        <f>I25*N6</f>
        <v>580.46624999999995</v>
      </c>
      <c r="R25" s="28"/>
      <c r="S25" s="28"/>
      <c r="T25" s="28"/>
      <c r="U25" s="28"/>
      <c r="V25" s="25">
        <f t="shared" si="7"/>
        <v>1255.0423740000001</v>
      </c>
      <c r="W25" s="28">
        <f>IF('[17]Calculo ISR '!$BU$34&gt;0,0,('[17]Calculo ISR '!$BU$34)*-1)</f>
        <v>0</v>
      </c>
      <c r="X25" s="25">
        <f t="shared" si="8"/>
        <v>4464.8326259999994</v>
      </c>
      <c r="Y25" s="25">
        <f t="shared" si="5"/>
        <v>337.40000000000003</v>
      </c>
      <c r="Z25" s="161"/>
      <c r="AA25" s="162"/>
    </row>
    <row r="26" spans="1:28" s="35" customFormat="1" ht="45" customHeight="1">
      <c r="A26" s="21" t="s">
        <v>66</v>
      </c>
      <c r="B26" s="36" t="s">
        <v>67</v>
      </c>
      <c r="C26" s="34">
        <v>10</v>
      </c>
      <c r="D26" s="34">
        <v>0</v>
      </c>
      <c r="E26" s="24">
        <v>315.89999999999998</v>
      </c>
      <c r="F26" s="24">
        <v>360.15</v>
      </c>
      <c r="G26" s="24">
        <f t="shared" si="0"/>
        <v>3159</v>
      </c>
      <c r="H26" s="24">
        <f t="shared" si="0"/>
        <v>0</v>
      </c>
      <c r="I26" s="25">
        <f t="shared" si="1"/>
        <v>3159</v>
      </c>
      <c r="J26" s="25">
        <f t="shared" si="2"/>
        <v>192.8</v>
      </c>
      <c r="K26" s="25">
        <f>(C26+D26)*I6</f>
        <v>109.5</v>
      </c>
      <c r="L26" s="25"/>
      <c r="M26" s="25"/>
      <c r="N26" s="25">
        <v>0</v>
      </c>
      <c r="O26" s="25">
        <f t="shared" si="3"/>
        <v>3461.3</v>
      </c>
      <c r="P26" s="27">
        <f>IF('[17]Calculo ISR '!$BV$34&lt;0,0,'[17]Calculo ISR '!$BV$34)</f>
        <v>126.42971199999997</v>
      </c>
      <c r="Q26" s="28">
        <f>I26*N6</f>
        <v>331.69499999999999</v>
      </c>
      <c r="R26" s="28"/>
      <c r="S26" s="28"/>
      <c r="T26" s="28"/>
      <c r="U26" s="28"/>
      <c r="V26" s="25">
        <f t="shared" si="7"/>
        <v>458.12471199999993</v>
      </c>
      <c r="W26" s="28">
        <f>IF('[17]Calculo ISR '!$BV$34&gt;0,0,('[17]Calculo ISR '!$BV$34)*-1)</f>
        <v>0</v>
      </c>
      <c r="X26" s="25">
        <f t="shared" si="8"/>
        <v>2810.3752880000002</v>
      </c>
      <c r="Y26" s="25">
        <f t="shared" si="5"/>
        <v>192.8</v>
      </c>
      <c r="Z26" s="161"/>
      <c r="AA26" s="162"/>
    </row>
    <row r="27" spans="1:28" s="35" customFormat="1" ht="45" customHeight="1">
      <c r="A27" s="21" t="s">
        <v>68</v>
      </c>
      <c r="B27" s="33" t="s">
        <v>69</v>
      </c>
      <c r="C27" s="34">
        <v>10.5</v>
      </c>
      <c r="D27" s="34">
        <v>0</v>
      </c>
      <c r="E27" s="24">
        <v>315.89999999999998</v>
      </c>
      <c r="F27" s="24">
        <v>360.15</v>
      </c>
      <c r="G27" s="24">
        <f t="shared" si="0"/>
        <v>3316.95</v>
      </c>
      <c r="H27" s="24">
        <f t="shared" si="0"/>
        <v>0</v>
      </c>
      <c r="I27" s="25">
        <f t="shared" si="1"/>
        <v>3316.95</v>
      </c>
      <c r="J27" s="25">
        <f t="shared" si="2"/>
        <v>202.44</v>
      </c>
      <c r="K27" s="25">
        <f>(C27+D27)*I6</f>
        <v>114.97499999999999</v>
      </c>
      <c r="L27" s="25"/>
      <c r="M27" s="25"/>
      <c r="N27" s="25">
        <v>0</v>
      </c>
      <c r="O27" s="25">
        <f t="shared" si="3"/>
        <v>3634.3649999999998</v>
      </c>
      <c r="P27" s="27">
        <f>IF('[17]Calculo ISR '!$BW$34&lt;0,0,'[17]Calculo ISR '!$BW$34)</f>
        <v>144.21035199999997</v>
      </c>
      <c r="Q27" s="28">
        <f>I27*N6</f>
        <v>348.27974999999998</v>
      </c>
      <c r="R27" s="28"/>
      <c r="S27" s="28"/>
      <c r="T27" s="28"/>
      <c r="U27" s="28"/>
      <c r="V27" s="25">
        <f t="shared" si="7"/>
        <v>492.49010199999998</v>
      </c>
      <c r="W27" s="28">
        <f>IF('[17]Calculo ISR '!$BW$34&gt;0,0,('[17]Calculo ISR '!$BW$34)*-1)</f>
        <v>0</v>
      </c>
      <c r="X27" s="25">
        <f t="shared" si="8"/>
        <v>2939.434898</v>
      </c>
      <c r="Y27" s="25">
        <f t="shared" si="5"/>
        <v>202.44</v>
      </c>
      <c r="Z27" s="161"/>
      <c r="AA27" s="162"/>
    </row>
    <row r="28" spans="1:28" s="35" customFormat="1" ht="45" customHeight="1">
      <c r="A28" s="21" t="s">
        <v>70</v>
      </c>
      <c r="B28" s="33" t="s">
        <v>71</v>
      </c>
      <c r="C28" s="34">
        <v>7</v>
      </c>
      <c r="D28" s="34">
        <v>0</v>
      </c>
      <c r="E28" s="24">
        <v>315.89999999999998</v>
      </c>
      <c r="F28" s="24">
        <v>360.15</v>
      </c>
      <c r="G28" s="24">
        <f t="shared" si="0"/>
        <v>2211.2999999999997</v>
      </c>
      <c r="H28" s="24">
        <f t="shared" si="0"/>
        <v>0</v>
      </c>
      <c r="I28" s="25">
        <f t="shared" si="1"/>
        <v>2211.2999999999997</v>
      </c>
      <c r="J28" s="25">
        <f t="shared" si="2"/>
        <v>134.96</v>
      </c>
      <c r="K28" s="25">
        <f>(C28+D28)*I6</f>
        <v>76.649999999999991</v>
      </c>
      <c r="L28" s="25"/>
      <c r="M28" s="25"/>
      <c r="N28" s="25"/>
      <c r="O28" s="25">
        <f t="shared" si="3"/>
        <v>2422.91</v>
      </c>
      <c r="P28" s="27">
        <f>IF('[17]Calculo ISR '!$BX$34&lt;0,0,'[17]Calculo ISR '!$BX$34)</f>
        <v>0</v>
      </c>
      <c r="Q28" s="28">
        <f>I28*N6</f>
        <v>232.18649999999997</v>
      </c>
      <c r="R28" s="28"/>
      <c r="S28" s="28"/>
      <c r="T28" s="28"/>
      <c r="U28" s="28"/>
      <c r="V28" s="25">
        <f t="shared" si="7"/>
        <v>232.18649999999997</v>
      </c>
      <c r="W28" s="28">
        <f>IF('[17]Calculo ISR '!$BX$34&gt;0,0,('[17]Calculo ISR '!$BX$34)*-1)</f>
        <v>29.904128000000043</v>
      </c>
      <c r="X28" s="25">
        <f t="shared" si="8"/>
        <v>2085.6676280000001</v>
      </c>
      <c r="Y28" s="25">
        <f t="shared" si="5"/>
        <v>134.96</v>
      </c>
      <c r="Z28" s="161"/>
      <c r="AA28" s="162"/>
    </row>
    <row r="29" spans="1:28" s="35" customFormat="1" ht="45" customHeight="1">
      <c r="A29" s="21" t="s">
        <v>72</v>
      </c>
      <c r="B29" s="33" t="s">
        <v>73</v>
      </c>
      <c r="C29" s="34">
        <v>7.5</v>
      </c>
      <c r="D29" s="34">
        <v>0</v>
      </c>
      <c r="E29" s="24">
        <v>315.89999999999998</v>
      </c>
      <c r="F29" s="24">
        <v>360.15</v>
      </c>
      <c r="G29" s="24">
        <f t="shared" si="0"/>
        <v>2369.25</v>
      </c>
      <c r="H29" s="24">
        <f t="shared" si="0"/>
        <v>0</v>
      </c>
      <c r="I29" s="25">
        <f t="shared" si="1"/>
        <v>2369.25</v>
      </c>
      <c r="J29" s="25">
        <f t="shared" si="2"/>
        <v>144.60000000000002</v>
      </c>
      <c r="K29" s="25">
        <f>(C29+D29)*I6</f>
        <v>82.125</v>
      </c>
      <c r="L29" s="25"/>
      <c r="M29" s="25"/>
      <c r="N29" s="25"/>
      <c r="O29" s="25">
        <f t="shared" si="3"/>
        <v>2595.9749999999999</v>
      </c>
      <c r="P29" s="27">
        <f>IF('[17]Calculo ISR '!$BY$34&lt;0,0,'[17]Calculo ISR '!$BY$34)</f>
        <v>2.2765119999999968</v>
      </c>
      <c r="Q29" s="28">
        <f>I29*N6</f>
        <v>248.77124999999998</v>
      </c>
      <c r="R29" s="28"/>
      <c r="S29" s="28"/>
      <c r="T29" s="28"/>
      <c r="U29" s="30"/>
      <c r="V29" s="25">
        <f t="shared" si="7"/>
        <v>251.04776199999998</v>
      </c>
      <c r="W29" s="28">
        <f>IF('[17]Calculo ISR '!$BY$34&gt;0,0,('[17]Calculo ISR '!$BY$34)*-1)</f>
        <v>0</v>
      </c>
      <c r="X29" s="25">
        <f t="shared" si="8"/>
        <v>2200.3272379999999</v>
      </c>
      <c r="Y29" s="25">
        <f t="shared" si="5"/>
        <v>144.60000000000002</v>
      </c>
      <c r="Z29" s="184"/>
      <c r="AA29" s="185"/>
      <c r="AB29" s="70"/>
    </row>
    <row r="30" spans="1:28" s="35" customFormat="1" ht="45" customHeight="1">
      <c r="A30" s="21" t="s">
        <v>94</v>
      </c>
      <c r="B30" s="33" t="s">
        <v>101</v>
      </c>
      <c r="C30" s="34">
        <v>10.5</v>
      </c>
      <c r="D30" s="34">
        <v>0</v>
      </c>
      <c r="E30" s="24">
        <v>315.89999999999998</v>
      </c>
      <c r="F30" s="24">
        <v>360.15</v>
      </c>
      <c r="G30" s="24">
        <f t="shared" si="0"/>
        <v>3316.95</v>
      </c>
      <c r="H30" s="24">
        <f t="shared" si="0"/>
        <v>0</v>
      </c>
      <c r="I30" s="25">
        <f t="shared" si="1"/>
        <v>3316.95</v>
      </c>
      <c r="J30" s="25">
        <f t="shared" si="2"/>
        <v>202.44</v>
      </c>
      <c r="K30" s="25">
        <f>(C30+D30)*I6</f>
        <v>114.97499999999999</v>
      </c>
      <c r="L30" s="25"/>
      <c r="M30" s="25"/>
      <c r="N30" s="25"/>
      <c r="O30" s="25">
        <f t="shared" si="3"/>
        <v>3634.3649999999998</v>
      </c>
      <c r="P30" s="27">
        <f>IF('[17]Calculo ISR '!$BZ$34&lt;0,0,'[17]Calculo ISR '!$BZ$34)</f>
        <v>144.21035199999997</v>
      </c>
      <c r="Q30" s="28">
        <f>I30*10.5%</f>
        <v>348.27974999999998</v>
      </c>
      <c r="R30" s="28"/>
      <c r="S30" s="28"/>
      <c r="T30" s="28"/>
      <c r="U30" s="28"/>
      <c r="V30" s="25">
        <f t="shared" si="7"/>
        <v>492.49010199999998</v>
      </c>
      <c r="W30" s="28">
        <f>IF('[17]Calculo ISR '!$BZ$34&gt;0,0,('[17]Calculo ISR '!$BZ$34)*-1)</f>
        <v>0</v>
      </c>
      <c r="X30" s="25">
        <f t="shared" si="8"/>
        <v>2939.434898</v>
      </c>
      <c r="Y30" s="71">
        <f t="shared" si="5"/>
        <v>202.44</v>
      </c>
      <c r="Z30" s="138"/>
      <c r="AA30" s="73"/>
      <c r="AB30" s="70"/>
    </row>
    <row r="31" spans="1:28" s="35" customFormat="1" ht="45" customHeight="1">
      <c r="A31" s="21" t="s">
        <v>96</v>
      </c>
      <c r="B31" s="33" t="s">
        <v>102</v>
      </c>
      <c r="C31" s="34">
        <v>14</v>
      </c>
      <c r="D31" s="34">
        <v>0</v>
      </c>
      <c r="E31" s="24">
        <v>315.89999999999998</v>
      </c>
      <c r="F31" s="24">
        <v>360.15</v>
      </c>
      <c r="G31" s="24">
        <f t="shared" si="0"/>
        <v>4422.5999999999995</v>
      </c>
      <c r="H31" s="24">
        <f t="shared" si="0"/>
        <v>0</v>
      </c>
      <c r="I31" s="25">
        <f t="shared" si="1"/>
        <v>4422.5999999999995</v>
      </c>
      <c r="J31" s="25">
        <f t="shared" si="2"/>
        <v>269.92</v>
      </c>
      <c r="K31" s="25">
        <f>(C31+D31)*I6</f>
        <v>153.29999999999998</v>
      </c>
      <c r="L31" s="25"/>
      <c r="M31" s="25"/>
      <c r="N31" s="25"/>
      <c r="O31" s="25">
        <f t="shared" si="3"/>
        <v>4845.82</v>
      </c>
      <c r="P31" s="27">
        <f>IF('[17]Calculo ISR '!$CA$34&lt;0,0,'[17]Calculo ISR '!$CA$34)</f>
        <v>447.50676800000002</v>
      </c>
      <c r="Q31" s="28">
        <f>I31*10.5%</f>
        <v>464.37299999999993</v>
      </c>
      <c r="R31" s="28"/>
      <c r="S31" s="28"/>
      <c r="T31" s="28"/>
      <c r="U31" s="28"/>
      <c r="V31" s="25">
        <f t="shared" si="7"/>
        <v>911.87976800000001</v>
      </c>
      <c r="W31" s="28">
        <f>IF('[17]Calculo ISR '!$CA$34&gt;0,0,('[17]Calculo ISR '!$CA$34)*-1)</f>
        <v>0</v>
      </c>
      <c r="X31" s="25">
        <f t="shared" si="8"/>
        <v>3664.0202319999999</v>
      </c>
      <c r="Y31" s="71">
        <f t="shared" si="5"/>
        <v>269.92</v>
      </c>
      <c r="Z31" s="138"/>
      <c r="AA31" s="73"/>
      <c r="AB31" s="70"/>
    </row>
    <row r="32" spans="1:28" s="35" customFormat="1" ht="45" customHeight="1">
      <c r="A32" s="21" t="s">
        <v>103</v>
      </c>
      <c r="B32" s="33" t="s">
        <v>124</v>
      </c>
      <c r="C32" s="34">
        <v>4</v>
      </c>
      <c r="D32" s="34">
        <v>0</v>
      </c>
      <c r="E32" s="24">
        <v>315.89999999999998</v>
      </c>
      <c r="F32" s="24">
        <v>360.15</v>
      </c>
      <c r="G32" s="24">
        <f t="shared" ref="G32:H38" si="9">C32*E32</f>
        <v>1263.5999999999999</v>
      </c>
      <c r="H32" s="24">
        <f t="shared" si="9"/>
        <v>0</v>
      </c>
      <c r="I32" s="25">
        <f t="shared" si="1"/>
        <v>1263.5999999999999</v>
      </c>
      <c r="J32" s="25">
        <f t="shared" si="2"/>
        <v>77.12</v>
      </c>
      <c r="K32" s="25">
        <f>(C32+D32)*I$6</f>
        <v>43.8</v>
      </c>
      <c r="L32" s="25"/>
      <c r="M32" s="25"/>
      <c r="N32" s="25"/>
      <c r="O32" s="25">
        <f t="shared" si="3"/>
        <v>1384.5199999999998</v>
      </c>
      <c r="P32" s="27">
        <f>IF('[17]Calculo ISR '!$CB$34&lt;0,0,'[17]Calculo ISR '!$CB$34)</f>
        <v>0</v>
      </c>
      <c r="Q32" s="28">
        <f t="shared" ref="Q32:Q38" si="10">I32*10.5%</f>
        <v>132.678</v>
      </c>
      <c r="R32" s="28"/>
      <c r="S32" s="28"/>
      <c r="T32" s="28"/>
      <c r="U32" s="28"/>
      <c r="V32" s="25">
        <f t="shared" si="7"/>
        <v>132.678</v>
      </c>
      <c r="W32" s="28">
        <f>IF('[17]Calculo ISR '!$CB$34&gt;0,0,('[17]Calculo ISR '!$CB$34)*-1)</f>
        <v>128.04424</v>
      </c>
      <c r="X32" s="25">
        <f t="shared" si="8"/>
        <v>1302.7662399999995</v>
      </c>
      <c r="Y32" s="25">
        <f t="shared" si="5"/>
        <v>77.12</v>
      </c>
      <c r="Z32" s="138"/>
      <c r="AA32" s="73"/>
      <c r="AB32" s="70"/>
    </row>
    <row r="33" spans="1:31" s="35" customFormat="1" ht="45" customHeight="1">
      <c r="A33" s="21" t="s">
        <v>105</v>
      </c>
      <c r="B33" s="33" t="s">
        <v>106</v>
      </c>
      <c r="C33" s="34">
        <v>4</v>
      </c>
      <c r="D33" s="34">
        <v>0</v>
      </c>
      <c r="E33" s="24">
        <v>315.89999999999998</v>
      </c>
      <c r="F33" s="24">
        <v>360.15</v>
      </c>
      <c r="G33" s="24">
        <f t="shared" si="9"/>
        <v>1263.5999999999999</v>
      </c>
      <c r="H33" s="24">
        <f t="shared" si="9"/>
        <v>0</v>
      </c>
      <c r="I33" s="25">
        <f t="shared" si="1"/>
        <v>1263.5999999999999</v>
      </c>
      <c r="J33" s="25">
        <f t="shared" si="2"/>
        <v>77.12</v>
      </c>
      <c r="K33" s="25">
        <f t="shared" ref="K33:K38" si="11">(C33+D33)*I$6</f>
        <v>43.8</v>
      </c>
      <c r="L33" s="25"/>
      <c r="M33" s="25"/>
      <c r="N33" s="25"/>
      <c r="O33" s="25">
        <f t="shared" si="3"/>
        <v>1384.5199999999998</v>
      </c>
      <c r="P33" s="27">
        <f>IF('[17]Calculo ISR '!$CC$34&lt;0,0,'[17]Calculo ISR '!$CC$34)</f>
        <v>0</v>
      </c>
      <c r="Q33" s="28">
        <f t="shared" si="10"/>
        <v>132.678</v>
      </c>
      <c r="R33" s="28"/>
      <c r="S33" s="28"/>
      <c r="T33" s="28"/>
      <c r="U33" s="28"/>
      <c r="V33" s="25">
        <f t="shared" si="7"/>
        <v>132.678</v>
      </c>
      <c r="W33" s="28">
        <f>IF('[17]Calculo ISR '!$CC$34&gt;0,0,('[17]Calculo ISR '!$CC$34)*-1)</f>
        <v>128.04424</v>
      </c>
      <c r="X33" s="25">
        <f t="shared" si="8"/>
        <v>1302.7662399999995</v>
      </c>
      <c r="Y33" s="25">
        <f t="shared" si="5"/>
        <v>77.12</v>
      </c>
      <c r="Z33" s="138"/>
      <c r="AA33" s="73"/>
      <c r="AB33" s="70"/>
    </row>
    <row r="34" spans="1:31" s="35" customFormat="1" ht="45" customHeight="1">
      <c r="A34" s="21" t="s">
        <v>112</v>
      </c>
      <c r="B34" s="33" t="s">
        <v>113</v>
      </c>
      <c r="C34" s="34">
        <v>4</v>
      </c>
      <c r="D34" s="34">
        <v>0</v>
      </c>
      <c r="E34" s="24">
        <v>315.89999999999998</v>
      </c>
      <c r="F34" s="24">
        <v>360.15</v>
      </c>
      <c r="G34" s="24">
        <f t="shared" si="9"/>
        <v>1263.5999999999999</v>
      </c>
      <c r="H34" s="24">
        <f t="shared" si="9"/>
        <v>0</v>
      </c>
      <c r="I34" s="25">
        <f t="shared" si="1"/>
        <v>1263.5999999999999</v>
      </c>
      <c r="J34" s="25">
        <f t="shared" si="2"/>
        <v>77.12</v>
      </c>
      <c r="K34" s="25">
        <f t="shared" si="11"/>
        <v>43.8</v>
      </c>
      <c r="L34" s="25"/>
      <c r="M34" s="25"/>
      <c r="N34" s="25"/>
      <c r="O34" s="25">
        <f t="shared" si="3"/>
        <v>1384.5199999999998</v>
      </c>
      <c r="P34" s="27">
        <f>IF('[17]Calculo ISR '!$CD$34&lt;0,0,'[17]Calculo ISR '!$CD$34)</f>
        <v>0</v>
      </c>
      <c r="Q34" s="28">
        <f t="shared" si="10"/>
        <v>132.678</v>
      </c>
      <c r="R34" s="28"/>
      <c r="S34" s="28"/>
      <c r="T34" s="28"/>
      <c r="U34" s="28"/>
      <c r="V34" s="25">
        <f t="shared" si="7"/>
        <v>132.678</v>
      </c>
      <c r="W34" s="28">
        <f>IF('[17]Calculo ISR '!$CD$34&gt;0,0,('[17]Calculo ISR '!$CD$34)*-1)</f>
        <v>128.04424</v>
      </c>
      <c r="X34" s="25">
        <f t="shared" si="8"/>
        <v>1302.7662399999995</v>
      </c>
      <c r="Y34" s="25">
        <f t="shared" si="5"/>
        <v>77.12</v>
      </c>
      <c r="Z34" s="138"/>
      <c r="AA34" s="73"/>
      <c r="AB34" s="70"/>
    </row>
    <row r="35" spans="1:31" s="35" customFormat="1" ht="45" customHeight="1">
      <c r="A35" s="21" t="s">
        <v>125</v>
      </c>
      <c r="B35" s="33" t="s">
        <v>126</v>
      </c>
      <c r="C35" s="34">
        <v>15</v>
      </c>
      <c r="D35" s="34">
        <v>0</v>
      </c>
      <c r="E35" s="24">
        <v>315.89999999999998</v>
      </c>
      <c r="F35" s="24">
        <v>360.15</v>
      </c>
      <c r="G35" s="24">
        <f t="shared" si="9"/>
        <v>4738.5</v>
      </c>
      <c r="H35" s="24">
        <f t="shared" si="9"/>
        <v>0</v>
      </c>
      <c r="I35" s="25">
        <f t="shared" si="1"/>
        <v>4738.5</v>
      </c>
      <c r="J35" s="25">
        <f t="shared" si="2"/>
        <v>289.20000000000005</v>
      </c>
      <c r="K35" s="25">
        <f t="shared" si="11"/>
        <v>164.25</v>
      </c>
      <c r="L35" s="25"/>
      <c r="M35" s="25"/>
      <c r="N35" s="25"/>
      <c r="O35" s="25">
        <f t="shared" si="3"/>
        <v>5191.95</v>
      </c>
      <c r="P35" s="27">
        <f>IF('[17]Calculo ISR '!$CE$34&lt;0,0,'[17]Calculo ISR '!$CE$34)</f>
        <v>506.07828800000004</v>
      </c>
      <c r="Q35" s="28">
        <f t="shared" si="10"/>
        <v>497.54249999999996</v>
      </c>
      <c r="R35" s="28"/>
      <c r="S35" s="28"/>
      <c r="T35" s="28"/>
      <c r="U35" s="28"/>
      <c r="V35" s="25">
        <f t="shared" si="7"/>
        <v>1003.6207879999999</v>
      </c>
      <c r="W35" s="28">
        <f>IF('[17]Calculo ISR '!$CE$34&gt;0,0,('[17]Calculo ISR '!$CE$34)*-1)</f>
        <v>0</v>
      </c>
      <c r="X35" s="25">
        <f t="shared" si="8"/>
        <v>3899.1292119999998</v>
      </c>
      <c r="Y35" s="25">
        <f t="shared" si="5"/>
        <v>289.20000000000005</v>
      </c>
      <c r="Z35" s="138"/>
      <c r="AA35" s="73"/>
      <c r="AB35" s="70"/>
    </row>
    <row r="36" spans="1:31" s="35" customFormat="1" ht="45" customHeight="1">
      <c r="A36" s="21" t="s">
        <v>127</v>
      </c>
      <c r="B36" s="33" t="s">
        <v>128</v>
      </c>
      <c r="C36" s="34">
        <v>5</v>
      </c>
      <c r="D36" s="34">
        <v>0</v>
      </c>
      <c r="E36" s="24">
        <v>315.89999999999998</v>
      </c>
      <c r="F36" s="24">
        <v>360.15</v>
      </c>
      <c r="G36" s="24">
        <f t="shared" si="9"/>
        <v>1579.5</v>
      </c>
      <c r="H36" s="24">
        <f t="shared" si="9"/>
        <v>0</v>
      </c>
      <c r="I36" s="25">
        <f t="shared" si="1"/>
        <v>1579.5</v>
      </c>
      <c r="J36" s="25">
        <f t="shared" si="2"/>
        <v>96.4</v>
      </c>
      <c r="K36" s="25">
        <f t="shared" si="11"/>
        <v>54.75</v>
      </c>
      <c r="L36" s="25"/>
      <c r="M36" s="25"/>
      <c r="N36" s="25"/>
      <c r="O36" s="25">
        <f t="shared" si="3"/>
        <v>1730.65</v>
      </c>
      <c r="P36" s="27">
        <f>IF('[17]Calculo ISR '!$CF$34&lt;0,0,'[17]Calculo ISR '!$CF$34)</f>
        <v>0</v>
      </c>
      <c r="Q36" s="28">
        <f t="shared" si="10"/>
        <v>165.8475</v>
      </c>
      <c r="R36" s="28"/>
      <c r="S36" s="28"/>
      <c r="T36" s="28"/>
      <c r="U36" s="28"/>
      <c r="V36" s="25">
        <f t="shared" si="7"/>
        <v>165.8475</v>
      </c>
      <c r="W36" s="28">
        <f>IF('[17]Calculo ISR '!$CF$34&gt;0,0,('[17]Calculo ISR '!$CF$34)*-1)</f>
        <v>107.12583999999998</v>
      </c>
      <c r="X36" s="25">
        <f t="shared" si="8"/>
        <v>1575.5283399999998</v>
      </c>
      <c r="Y36" s="25">
        <f t="shared" si="5"/>
        <v>96.4</v>
      </c>
      <c r="Z36" s="138"/>
      <c r="AA36" s="73"/>
      <c r="AB36" s="70"/>
    </row>
    <row r="37" spans="1:31" s="35" customFormat="1" ht="45" customHeight="1">
      <c r="A37" s="21" t="s">
        <v>129</v>
      </c>
      <c r="B37" s="33" t="s">
        <v>130</v>
      </c>
      <c r="C37" s="34">
        <v>10</v>
      </c>
      <c r="D37" s="34">
        <v>0</v>
      </c>
      <c r="E37" s="24">
        <v>315.89999999999998</v>
      </c>
      <c r="F37" s="24">
        <v>360.15</v>
      </c>
      <c r="G37" s="24">
        <f t="shared" si="9"/>
        <v>3159</v>
      </c>
      <c r="H37" s="24">
        <f t="shared" si="9"/>
        <v>0</v>
      </c>
      <c r="I37" s="25">
        <f t="shared" si="1"/>
        <v>3159</v>
      </c>
      <c r="J37" s="25">
        <f t="shared" si="2"/>
        <v>192.8</v>
      </c>
      <c r="K37" s="25">
        <f t="shared" si="11"/>
        <v>109.5</v>
      </c>
      <c r="L37" s="25"/>
      <c r="M37" s="25"/>
      <c r="N37" s="25"/>
      <c r="O37" s="25">
        <f t="shared" si="3"/>
        <v>3461.3</v>
      </c>
      <c r="P37" s="27">
        <f>IF('[17]Calculo ISR '!$CG$34&lt;0,0,'[17]Calculo ISR '!$CG$34)</f>
        <v>126.42971199999997</v>
      </c>
      <c r="Q37" s="28">
        <f t="shared" si="10"/>
        <v>331.69499999999999</v>
      </c>
      <c r="R37" s="28"/>
      <c r="S37" s="28"/>
      <c r="T37" s="28"/>
      <c r="U37" s="28"/>
      <c r="V37" s="25">
        <f t="shared" si="7"/>
        <v>458.12471199999993</v>
      </c>
      <c r="W37" s="28">
        <f>IF('[17]Calculo ISR '!$CG$34&gt;0,0,('[17]Calculo ISR '!$CG$34)*-1)</f>
        <v>0</v>
      </c>
      <c r="X37" s="25">
        <f t="shared" si="8"/>
        <v>2810.3752880000002</v>
      </c>
      <c r="Y37" s="25">
        <f t="shared" si="5"/>
        <v>192.8</v>
      </c>
      <c r="Z37" s="138"/>
      <c r="AA37" s="73"/>
      <c r="AB37" s="70"/>
    </row>
    <row r="38" spans="1:31" s="35" customFormat="1" ht="45" customHeight="1">
      <c r="A38" s="31" t="s">
        <v>131</v>
      </c>
      <c r="B38" s="33" t="s">
        <v>132</v>
      </c>
      <c r="C38" s="34">
        <v>14</v>
      </c>
      <c r="D38" s="34">
        <v>0</v>
      </c>
      <c r="E38" s="24">
        <v>315.89999999999998</v>
      </c>
      <c r="F38" s="24">
        <v>360.15</v>
      </c>
      <c r="G38" s="24">
        <f t="shared" si="9"/>
        <v>4422.5999999999995</v>
      </c>
      <c r="H38" s="24">
        <f t="shared" si="9"/>
        <v>0</v>
      </c>
      <c r="I38" s="25">
        <f t="shared" si="1"/>
        <v>4422.5999999999995</v>
      </c>
      <c r="J38" s="25">
        <f t="shared" si="2"/>
        <v>269.92</v>
      </c>
      <c r="K38" s="25">
        <f t="shared" si="11"/>
        <v>153.29999999999998</v>
      </c>
      <c r="L38" s="25"/>
      <c r="M38" s="25"/>
      <c r="N38" s="25"/>
      <c r="O38" s="25">
        <f t="shared" si="3"/>
        <v>4845.82</v>
      </c>
      <c r="P38" s="27">
        <f>IF('[17]Calculo ISR '!$CH$34&lt;0,0,'[17]Calculo ISR '!$CH$34)</f>
        <v>447.50676800000002</v>
      </c>
      <c r="Q38" s="28">
        <f t="shared" si="10"/>
        <v>464.37299999999993</v>
      </c>
      <c r="R38" s="28"/>
      <c r="S38" s="28"/>
      <c r="T38" s="28"/>
      <c r="U38" s="28"/>
      <c r="V38" s="25">
        <f t="shared" si="7"/>
        <v>911.87976800000001</v>
      </c>
      <c r="W38" s="28">
        <f>IF('[17]Calculo ISR '!$CH$34&gt;0,0,('[17]Calculo ISR '!$CH$34)*-1)</f>
        <v>0</v>
      </c>
      <c r="X38" s="25">
        <f t="shared" si="8"/>
        <v>3664.0202319999999</v>
      </c>
      <c r="Y38" s="25">
        <f t="shared" si="5"/>
        <v>269.92</v>
      </c>
      <c r="Z38" s="138"/>
      <c r="AA38" s="73"/>
      <c r="AB38" s="70"/>
    </row>
    <row r="39" spans="1:31" s="2" customFormat="1" ht="30" customHeight="1" thickBot="1">
      <c r="A39" s="86"/>
      <c r="B39" s="38" t="s">
        <v>74</v>
      </c>
      <c r="C39" s="39">
        <f t="shared" ref="C39:X39" si="12">SUM(C10:C38)</f>
        <v>311.5</v>
      </c>
      <c r="D39" s="39">
        <f t="shared" si="12"/>
        <v>60</v>
      </c>
      <c r="E39" s="40">
        <f t="shared" si="12"/>
        <v>9161.0999999999949</v>
      </c>
      <c r="F39" s="40">
        <f t="shared" si="12"/>
        <v>10444.349999999995</v>
      </c>
      <c r="G39" s="40">
        <f t="shared" si="12"/>
        <v>98402.850000000035</v>
      </c>
      <c r="H39" s="40">
        <f t="shared" si="12"/>
        <v>21609</v>
      </c>
      <c r="I39" s="40">
        <f t="shared" si="12"/>
        <v>120011.85</v>
      </c>
      <c r="J39" s="40">
        <f t="shared" si="12"/>
        <v>7162.5199999999986</v>
      </c>
      <c r="K39" s="40">
        <f t="shared" si="12"/>
        <v>4067.9250000000002</v>
      </c>
      <c r="L39" s="40">
        <f t="shared" si="12"/>
        <v>1683.65</v>
      </c>
      <c r="M39" s="40">
        <f t="shared" si="12"/>
        <v>351.28800000000001</v>
      </c>
      <c r="N39" s="40">
        <f t="shared" si="12"/>
        <v>0</v>
      </c>
      <c r="O39" s="40">
        <f t="shared" si="12"/>
        <v>133277.23300000001</v>
      </c>
      <c r="P39" s="40">
        <f t="shared" si="12"/>
        <v>12334.046408799999</v>
      </c>
      <c r="Q39" s="40">
        <f t="shared" si="12"/>
        <v>12601.244249999994</v>
      </c>
      <c r="R39" s="40">
        <f t="shared" si="12"/>
        <v>6983.62</v>
      </c>
      <c r="S39" s="40">
        <f t="shared" si="12"/>
        <v>729.42750000000001</v>
      </c>
      <c r="T39" s="40">
        <f t="shared" si="12"/>
        <v>0</v>
      </c>
      <c r="U39" s="118">
        <f t="shared" si="12"/>
        <v>0</v>
      </c>
      <c r="V39" s="40">
        <f t="shared" si="12"/>
        <v>32648.338158799994</v>
      </c>
      <c r="W39" s="40">
        <f t="shared" si="12"/>
        <v>673.4485279999999</v>
      </c>
      <c r="X39" s="40">
        <f t="shared" si="12"/>
        <v>94139.823369199978</v>
      </c>
      <c r="Y39" s="40">
        <f>SUM(Y9:Y38)</f>
        <v>7162.5199999999986</v>
      </c>
      <c r="Z39" s="41"/>
      <c r="AA39" s="3"/>
      <c r="AB39" s="75"/>
      <c r="AC39" s="42"/>
    </row>
    <row r="40" spans="1:31" s="91" customFormat="1" ht="4.5" customHeight="1">
      <c r="A40" s="121"/>
      <c r="B40" s="122"/>
      <c r="C40" s="123"/>
      <c r="D40" s="123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124"/>
      <c r="AA40" s="90"/>
      <c r="AB40" s="125"/>
    </row>
    <row r="41" spans="1:31" s="91" customFormat="1" ht="4.5" customHeight="1">
      <c r="A41" s="121"/>
      <c r="B41" s="122"/>
      <c r="C41" s="123"/>
      <c r="D41" s="123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124"/>
      <c r="AA41" s="90"/>
      <c r="AB41" s="90"/>
    </row>
    <row r="42" spans="1:31" s="2" customFormat="1" ht="15" customHeight="1">
      <c r="A42" s="69"/>
      <c r="B42" s="137" t="s">
        <v>75</v>
      </c>
      <c r="C42" s="1"/>
      <c r="D42" s="1"/>
      <c r="E42" s="1"/>
      <c r="F42" s="1"/>
      <c r="G42" s="66" t="s">
        <v>76</v>
      </c>
      <c r="H42" s="1"/>
      <c r="I42" s="64"/>
      <c r="L42" s="66"/>
      <c r="M42" s="66"/>
      <c r="N42" s="66"/>
      <c r="O42" s="66"/>
      <c r="P42" s="49"/>
      <c r="Q42" s="50"/>
      <c r="R42" s="1"/>
      <c r="S42" s="1"/>
      <c r="T42" s="1"/>
      <c r="U42" s="1"/>
      <c r="V42" s="1" t="s">
        <v>136</v>
      </c>
      <c r="W42" s="1"/>
      <c r="X42" s="1"/>
      <c r="Y42" s="1"/>
      <c r="Z42" s="1"/>
      <c r="AB42" s="42"/>
      <c r="AE42" s="1"/>
    </row>
    <row r="43" spans="1:31" s="2" customFormat="1" hidden="1">
      <c r="A43" s="69"/>
      <c r="B43" s="1"/>
      <c r="C43" s="1"/>
      <c r="D43" s="1"/>
      <c r="E43" s="1"/>
      <c r="F43" s="1"/>
      <c r="G43" s="1"/>
      <c r="H43" s="1"/>
      <c r="K43" s="1"/>
      <c r="L43" s="1"/>
      <c r="M43" s="1"/>
      <c r="N43" s="1"/>
      <c r="O43" s="51"/>
      <c r="P43" s="51"/>
      <c r="Q43" s="51"/>
      <c r="R43" s="1"/>
      <c r="S43" s="1"/>
      <c r="T43" s="1"/>
      <c r="U43" s="1"/>
      <c r="V43" s="1"/>
      <c r="W43" s="1"/>
      <c r="X43" s="1"/>
      <c r="Y43" s="1"/>
      <c r="Z43" s="1"/>
      <c r="AB43" s="42"/>
      <c r="AE43" s="1"/>
    </row>
    <row r="44" spans="1:31" s="2" customFormat="1" hidden="1">
      <c r="A44" s="69"/>
      <c r="B44" s="1"/>
      <c r="C44" s="1"/>
      <c r="D44" s="1"/>
      <c r="E44" s="1"/>
      <c r="F44" s="1"/>
      <c r="G44" s="1"/>
      <c r="H44" s="1"/>
      <c r="K44" s="1"/>
      <c r="L44" s="1"/>
      <c r="M44" s="1"/>
      <c r="N44" s="1"/>
      <c r="O44" s="51"/>
      <c r="P44" s="51"/>
      <c r="Q44" s="51"/>
      <c r="R44" s="1"/>
      <c r="S44" s="1"/>
      <c r="T44" s="1"/>
      <c r="U44" s="1"/>
      <c r="V44" s="1"/>
      <c r="W44" s="1"/>
      <c r="X44" s="1"/>
      <c r="Y44" s="1"/>
      <c r="Z44" s="1"/>
      <c r="AB44" s="42"/>
      <c r="AE44" s="1"/>
    </row>
    <row r="45" spans="1:31" s="2" customFormat="1" hidden="1">
      <c r="A45" s="69"/>
      <c r="B45" s="1"/>
      <c r="C45" s="1"/>
      <c r="D45" s="1"/>
      <c r="E45" s="1"/>
      <c r="F45" s="1"/>
      <c r="G45" s="1"/>
      <c r="H45" s="1"/>
      <c r="K45" s="1"/>
      <c r="L45" s="1"/>
      <c r="M45" s="1"/>
      <c r="N45" s="1"/>
      <c r="O45" s="52"/>
      <c r="P45" s="52"/>
      <c r="Q45" s="52"/>
      <c r="R45" s="1"/>
      <c r="S45" s="3"/>
      <c r="T45" s="1"/>
      <c r="U45" s="1"/>
      <c r="V45" s="1"/>
      <c r="W45" s="1"/>
      <c r="X45" s="1"/>
      <c r="Y45" s="1"/>
      <c r="Z45" s="1"/>
      <c r="AE45" s="1"/>
    </row>
    <row r="46" spans="1:31" s="2" customFormat="1">
      <c r="A46" s="69"/>
      <c r="B46" s="137" t="s">
        <v>78</v>
      </c>
      <c r="C46" s="1"/>
      <c r="D46" s="1"/>
      <c r="E46" s="1"/>
      <c r="F46" s="1"/>
      <c r="G46" s="53" t="s">
        <v>79</v>
      </c>
      <c r="H46" s="1"/>
      <c r="I46" s="42"/>
      <c r="L46" s="53"/>
      <c r="M46" s="53"/>
      <c r="N46" s="53"/>
      <c r="O46" s="53" t="s">
        <v>134</v>
      </c>
      <c r="P46" s="52"/>
      <c r="Q46" s="49"/>
      <c r="R46" s="1"/>
      <c r="S46" s="1"/>
      <c r="T46" s="1"/>
      <c r="W46" s="53"/>
      <c r="X46" s="53"/>
      <c r="Y46" s="53"/>
      <c r="Z46" s="1"/>
      <c r="AE46" s="1"/>
    </row>
    <row r="47" spans="1:31" ht="12.75" customHeight="1">
      <c r="B47" s="54" t="s">
        <v>81</v>
      </c>
      <c r="G47" s="53" t="s">
        <v>82</v>
      </c>
      <c r="L47" s="53"/>
      <c r="M47" s="53"/>
      <c r="N47" s="53"/>
      <c r="O47" s="53"/>
      <c r="P47" s="53"/>
      <c r="Q47" s="52"/>
      <c r="V47" s="53" t="s">
        <v>83</v>
      </c>
      <c r="W47" s="53"/>
      <c r="X47" s="53"/>
      <c r="Y47" s="53"/>
      <c r="AA47" s="3"/>
    </row>
    <row r="48" spans="1:31">
      <c r="AA48" s="3"/>
    </row>
    <row r="49" spans="1:27">
      <c r="R49" s="3"/>
      <c r="AA49" s="3"/>
    </row>
    <row r="50" spans="1:27">
      <c r="AA50" s="3"/>
    </row>
    <row r="51" spans="1:27">
      <c r="AA51" s="3"/>
    </row>
    <row r="52" spans="1:27">
      <c r="O52" s="6"/>
      <c r="AA52" s="3"/>
    </row>
    <row r="53" spans="1:27">
      <c r="AA53" s="3"/>
    </row>
    <row r="54" spans="1:27">
      <c r="AA54" s="3"/>
    </row>
    <row r="55" spans="1:27" s="56" customFormat="1">
      <c r="A55" s="6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7" s="56" customFormat="1">
      <c r="A56" s="6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7" s="57" customFormat="1">
      <c r="A57" s="6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7" s="57" customFormat="1">
      <c r="A58" s="6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7" s="57" customFormat="1">
      <c r="A59" s="6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7" s="57" customFormat="1">
      <c r="A60" s="6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7" s="57" customFormat="1">
      <c r="A61" s="6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7" s="57" customFormat="1">
      <c r="A62" s="6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7" s="57" customFormat="1">
      <c r="A63" s="6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7" s="57" customFormat="1">
      <c r="A64" s="6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57" customFormat="1">
      <c r="A65" s="6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57" customFormat="1">
      <c r="A66" s="6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8" spans="1:26">
      <c r="S68" s="3"/>
    </row>
  </sheetData>
  <mergeCells count="27">
    <mergeCell ref="W8:Y8"/>
    <mergeCell ref="A8:A9"/>
    <mergeCell ref="B8:B9"/>
    <mergeCell ref="C8:I8"/>
    <mergeCell ref="J8:O8"/>
    <mergeCell ref="P8:V8"/>
    <mergeCell ref="Z20:AA20"/>
    <mergeCell ref="Z9:AA9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Z18:AA18"/>
    <mergeCell ref="Z19:AA19"/>
    <mergeCell ref="Z27:AA27"/>
    <mergeCell ref="Z28:AA28"/>
    <mergeCell ref="Z29:AA29"/>
    <mergeCell ref="Z21:AA21"/>
    <mergeCell ref="Z22:AA22"/>
    <mergeCell ref="Z23:AA23"/>
    <mergeCell ref="Z24:AA24"/>
    <mergeCell ref="Z25:AA25"/>
    <mergeCell ref="Z26:AA26"/>
  </mergeCells>
  <pageMargins left="0.8" right="0.2" top="0.47244094488188981" bottom="0.51181102362204722" header="0.31496062992125984" footer="0.31496062992125984"/>
  <pageSetup paperSize="5" scale="5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E68"/>
  <sheetViews>
    <sheetView topLeftCell="A3" zoomScale="80" zoomScaleNormal="80" zoomScaleSheetLayoutView="100" workbookViewId="0">
      <pane xSplit="2" ySplit="7" topLeftCell="C37" activePane="bottomRight" state="frozen"/>
      <selection activeCell="A3" sqref="A3"/>
      <selection pane="topRight" activeCell="C3" sqref="C3"/>
      <selection pane="bottomLeft" activeCell="A10" sqref="A10"/>
      <selection pane="bottomRight" activeCell="I50" sqref="I50"/>
    </sheetView>
  </sheetViews>
  <sheetFormatPr baseColWidth="10" defaultRowHeight="12.75"/>
  <cols>
    <col min="1" max="1" width="12.7109375" style="69" customWidth="1"/>
    <col min="2" max="2" width="31.5703125" style="1" customWidth="1"/>
    <col min="3" max="4" width="7.140625" style="1" customWidth="1"/>
    <col min="5" max="5" width="10.42578125" style="1" customWidth="1"/>
    <col min="6" max="6" width="11" style="1" customWidth="1"/>
    <col min="7" max="7" width="11.28515625" style="1" customWidth="1"/>
    <col min="8" max="8" width="10.85546875" style="1" customWidth="1"/>
    <col min="9" max="9" width="13" style="1" customWidth="1"/>
    <col min="10" max="10" width="10.5703125" style="1" customWidth="1"/>
    <col min="11" max="11" width="9.85546875" style="1" customWidth="1"/>
    <col min="12" max="12" width="10.42578125" style="1" customWidth="1"/>
    <col min="13" max="13" width="8.42578125" style="1" customWidth="1"/>
    <col min="14" max="14" width="8.85546875" style="1" customWidth="1"/>
    <col min="15" max="15" width="12.42578125" style="1" customWidth="1"/>
    <col min="16" max="16" width="11" style="1" hidden="1" customWidth="1"/>
    <col min="17" max="17" width="10.85546875" style="1" hidden="1" customWidth="1"/>
    <col min="18" max="18" width="11.140625" style="1" hidden="1" customWidth="1"/>
    <col min="19" max="19" width="8.5703125" style="1" hidden="1" customWidth="1"/>
    <col min="20" max="20" width="5" style="1" hidden="1" customWidth="1"/>
    <col min="21" max="21" width="5.28515625" style="1" hidden="1" customWidth="1"/>
    <col min="22" max="22" width="11.140625" style="1" customWidth="1"/>
    <col min="23" max="23" width="8.28515625" style="1" customWidth="1"/>
    <col min="24" max="24" width="12.42578125" style="1" customWidth="1"/>
    <col min="25" max="25" width="10.5703125" style="1" hidden="1" customWidth="1"/>
    <col min="26" max="26" width="31" style="1" hidden="1" customWidth="1"/>
    <col min="27" max="27" width="14.7109375" style="1" hidden="1" customWidth="1"/>
    <col min="28" max="16384" width="11.42578125" style="1"/>
  </cols>
  <sheetData>
    <row r="2" spans="1:27">
      <c r="B2" s="2" t="s">
        <v>0</v>
      </c>
    </row>
    <row r="3" spans="1:27" s="91" customFormat="1">
      <c r="A3" s="92"/>
    </row>
    <row r="4" spans="1:27" s="65" customFormat="1">
      <c r="A4" s="4"/>
    </row>
    <row r="5" spans="1:27" s="65" customFormat="1">
      <c r="A5" s="4"/>
      <c r="O5" s="64"/>
    </row>
    <row r="6" spans="1:27" s="65" customFormat="1">
      <c r="A6" s="4"/>
      <c r="E6" s="4">
        <v>19.28</v>
      </c>
      <c r="F6" s="4"/>
      <c r="G6" s="4"/>
      <c r="H6" s="4"/>
      <c r="I6" s="4">
        <v>10.95</v>
      </c>
      <c r="J6" s="4"/>
      <c r="N6" s="128">
        <v>0.105</v>
      </c>
      <c r="T6" s="5">
        <v>0.01</v>
      </c>
    </row>
    <row r="7" spans="1:27" ht="13.5" thickBot="1">
      <c r="A7" s="85" t="s">
        <v>0</v>
      </c>
      <c r="C7" s="2"/>
      <c r="D7" s="91"/>
      <c r="E7" s="4">
        <v>22.3</v>
      </c>
      <c r="F7" s="4"/>
      <c r="G7" s="4"/>
      <c r="H7" s="4"/>
      <c r="I7" s="7">
        <v>0.02</v>
      </c>
      <c r="J7" s="8">
        <v>0.04</v>
      </c>
      <c r="K7" s="129">
        <v>0.06</v>
      </c>
      <c r="L7" s="6" t="s">
        <v>160</v>
      </c>
      <c r="M7" s="91"/>
      <c r="N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spans="1:27" ht="15.75" customHeight="1" thickBot="1">
      <c r="A8" s="164" t="s">
        <v>2</v>
      </c>
      <c r="B8" s="166" t="s">
        <v>3</v>
      </c>
      <c r="C8" s="168" t="s">
        <v>4</v>
      </c>
      <c r="D8" s="169"/>
      <c r="E8" s="169"/>
      <c r="F8" s="169"/>
      <c r="G8" s="169"/>
      <c r="H8" s="169"/>
      <c r="I8" s="170"/>
      <c r="J8" s="171" t="s">
        <v>5</v>
      </c>
      <c r="K8" s="172"/>
      <c r="L8" s="172"/>
      <c r="M8" s="173"/>
      <c r="N8" s="173"/>
      <c r="O8" s="174"/>
      <c r="P8" s="175" t="s">
        <v>6</v>
      </c>
      <c r="Q8" s="176"/>
      <c r="R8" s="176"/>
      <c r="S8" s="176"/>
      <c r="T8" s="176"/>
      <c r="U8" s="176"/>
      <c r="V8" s="176"/>
      <c r="W8" s="177" t="s">
        <v>7</v>
      </c>
      <c r="X8" s="177"/>
      <c r="Y8" s="177"/>
    </row>
    <row r="9" spans="1:27" s="20" customFormat="1" ht="72">
      <c r="A9" s="165"/>
      <c r="B9" s="167"/>
      <c r="C9" s="9" t="s">
        <v>87</v>
      </c>
      <c r="D9" s="9" t="s">
        <v>88</v>
      </c>
      <c r="E9" s="9" t="s">
        <v>89</v>
      </c>
      <c r="F9" s="9" t="s">
        <v>90</v>
      </c>
      <c r="G9" s="9" t="s">
        <v>91</v>
      </c>
      <c r="H9" s="9" t="s">
        <v>92</v>
      </c>
      <c r="I9" s="67" t="s">
        <v>10</v>
      </c>
      <c r="J9" s="11" t="s">
        <v>11</v>
      </c>
      <c r="K9" s="11" t="s">
        <v>12</v>
      </c>
      <c r="L9" s="12" t="s">
        <v>13</v>
      </c>
      <c r="M9" s="13" t="s">
        <v>14</v>
      </c>
      <c r="N9" s="134" t="s">
        <v>15</v>
      </c>
      <c r="O9" s="14" t="s">
        <v>16</v>
      </c>
      <c r="P9" s="15" t="s">
        <v>17</v>
      </c>
      <c r="Q9" s="16" t="s">
        <v>18</v>
      </c>
      <c r="R9" s="16" t="s">
        <v>19</v>
      </c>
      <c r="S9" s="16" t="s">
        <v>20</v>
      </c>
      <c r="T9" s="16" t="s">
        <v>21</v>
      </c>
      <c r="U9" s="16" t="s">
        <v>22</v>
      </c>
      <c r="V9" s="16" t="s">
        <v>23</v>
      </c>
      <c r="W9" s="17" t="s">
        <v>24</v>
      </c>
      <c r="X9" s="18" t="s">
        <v>25</v>
      </c>
      <c r="Y9" s="19" t="s">
        <v>26</v>
      </c>
      <c r="Z9" s="178" t="s">
        <v>27</v>
      </c>
      <c r="AA9" s="178"/>
    </row>
    <row r="10" spans="1:27" s="35" customFormat="1" ht="45" customHeight="1">
      <c r="A10" s="21" t="s">
        <v>32</v>
      </c>
      <c r="B10" s="33" t="s">
        <v>99</v>
      </c>
      <c r="C10" s="32">
        <v>10</v>
      </c>
      <c r="D10" s="32">
        <v>0</v>
      </c>
      <c r="E10" s="24">
        <v>315.89999999999998</v>
      </c>
      <c r="F10" s="24">
        <v>360.15</v>
      </c>
      <c r="G10" s="24">
        <f t="shared" ref="G10:H31" si="0">C10*E10</f>
        <v>3159</v>
      </c>
      <c r="H10" s="24">
        <f t="shared" si="0"/>
        <v>0</v>
      </c>
      <c r="I10" s="25">
        <f t="shared" ref="I10:I38" si="1">G10+H10</f>
        <v>3159</v>
      </c>
      <c r="J10" s="25">
        <f t="shared" ref="J10:J38" si="2">(C10+D10)*19.28</f>
        <v>192.8</v>
      </c>
      <c r="K10" s="25">
        <f>(C10+D10)*I6</f>
        <v>109.5</v>
      </c>
      <c r="L10" s="25"/>
      <c r="M10" s="25">
        <f>I10*J7</f>
        <v>126.36</v>
      </c>
      <c r="N10" s="25">
        <v>0</v>
      </c>
      <c r="O10" s="25">
        <f t="shared" ref="O10:O38" si="3">SUM(I10:N10)</f>
        <v>3587.6600000000003</v>
      </c>
      <c r="P10" s="27">
        <f>IF('[20]Calculo ISR '!$BE$34&lt;0,0,'[20]Calculo ISR '!$BE$34)</f>
        <v>140.17767999999998</v>
      </c>
      <c r="Q10" s="28">
        <f>I10*N6</f>
        <v>331.69499999999999</v>
      </c>
      <c r="R10" s="28">
        <v>0</v>
      </c>
      <c r="S10" s="28">
        <f>I10*T6</f>
        <v>31.59</v>
      </c>
      <c r="T10" s="28">
        <f>'[20]HT-DOCENTE'!R11</f>
        <v>0</v>
      </c>
      <c r="U10" s="28"/>
      <c r="V10" s="25">
        <f>P10+Q10+R10+S10+U10+T10</f>
        <v>503.46267999999992</v>
      </c>
      <c r="W10" s="28">
        <f>IF('[20]Calculo ISR '!$BE$34&gt;0,0,('[20]Calculo ISR '!$BE$34)*-1)</f>
        <v>0</v>
      </c>
      <c r="X10" s="25">
        <f t="shared" ref="X10:X23" si="4">O10-V10-Y10+W10</f>
        <v>2891.39732</v>
      </c>
      <c r="Y10" s="25">
        <f t="shared" ref="Y10:Y38" si="5">J10</f>
        <v>192.8</v>
      </c>
      <c r="Z10" s="161"/>
      <c r="AA10" s="162"/>
    </row>
    <row r="11" spans="1:27" s="35" customFormat="1" ht="45" customHeight="1">
      <c r="A11" s="21" t="s">
        <v>34</v>
      </c>
      <c r="B11" s="33" t="s">
        <v>35</v>
      </c>
      <c r="C11" s="32">
        <v>12</v>
      </c>
      <c r="D11" s="32">
        <v>7.5</v>
      </c>
      <c r="E11" s="24">
        <v>315.89999999999998</v>
      </c>
      <c r="F11" s="24">
        <v>360.15</v>
      </c>
      <c r="G11" s="24">
        <f t="shared" si="0"/>
        <v>3790.7999999999997</v>
      </c>
      <c r="H11" s="24">
        <f>D11*F11</f>
        <v>2701.125</v>
      </c>
      <c r="I11" s="25">
        <f t="shared" si="1"/>
        <v>6491.9249999999993</v>
      </c>
      <c r="J11" s="25">
        <f t="shared" si="2"/>
        <v>375.96000000000004</v>
      </c>
      <c r="K11" s="25">
        <f>(C11+D11)*I6</f>
        <v>213.52499999999998</v>
      </c>
      <c r="L11" s="25"/>
      <c r="M11" s="25">
        <f>I11*I7</f>
        <v>129.83849999999998</v>
      </c>
      <c r="N11" s="25">
        <f>'[20]HT-DOCENTE'!J12</f>
        <v>0</v>
      </c>
      <c r="O11" s="25">
        <f t="shared" si="3"/>
        <v>7211.2484999999988</v>
      </c>
      <c r="P11" s="27">
        <f>IF('[20]Calculo ISR '!$BF$34&lt;0,0,'[20]Calculo ISR '!$BF$34)</f>
        <v>912.82844759999989</v>
      </c>
      <c r="Q11" s="28">
        <f>I11*N6</f>
        <v>681.65212499999984</v>
      </c>
      <c r="R11" s="28">
        <f>'[20]HT-DOCENTE'!P12</f>
        <v>0</v>
      </c>
      <c r="S11" s="28">
        <f>I11*T6</f>
        <v>64.919249999999991</v>
      </c>
      <c r="T11" s="28">
        <f>'[20]HT-DOCENTE'!R12</f>
        <v>0</v>
      </c>
      <c r="U11" s="28"/>
      <c r="V11" s="25">
        <f t="shared" ref="V11:V22" si="6">P11+Q11+R11+S11+U11+T11</f>
        <v>1659.3998225999997</v>
      </c>
      <c r="W11" s="28">
        <f>IF('[20]Calculo ISR '!$BF$34&gt;0,0,('[20]Calculo ISR '!$BF$34)*-1)</f>
        <v>0</v>
      </c>
      <c r="X11" s="25">
        <f t="shared" si="4"/>
        <v>5175.8886773999993</v>
      </c>
      <c r="Y11" s="25">
        <f t="shared" si="5"/>
        <v>375.96000000000004</v>
      </c>
      <c r="Z11" s="161"/>
      <c r="AA11" s="162"/>
    </row>
    <row r="12" spans="1:27" s="35" customFormat="1" ht="45" customHeight="1">
      <c r="A12" s="21" t="s">
        <v>36</v>
      </c>
      <c r="B12" s="33" t="s">
        <v>37</v>
      </c>
      <c r="C12" s="32">
        <v>6.5</v>
      </c>
      <c r="D12" s="32">
        <v>7.5</v>
      </c>
      <c r="E12" s="24">
        <v>315.89999999999998</v>
      </c>
      <c r="F12" s="24">
        <v>360.15</v>
      </c>
      <c r="G12" s="24">
        <f t="shared" si="0"/>
        <v>2053.35</v>
      </c>
      <c r="H12" s="24">
        <f t="shared" si="0"/>
        <v>2701.125</v>
      </c>
      <c r="I12" s="25">
        <f t="shared" si="1"/>
        <v>4754.4750000000004</v>
      </c>
      <c r="J12" s="25">
        <f t="shared" si="2"/>
        <v>269.92</v>
      </c>
      <c r="K12" s="25">
        <f>(C12+D12)*I6</f>
        <v>153.29999999999998</v>
      </c>
      <c r="L12" s="25">
        <f>(C12+D12)*E7</f>
        <v>312.2</v>
      </c>
      <c r="M12" s="25">
        <f>I12*I7</f>
        <v>95.089500000000015</v>
      </c>
      <c r="N12" s="25">
        <f>'[20]HT-DOCENTE'!J13</f>
        <v>0</v>
      </c>
      <c r="O12" s="25">
        <f t="shared" si="3"/>
        <v>5584.9845000000005</v>
      </c>
      <c r="P12" s="27">
        <f>IF('[20]Calculo ISR '!$BG$34&lt;0,0,'[20]Calculo ISR '!$BG$34)</f>
        <v>588.10860120000018</v>
      </c>
      <c r="Q12" s="28">
        <f>I12*N6</f>
        <v>499.219875</v>
      </c>
      <c r="R12" s="28">
        <v>1431</v>
      </c>
      <c r="S12" s="28">
        <f>I12*T6</f>
        <v>47.544750000000008</v>
      </c>
      <c r="T12" s="28">
        <f>'[20]HT-DOCENTE'!R13</f>
        <v>0</v>
      </c>
      <c r="U12" s="28"/>
      <c r="V12" s="25">
        <f t="shared" si="6"/>
        <v>2565.8732262000003</v>
      </c>
      <c r="W12" s="28">
        <f>IF('[20]Calculo ISR '!$BG$34&gt;0,0,('[20]Calculo ISR '!$BG$34)*-1)</f>
        <v>0</v>
      </c>
      <c r="X12" s="25">
        <f t="shared" si="4"/>
        <v>2749.1912738000001</v>
      </c>
      <c r="Y12" s="25">
        <f t="shared" si="5"/>
        <v>269.92</v>
      </c>
      <c r="Z12" s="161"/>
      <c r="AA12" s="162"/>
    </row>
    <row r="13" spans="1:27" s="35" customFormat="1" ht="45" customHeight="1">
      <c r="A13" s="21" t="s">
        <v>38</v>
      </c>
      <c r="B13" s="33" t="s">
        <v>39</v>
      </c>
      <c r="C13" s="32">
        <v>11.5</v>
      </c>
      <c r="D13" s="32">
        <v>7.5</v>
      </c>
      <c r="E13" s="24">
        <v>315.89999999999998</v>
      </c>
      <c r="F13" s="24">
        <v>360.15</v>
      </c>
      <c r="G13" s="24">
        <f t="shared" si="0"/>
        <v>3632.85</v>
      </c>
      <c r="H13" s="24">
        <f t="shared" si="0"/>
        <v>2701.125</v>
      </c>
      <c r="I13" s="25">
        <f t="shared" si="1"/>
        <v>6333.9750000000004</v>
      </c>
      <c r="J13" s="25">
        <f t="shared" si="2"/>
        <v>366.32000000000005</v>
      </c>
      <c r="K13" s="25">
        <f>(C13+D13)*I6</f>
        <v>208.04999999999998</v>
      </c>
      <c r="L13" s="25">
        <f>(C13+D13)*E7</f>
        <v>423.7</v>
      </c>
      <c r="M13" s="25"/>
      <c r="N13" s="25">
        <f>'[20]HT-DOCENTE'!J14</f>
        <v>0</v>
      </c>
      <c r="O13" s="25">
        <f t="shared" si="3"/>
        <v>7332.0450000000001</v>
      </c>
      <c r="P13" s="27">
        <f>IF('[20]Calculo ISR '!$BH$34&lt;0,0,'[20]Calculo ISR '!$BH$34)</f>
        <v>940.68968400000017</v>
      </c>
      <c r="Q13" s="28">
        <f>I13*N6</f>
        <v>665.06737499999997</v>
      </c>
      <c r="R13" s="28">
        <v>1655</v>
      </c>
      <c r="S13" s="28">
        <f>I13*T6</f>
        <v>63.339750000000002</v>
      </c>
      <c r="T13" s="28">
        <f>'[20]HT-DOCENTE'!R14</f>
        <v>0</v>
      </c>
      <c r="U13" s="28"/>
      <c r="V13" s="25">
        <f t="shared" si="6"/>
        <v>3324.0968090000001</v>
      </c>
      <c r="W13" s="28">
        <f>IF('[20]Calculo ISR '!$BH$34&gt;0,0,('[20]Calculo ISR '!$BH$34)*-1)</f>
        <v>0</v>
      </c>
      <c r="X13" s="25">
        <f t="shared" si="4"/>
        <v>3641.6281909999998</v>
      </c>
      <c r="Y13" s="25">
        <f t="shared" si="5"/>
        <v>366.32000000000005</v>
      </c>
      <c r="Z13" s="161"/>
      <c r="AA13" s="162"/>
    </row>
    <row r="14" spans="1:27" s="35" customFormat="1" ht="45" customHeight="1">
      <c r="A14" s="21" t="s">
        <v>40</v>
      </c>
      <c r="B14" s="33" t="s">
        <v>41</v>
      </c>
      <c r="C14" s="32">
        <v>18.5</v>
      </c>
      <c r="D14" s="32">
        <v>0</v>
      </c>
      <c r="E14" s="24">
        <v>315.89999999999998</v>
      </c>
      <c r="F14" s="24">
        <v>360.15</v>
      </c>
      <c r="G14" s="24">
        <f t="shared" si="0"/>
        <v>5844.15</v>
      </c>
      <c r="H14" s="24">
        <f t="shared" si="0"/>
        <v>0</v>
      </c>
      <c r="I14" s="25">
        <f t="shared" si="1"/>
        <v>5844.15</v>
      </c>
      <c r="J14" s="25">
        <f t="shared" si="2"/>
        <v>356.68</v>
      </c>
      <c r="K14" s="25">
        <f>(C14+D14)*I6</f>
        <v>202.57499999999999</v>
      </c>
      <c r="L14" s="25">
        <f>(C14+D14)*E7</f>
        <v>412.55</v>
      </c>
      <c r="M14" s="25"/>
      <c r="N14" s="25">
        <f>'[20]HT-DOCENTE'!J15</f>
        <v>0</v>
      </c>
      <c r="O14" s="25">
        <f t="shared" si="3"/>
        <v>6815.9549999999999</v>
      </c>
      <c r="P14" s="27">
        <f>IF('[20]Calculo ISR '!$BI$34&lt;0,0,'[20]Calculo ISR '!$BI$34)</f>
        <v>832.51196400000003</v>
      </c>
      <c r="Q14" s="28">
        <f>I14*N6</f>
        <v>613.63574999999992</v>
      </c>
      <c r="R14" s="28">
        <f>'[20]HT-DOCENTE'!P15</f>
        <v>0</v>
      </c>
      <c r="S14" s="28">
        <f>I14*T6</f>
        <v>58.441499999999998</v>
      </c>
      <c r="T14" s="28">
        <v>0</v>
      </c>
      <c r="U14" s="28"/>
      <c r="V14" s="25">
        <f t="shared" si="6"/>
        <v>1504.5892139999999</v>
      </c>
      <c r="W14" s="28">
        <f>IF('[20]Calculo ISR '!$BI$34&gt;0,0,('[20]Calculo ISR '!$BI$34)*-1)</f>
        <v>0</v>
      </c>
      <c r="X14" s="25">
        <f t="shared" si="4"/>
        <v>4954.685786</v>
      </c>
      <c r="Y14" s="25">
        <f t="shared" si="5"/>
        <v>356.68</v>
      </c>
      <c r="Z14" s="161"/>
      <c r="AA14" s="162"/>
    </row>
    <row r="15" spans="1:27" s="35" customFormat="1" ht="45" customHeight="1">
      <c r="A15" s="21" t="s">
        <v>42</v>
      </c>
      <c r="B15" s="33" t="s">
        <v>43</v>
      </c>
      <c r="C15" s="32">
        <v>2.5</v>
      </c>
      <c r="D15" s="32">
        <v>0</v>
      </c>
      <c r="E15" s="24">
        <v>315.89999999999998</v>
      </c>
      <c r="F15" s="24">
        <v>360.15</v>
      </c>
      <c r="G15" s="24">
        <f t="shared" si="0"/>
        <v>789.75</v>
      </c>
      <c r="H15" s="24">
        <f t="shared" si="0"/>
        <v>0</v>
      </c>
      <c r="I15" s="25">
        <f t="shared" si="1"/>
        <v>789.75</v>
      </c>
      <c r="J15" s="25">
        <f t="shared" si="2"/>
        <v>48.2</v>
      </c>
      <c r="K15" s="25">
        <f>(C15+D15)*I6</f>
        <v>27.375</v>
      </c>
      <c r="L15" s="25">
        <f>(C15+D15)*E7*2</f>
        <v>111.5</v>
      </c>
      <c r="M15" s="25"/>
      <c r="N15" s="25">
        <f>'[20]HT-DOCENTE'!J16</f>
        <v>0</v>
      </c>
      <c r="O15" s="25">
        <f t="shared" si="3"/>
        <v>976.82500000000005</v>
      </c>
      <c r="P15" s="27">
        <f>IF('[20]Calculo ISR '!$BJ$34&lt;0,0,'[20]Calculo ISR '!$BJ$34)</f>
        <v>0</v>
      </c>
      <c r="Q15" s="28">
        <f>I15*N6</f>
        <v>82.923749999999998</v>
      </c>
      <c r="R15" s="28">
        <v>0</v>
      </c>
      <c r="S15" s="28">
        <f>I15*T6</f>
        <v>7.8975</v>
      </c>
      <c r="T15" s="28">
        <f>'[20]HT-DOCENTE'!R16</f>
        <v>0</v>
      </c>
      <c r="U15" s="28"/>
      <c r="V15" s="25">
        <f t="shared" si="6"/>
        <v>90.821249999999992</v>
      </c>
      <c r="W15" s="28">
        <f>IF('[20]Calculo ISR '!$BJ$34&gt;0,0,('[20]Calculo ISR '!$BJ$34)*-1)</f>
        <v>152.28583999999998</v>
      </c>
      <c r="X15" s="25">
        <f t="shared" si="4"/>
        <v>990.08959000000004</v>
      </c>
      <c r="Y15" s="25">
        <f t="shared" si="5"/>
        <v>48.2</v>
      </c>
      <c r="Z15" s="161"/>
      <c r="AA15" s="162"/>
    </row>
    <row r="16" spans="1:27" s="35" customFormat="1" ht="45" customHeight="1">
      <c r="A16" s="21" t="s">
        <v>44</v>
      </c>
      <c r="B16" s="33" t="s">
        <v>45</v>
      </c>
      <c r="C16" s="34">
        <v>9.5</v>
      </c>
      <c r="D16" s="34">
        <v>7.5</v>
      </c>
      <c r="E16" s="24">
        <v>315.89999999999998</v>
      </c>
      <c r="F16" s="24">
        <v>360.15</v>
      </c>
      <c r="G16" s="24">
        <f t="shared" si="0"/>
        <v>3001.0499999999997</v>
      </c>
      <c r="H16" s="24">
        <f t="shared" si="0"/>
        <v>2701.125</v>
      </c>
      <c r="I16" s="25">
        <f t="shared" si="1"/>
        <v>5702.1749999999993</v>
      </c>
      <c r="J16" s="25">
        <f t="shared" si="2"/>
        <v>327.76</v>
      </c>
      <c r="K16" s="25">
        <f>(C16+D16)*I6</f>
        <v>186.14999999999998</v>
      </c>
      <c r="L16" s="25"/>
      <c r="M16" s="25"/>
      <c r="N16" s="25">
        <f>'[20]HT-DOCENTE'!J17</f>
        <v>0</v>
      </c>
      <c r="O16" s="25">
        <f t="shared" si="3"/>
        <v>6216.0849999999991</v>
      </c>
      <c r="P16" s="27">
        <f>IF('[20]Calculo ISR '!$BK$34&lt;0,0,'[20]Calculo ISR '!$BK$34)</f>
        <v>710.55704399999991</v>
      </c>
      <c r="Q16" s="28">
        <f>I16*N6</f>
        <v>598.72837499999991</v>
      </c>
      <c r="R16" s="28">
        <f>'[20]HT-DOCENTE'!P17</f>
        <v>0</v>
      </c>
      <c r="S16" s="28">
        <f>I16*T6</f>
        <v>57.021749999999997</v>
      </c>
      <c r="T16" s="28">
        <f>'[20]HT-DOCENTE'!R17</f>
        <v>0</v>
      </c>
      <c r="U16" s="28"/>
      <c r="V16" s="25">
        <f t="shared" si="6"/>
        <v>1366.3071689999997</v>
      </c>
      <c r="W16" s="28">
        <f>IF('[20]Calculo ISR '!$BK$34&gt;0,0,('[20]Calculo ISR '!$BK$34)*-1)</f>
        <v>0</v>
      </c>
      <c r="X16" s="25">
        <f t="shared" si="4"/>
        <v>4522.0178309999992</v>
      </c>
      <c r="Y16" s="25">
        <f t="shared" si="5"/>
        <v>327.76</v>
      </c>
      <c r="Z16" s="161"/>
      <c r="AA16" s="162"/>
    </row>
    <row r="17" spans="1:28" s="35" customFormat="1" ht="45" customHeight="1">
      <c r="A17" s="21" t="s">
        <v>48</v>
      </c>
      <c r="B17" s="33" t="s">
        <v>49</v>
      </c>
      <c r="C17" s="34">
        <v>18</v>
      </c>
      <c r="D17" s="34">
        <v>0</v>
      </c>
      <c r="E17" s="24">
        <v>315.89999999999998</v>
      </c>
      <c r="F17" s="24">
        <v>360.15</v>
      </c>
      <c r="G17" s="24">
        <f t="shared" si="0"/>
        <v>5686.2</v>
      </c>
      <c r="H17" s="24">
        <f t="shared" si="0"/>
        <v>0</v>
      </c>
      <c r="I17" s="25">
        <f t="shared" si="1"/>
        <v>5686.2</v>
      </c>
      <c r="J17" s="25">
        <f t="shared" si="2"/>
        <v>347.04</v>
      </c>
      <c r="K17" s="25">
        <f>(C17+D17)*I6</f>
        <v>197.1</v>
      </c>
      <c r="L17" s="25"/>
      <c r="M17" s="25"/>
      <c r="N17" s="25">
        <v>0</v>
      </c>
      <c r="O17" s="25">
        <f t="shared" si="3"/>
        <v>6230.34</v>
      </c>
      <c r="P17" s="27">
        <f>IF('[20]Calculo ISR '!$BM$34&lt;0,0,'[20]Calculo ISR '!$BM$34)</f>
        <v>709.4837040000001</v>
      </c>
      <c r="Q17" s="28">
        <f>I17*N6</f>
        <v>597.05099999999993</v>
      </c>
      <c r="R17" s="28">
        <f>'[20]HT-DOCENTE'!P19</f>
        <v>0</v>
      </c>
      <c r="S17" s="28">
        <f>I17*T6</f>
        <v>56.862000000000002</v>
      </c>
      <c r="T17" s="28">
        <f>'[20]HT-DOCENTE'!R19</f>
        <v>0</v>
      </c>
      <c r="U17" s="28"/>
      <c r="V17" s="25">
        <f t="shared" si="6"/>
        <v>1363.3967040000002</v>
      </c>
      <c r="W17" s="28">
        <f>IF('[20]Calculo ISR '!$BM$34&gt;0,0,('[20]Calculo ISR '!$BM$34)*-1)</f>
        <v>0</v>
      </c>
      <c r="X17" s="25">
        <f t="shared" si="4"/>
        <v>4519.9032959999995</v>
      </c>
      <c r="Y17" s="25">
        <f t="shared" si="5"/>
        <v>347.04</v>
      </c>
      <c r="Z17" s="161"/>
      <c r="AA17" s="162"/>
    </row>
    <row r="18" spans="1:28" s="35" customFormat="1" ht="45" customHeight="1">
      <c r="A18" s="21" t="s">
        <v>50</v>
      </c>
      <c r="B18" s="33" t="s">
        <v>51</v>
      </c>
      <c r="C18" s="34">
        <v>10.5</v>
      </c>
      <c r="D18" s="34">
        <v>7.5</v>
      </c>
      <c r="E18" s="24">
        <v>315.89999999999998</v>
      </c>
      <c r="F18" s="24">
        <v>360.15</v>
      </c>
      <c r="G18" s="24">
        <f t="shared" si="0"/>
        <v>3316.95</v>
      </c>
      <c r="H18" s="24">
        <f t="shared" si="0"/>
        <v>2701.125</v>
      </c>
      <c r="I18" s="25">
        <f t="shared" si="1"/>
        <v>6018.0749999999998</v>
      </c>
      <c r="J18" s="25">
        <f t="shared" si="2"/>
        <v>347.04</v>
      </c>
      <c r="K18" s="25">
        <f>(C18+D18)*I6</f>
        <v>197.1</v>
      </c>
      <c r="L18" s="25"/>
      <c r="M18" s="25"/>
      <c r="N18" s="25">
        <v>0</v>
      </c>
      <c r="O18" s="25">
        <f t="shared" si="3"/>
        <v>6562.2150000000001</v>
      </c>
      <c r="P18" s="27">
        <f>IF('[20]Calculo ISR '!$BN$34&lt;0,0,'[20]Calculo ISR '!$BN$34)</f>
        <v>780.37220400000012</v>
      </c>
      <c r="Q18" s="28">
        <f>I18*N6</f>
        <v>631.897875</v>
      </c>
      <c r="R18" s="28">
        <v>1570</v>
      </c>
      <c r="S18" s="28">
        <f>I18*T6</f>
        <v>60.180749999999996</v>
      </c>
      <c r="T18" s="28"/>
      <c r="U18" s="28"/>
      <c r="V18" s="25">
        <f t="shared" si="6"/>
        <v>3042.4508289999999</v>
      </c>
      <c r="W18" s="28">
        <f>IF('[20]Calculo ISR '!$BN$34&gt;0,0,('[20]Calculo ISR '!$BN$34)*-1)</f>
        <v>0</v>
      </c>
      <c r="X18" s="25">
        <f t="shared" si="4"/>
        <v>3172.7241710000003</v>
      </c>
      <c r="Y18" s="25">
        <f t="shared" si="5"/>
        <v>347.04</v>
      </c>
      <c r="Z18" s="161"/>
      <c r="AA18" s="162"/>
    </row>
    <row r="19" spans="1:28" s="35" customFormat="1" ht="45" customHeight="1">
      <c r="A19" s="21" t="s">
        <v>52</v>
      </c>
      <c r="B19" s="33" t="s">
        <v>53</v>
      </c>
      <c r="C19" s="34">
        <v>12</v>
      </c>
      <c r="D19" s="34">
        <v>7.5</v>
      </c>
      <c r="E19" s="24">
        <v>315.89999999999998</v>
      </c>
      <c r="F19" s="24">
        <v>360.15</v>
      </c>
      <c r="G19" s="24">
        <f t="shared" si="0"/>
        <v>3790.7999999999997</v>
      </c>
      <c r="H19" s="24">
        <f t="shared" si="0"/>
        <v>2701.125</v>
      </c>
      <c r="I19" s="25">
        <f t="shared" si="1"/>
        <v>6491.9249999999993</v>
      </c>
      <c r="J19" s="25">
        <f t="shared" si="2"/>
        <v>375.96000000000004</v>
      </c>
      <c r="K19" s="25">
        <f>(C19+D19)*I6</f>
        <v>213.52499999999998</v>
      </c>
      <c r="L19" s="25"/>
      <c r="M19" s="25"/>
      <c r="N19" s="25">
        <v>0</v>
      </c>
      <c r="O19" s="25">
        <f t="shared" si="3"/>
        <v>7081.4099999999989</v>
      </c>
      <c r="P19" s="27">
        <f>IF('[20]Calculo ISR '!$BO$34&lt;0,0,'[20]Calculo ISR '!$BO$34)</f>
        <v>885.09494399999994</v>
      </c>
      <c r="Q19" s="28">
        <f>I19*N6</f>
        <v>681.65212499999984</v>
      </c>
      <c r="R19" s="28">
        <f>'[20]HT-DOCENTE'!P21</f>
        <v>0</v>
      </c>
      <c r="S19" s="28">
        <f>I19*T6</f>
        <v>64.919249999999991</v>
      </c>
      <c r="T19" s="28"/>
      <c r="U19" s="28"/>
      <c r="V19" s="25">
        <f t="shared" si="6"/>
        <v>1631.6663189999997</v>
      </c>
      <c r="W19" s="28">
        <f>IF('[20]Calculo ISR '!$BO$34&gt;0,0,('[20]Calculo ISR '!$BO$34)*-1)</f>
        <v>0</v>
      </c>
      <c r="X19" s="25">
        <f t="shared" si="4"/>
        <v>5073.783680999999</v>
      </c>
      <c r="Y19" s="25">
        <f t="shared" si="5"/>
        <v>375.96000000000004</v>
      </c>
      <c r="Z19" s="161"/>
      <c r="AA19" s="162"/>
    </row>
    <row r="20" spans="1:28" s="35" customFormat="1" ht="45" customHeight="1">
      <c r="A20" s="21" t="s">
        <v>54</v>
      </c>
      <c r="B20" s="33" t="s">
        <v>55</v>
      </c>
      <c r="C20" s="34">
        <v>11</v>
      </c>
      <c r="D20" s="34">
        <v>7.5</v>
      </c>
      <c r="E20" s="24">
        <v>315.89999999999998</v>
      </c>
      <c r="F20" s="24">
        <v>360.15</v>
      </c>
      <c r="G20" s="24">
        <f t="shared" si="0"/>
        <v>3474.8999999999996</v>
      </c>
      <c r="H20" s="24">
        <f t="shared" si="0"/>
        <v>2701.125</v>
      </c>
      <c r="I20" s="25">
        <f t="shared" si="1"/>
        <v>6176.0249999999996</v>
      </c>
      <c r="J20" s="25">
        <f t="shared" si="2"/>
        <v>356.68</v>
      </c>
      <c r="K20" s="25">
        <f>(C20+D20)*I6</f>
        <v>202.57499999999999</v>
      </c>
      <c r="L20" s="25"/>
      <c r="M20" s="25"/>
      <c r="N20" s="25">
        <v>315.89999999999998</v>
      </c>
      <c r="O20" s="25">
        <f t="shared" si="3"/>
        <v>7051.1799999999994</v>
      </c>
      <c r="P20" s="27">
        <f>IF('[20]Calculo ISR '!$BP$34&lt;0,0,'[20]Calculo ISR '!$BP$34)</f>
        <v>882.75602399999991</v>
      </c>
      <c r="Q20" s="28">
        <f>I20*N6</f>
        <v>648.48262499999998</v>
      </c>
      <c r="R20" s="28">
        <v>1324</v>
      </c>
      <c r="S20" s="28">
        <f>I20*T6</f>
        <v>61.760249999999999</v>
      </c>
      <c r="T20" s="28">
        <f>'[20]HT-DOCENTE'!R22</f>
        <v>0</v>
      </c>
      <c r="U20" s="28"/>
      <c r="V20" s="25">
        <f t="shared" si="6"/>
        <v>2916.9988989999997</v>
      </c>
      <c r="W20" s="28">
        <f>IF('[20]Calculo ISR '!$BP$34&gt;0,0,('[20]Calculo ISR '!$BP$34)*-1)</f>
        <v>0</v>
      </c>
      <c r="X20" s="25">
        <f t="shared" si="4"/>
        <v>3777.5011010000003</v>
      </c>
      <c r="Y20" s="25">
        <f t="shared" si="5"/>
        <v>356.68</v>
      </c>
      <c r="Z20" s="161"/>
      <c r="AA20" s="162"/>
    </row>
    <row r="21" spans="1:28" s="35" customFormat="1" ht="45" customHeight="1">
      <c r="A21" s="21" t="s">
        <v>56</v>
      </c>
      <c r="B21" s="33" t="s">
        <v>57</v>
      </c>
      <c r="C21" s="34">
        <v>11.5</v>
      </c>
      <c r="D21" s="34">
        <v>7.5</v>
      </c>
      <c r="E21" s="24">
        <v>315.89999999999998</v>
      </c>
      <c r="F21" s="24">
        <v>360.15</v>
      </c>
      <c r="G21" s="24">
        <f t="shared" si="0"/>
        <v>3632.85</v>
      </c>
      <c r="H21" s="24">
        <f>D21*F21</f>
        <v>2701.125</v>
      </c>
      <c r="I21" s="25">
        <f t="shared" si="1"/>
        <v>6333.9750000000004</v>
      </c>
      <c r="J21" s="25">
        <f t="shared" si="2"/>
        <v>366.32000000000005</v>
      </c>
      <c r="K21" s="25">
        <f>(C21+D21)*I6</f>
        <v>208.04999999999998</v>
      </c>
      <c r="L21" s="25">
        <f>(C21+D21)*E7</f>
        <v>423.7</v>
      </c>
      <c r="M21" s="25"/>
      <c r="N21" s="25">
        <v>0</v>
      </c>
      <c r="O21" s="25">
        <f t="shared" si="3"/>
        <v>7332.0450000000001</v>
      </c>
      <c r="P21" s="27">
        <f>IF('[20]Calculo ISR '!$BQ$34&lt;0,0,'[20]Calculo ISR '!$BQ$34)</f>
        <v>940.68968400000017</v>
      </c>
      <c r="Q21" s="28">
        <f>I21*N6</f>
        <v>665.06737499999997</v>
      </c>
      <c r="R21" s="28">
        <f>'[20]HT-DOCENTE'!P23</f>
        <v>0</v>
      </c>
      <c r="S21" s="28">
        <f>I21*T6</f>
        <v>63.339750000000002</v>
      </c>
      <c r="T21" s="28">
        <f>'[20]HT-DOCENTE'!R23</f>
        <v>0</v>
      </c>
      <c r="U21" s="30"/>
      <c r="V21" s="25">
        <f t="shared" si="6"/>
        <v>1669.0968090000001</v>
      </c>
      <c r="W21" s="28">
        <f>IF('[20]Calculo ISR '!$BQ$34&gt;0,0,('[20]Calculo ISR '!$BQ$34)*-1)</f>
        <v>0</v>
      </c>
      <c r="X21" s="25">
        <f t="shared" si="4"/>
        <v>5296.6281909999998</v>
      </c>
      <c r="Y21" s="25">
        <f t="shared" si="5"/>
        <v>366.32000000000005</v>
      </c>
      <c r="Z21" s="161"/>
      <c r="AA21" s="162"/>
    </row>
    <row r="22" spans="1:28" s="35" customFormat="1" ht="45" customHeight="1">
      <c r="A22" s="21" t="s">
        <v>58</v>
      </c>
      <c r="B22" s="33" t="s">
        <v>59</v>
      </c>
      <c r="C22" s="34">
        <v>11</v>
      </c>
      <c r="D22" s="34">
        <v>0</v>
      </c>
      <c r="E22" s="24">
        <v>315.89999999999998</v>
      </c>
      <c r="F22" s="24">
        <v>360.15</v>
      </c>
      <c r="G22" s="24">
        <f t="shared" si="0"/>
        <v>3474.8999999999996</v>
      </c>
      <c r="H22" s="24">
        <f t="shared" si="0"/>
        <v>0</v>
      </c>
      <c r="I22" s="25">
        <f t="shared" si="1"/>
        <v>3474.8999999999996</v>
      </c>
      <c r="J22" s="25">
        <f t="shared" si="2"/>
        <v>212.08</v>
      </c>
      <c r="K22" s="25">
        <f>(C22+D22)*I6</f>
        <v>120.44999999999999</v>
      </c>
      <c r="L22" s="25"/>
      <c r="M22" s="25"/>
      <c r="N22" s="25"/>
      <c r="O22" s="25">
        <f t="shared" si="3"/>
        <v>3807.4299999999994</v>
      </c>
      <c r="P22" s="27">
        <f>IF('[20]Calculo ISR '!$BR$34&lt;0,0,'[20]Calculo ISR '!$BR$34)</f>
        <v>179.69099199999991</v>
      </c>
      <c r="Q22" s="28">
        <f>I22*N6</f>
        <v>364.86449999999996</v>
      </c>
      <c r="R22" s="28">
        <v>0</v>
      </c>
      <c r="S22" s="28">
        <f>I22*T6</f>
        <v>34.748999999999995</v>
      </c>
      <c r="T22" s="28"/>
      <c r="U22" s="28"/>
      <c r="V22" s="25">
        <f t="shared" si="6"/>
        <v>579.30449199999987</v>
      </c>
      <c r="W22" s="28">
        <f>IF('[20]Calculo ISR '!$BR$34&gt;0,0,('[20]Calculo ISR '!$BR$34)*-1)</f>
        <v>0</v>
      </c>
      <c r="X22" s="25">
        <f t="shared" si="4"/>
        <v>3016.0455079999997</v>
      </c>
      <c r="Y22" s="25">
        <f t="shared" si="5"/>
        <v>212.08</v>
      </c>
      <c r="Z22" s="161"/>
      <c r="AA22" s="162"/>
    </row>
    <row r="23" spans="1:28" s="35" customFormat="1" ht="45" customHeight="1">
      <c r="A23" s="21" t="s">
        <v>60</v>
      </c>
      <c r="B23" s="33" t="s">
        <v>100</v>
      </c>
      <c r="C23" s="34">
        <v>16</v>
      </c>
      <c r="D23" s="34">
        <v>0</v>
      </c>
      <c r="E23" s="24">
        <v>315.89999999999998</v>
      </c>
      <c r="F23" s="24">
        <v>360.15</v>
      </c>
      <c r="G23" s="24">
        <f t="shared" si="0"/>
        <v>5054.3999999999996</v>
      </c>
      <c r="H23" s="24">
        <f t="shared" si="0"/>
        <v>0</v>
      </c>
      <c r="I23" s="25">
        <f t="shared" si="1"/>
        <v>5054.3999999999996</v>
      </c>
      <c r="J23" s="25">
        <f t="shared" si="2"/>
        <v>308.48</v>
      </c>
      <c r="K23" s="25">
        <f>(C23+D23)*I6</f>
        <v>175.2</v>
      </c>
      <c r="L23" s="25"/>
      <c r="M23" s="25"/>
      <c r="N23" s="25"/>
      <c r="O23" s="25">
        <f t="shared" si="3"/>
        <v>5538.079999999999</v>
      </c>
      <c r="P23" s="27">
        <f>IF('[20]Calculo ISR '!$BS$34&lt;0,0,'[20]Calculo ISR '!$BS$34)</f>
        <v>569.85338399999978</v>
      </c>
      <c r="Q23" s="28">
        <f>I23*N6</f>
        <v>530.71199999999999</v>
      </c>
      <c r="R23" s="28"/>
      <c r="S23" s="28"/>
      <c r="T23" s="28"/>
      <c r="U23" s="28"/>
      <c r="V23" s="25">
        <f t="shared" ref="V23:V38" si="7">P23+Q23+R23+S23+T23+U23</f>
        <v>1100.5653839999998</v>
      </c>
      <c r="W23" s="28">
        <f>IF('[20]Calculo ISR '!$BS$34&gt;0,0,('[20]Calculo ISR '!$BS$34)*-1)</f>
        <v>0</v>
      </c>
      <c r="X23" s="25">
        <f t="shared" si="4"/>
        <v>4129.034615999999</v>
      </c>
      <c r="Y23" s="25">
        <f t="shared" si="5"/>
        <v>308.48</v>
      </c>
      <c r="Z23" s="161"/>
      <c r="AA23" s="162"/>
    </row>
    <row r="24" spans="1:28" s="35" customFormat="1" ht="45" customHeight="1">
      <c r="A24" s="21" t="s">
        <v>62</v>
      </c>
      <c r="B24" s="33" t="s">
        <v>63</v>
      </c>
      <c r="C24" s="34">
        <v>18</v>
      </c>
      <c r="D24" s="34">
        <v>0</v>
      </c>
      <c r="E24" s="24">
        <v>315.89999999999998</v>
      </c>
      <c r="F24" s="24">
        <v>360.15</v>
      </c>
      <c r="G24" s="24">
        <f t="shared" si="0"/>
        <v>5686.2</v>
      </c>
      <c r="H24" s="24">
        <f t="shared" si="0"/>
        <v>0</v>
      </c>
      <c r="I24" s="25">
        <f t="shared" si="1"/>
        <v>5686.2</v>
      </c>
      <c r="J24" s="25">
        <f t="shared" si="2"/>
        <v>347.04</v>
      </c>
      <c r="K24" s="25">
        <f>(C24+D24)*I6</f>
        <v>197.1</v>
      </c>
      <c r="L24" s="25"/>
      <c r="M24" s="25"/>
      <c r="N24" s="25">
        <v>0</v>
      </c>
      <c r="O24" s="25">
        <f t="shared" si="3"/>
        <v>6230.34</v>
      </c>
      <c r="P24" s="27">
        <f>IF('[20]Calculo ISR '!$BT$34&lt;0,0,'[20]Calculo ISR '!$BT$34)</f>
        <v>709.4837040000001</v>
      </c>
      <c r="Q24" s="28">
        <f>I24*N6</f>
        <v>597.05099999999993</v>
      </c>
      <c r="R24" s="28"/>
      <c r="S24" s="28">
        <f>I24*T6</f>
        <v>56.862000000000002</v>
      </c>
      <c r="T24" s="28"/>
      <c r="U24" s="28"/>
      <c r="V24" s="25">
        <f t="shared" si="7"/>
        <v>1363.3967040000002</v>
      </c>
      <c r="W24" s="28">
        <f>IF('[20]Calculo ISR '!$BT$34&gt;0,0,('[20]Calculo ISR '!$BT$34)*-1)</f>
        <v>0</v>
      </c>
      <c r="X24" s="25">
        <f t="shared" ref="X24:X38" si="8">O24-V24+W24-Y24</f>
        <v>4519.9032959999995</v>
      </c>
      <c r="Y24" s="25">
        <f t="shared" si="5"/>
        <v>347.04</v>
      </c>
      <c r="Z24" s="161"/>
      <c r="AA24" s="162"/>
    </row>
    <row r="25" spans="1:28" s="35" customFormat="1" ht="45" customHeight="1">
      <c r="A25" s="21" t="s">
        <v>64</v>
      </c>
      <c r="B25" s="33" t="s">
        <v>65</v>
      </c>
      <c r="C25" s="34">
        <v>17.5</v>
      </c>
      <c r="D25" s="34">
        <v>0</v>
      </c>
      <c r="E25" s="24">
        <v>315.89999999999998</v>
      </c>
      <c r="F25" s="24">
        <v>360.15</v>
      </c>
      <c r="G25" s="24">
        <f t="shared" si="0"/>
        <v>5528.25</v>
      </c>
      <c r="H25" s="24">
        <f t="shared" si="0"/>
        <v>0</v>
      </c>
      <c r="I25" s="25">
        <f t="shared" si="1"/>
        <v>5528.25</v>
      </c>
      <c r="J25" s="25">
        <f t="shared" si="2"/>
        <v>337.40000000000003</v>
      </c>
      <c r="K25" s="25">
        <f>(C25+D25)*I6</f>
        <v>191.625</v>
      </c>
      <c r="L25" s="25"/>
      <c r="M25" s="25"/>
      <c r="N25" s="25">
        <v>0</v>
      </c>
      <c r="O25" s="25">
        <f t="shared" si="3"/>
        <v>6057.2749999999996</v>
      </c>
      <c r="P25" s="27">
        <f>IF('[20]Calculo ISR '!$BU$34&lt;0,0,'[20]Calculo ISR '!$BU$34)</f>
        <v>674.57612400000005</v>
      </c>
      <c r="Q25" s="28">
        <f>I25*N6</f>
        <v>580.46624999999995</v>
      </c>
      <c r="R25" s="28"/>
      <c r="S25" s="28"/>
      <c r="T25" s="28"/>
      <c r="U25" s="28"/>
      <c r="V25" s="25">
        <f t="shared" si="7"/>
        <v>1255.0423740000001</v>
      </c>
      <c r="W25" s="28">
        <f>IF('[20]Calculo ISR '!$BU$34&gt;0,0,('[20]Calculo ISR '!$BU$34)*-1)</f>
        <v>0</v>
      </c>
      <c r="X25" s="25">
        <f t="shared" si="8"/>
        <v>4464.8326259999994</v>
      </c>
      <c r="Y25" s="25">
        <f t="shared" si="5"/>
        <v>337.40000000000003</v>
      </c>
      <c r="Z25" s="161"/>
      <c r="AA25" s="162"/>
    </row>
    <row r="26" spans="1:28" s="35" customFormat="1" ht="45" customHeight="1">
      <c r="A26" s="21" t="s">
        <v>66</v>
      </c>
      <c r="B26" s="36" t="s">
        <v>67</v>
      </c>
      <c r="C26" s="34">
        <v>10</v>
      </c>
      <c r="D26" s="34">
        <v>0</v>
      </c>
      <c r="E26" s="24">
        <v>315.89999999999998</v>
      </c>
      <c r="F26" s="24">
        <v>360.15</v>
      </c>
      <c r="G26" s="24">
        <f t="shared" si="0"/>
        <v>3159</v>
      </c>
      <c r="H26" s="24">
        <f t="shared" si="0"/>
        <v>0</v>
      </c>
      <c r="I26" s="25">
        <f t="shared" si="1"/>
        <v>3159</v>
      </c>
      <c r="J26" s="25">
        <f t="shared" si="2"/>
        <v>192.8</v>
      </c>
      <c r="K26" s="25">
        <f>(C26+D26)*I6</f>
        <v>109.5</v>
      </c>
      <c r="L26" s="25"/>
      <c r="M26" s="25"/>
      <c r="N26" s="25">
        <v>0</v>
      </c>
      <c r="O26" s="25">
        <f t="shared" si="3"/>
        <v>3461.3</v>
      </c>
      <c r="P26" s="27">
        <f>IF('[20]Calculo ISR '!$BV$34&lt;0,0,'[20]Calculo ISR '!$BV$34)</f>
        <v>126.42971199999997</v>
      </c>
      <c r="Q26" s="28">
        <f>I26*N6</f>
        <v>331.69499999999999</v>
      </c>
      <c r="R26" s="28"/>
      <c r="S26" s="28"/>
      <c r="T26" s="28"/>
      <c r="U26" s="28"/>
      <c r="V26" s="25">
        <f t="shared" si="7"/>
        <v>458.12471199999993</v>
      </c>
      <c r="W26" s="28">
        <f>IF('[20]Calculo ISR '!$BV$34&gt;0,0,('[20]Calculo ISR '!$BV$34)*-1)</f>
        <v>0</v>
      </c>
      <c r="X26" s="25">
        <f t="shared" si="8"/>
        <v>2810.3752880000002</v>
      </c>
      <c r="Y26" s="25">
        <f t="shared" si="5"/>
        <v>192.8</v>
      </c>
      <c r="Z26" s="161"/>
      <c r="AA26" s="162"/>
    </row>
    <row r="27" spans="1:28" s="35" customFormat="1" ht="45" customHeight="1">
      <c r="A27" s="21" t="s">
        <v>68</v>
      </c>
      <c r="B27" s="33" t="s">
        <v>69</v>
      </c>
      <c r="C27" s="34">
        <v>10.5</v>
      </c>
      <c r="D27" s="34">
        <v>0</v>
      </c>
      <c r="E27" s="24">
        <v>315.89999999999998</v>
      </c>
      <c r="F27" s="24">
        <v>360.15</v>
      </c>
      <c r="G27" s="24">
        <f t="shared" si="0"/>
        <v>3316.95</v>
      </c>
      <c r="H27" s="24">
        <f t="shared" si="0"/>
        <v>0</v>
      </c>
      <c r="I27" s="25">
        <f t="shared" si="1"/>
        <v>3316.95</v>
      </c>
      <c r="J27" s="25">
        <f t="shared" si="2"/>
        <v>202.44</v>
      </c>
      <c r="K27" s="25">
        <f>(C27+D27)*I6</f>
        <v>114.97499999999999</v>
      </c>
      <c r="L27" s="25"/>
      <c r="M27" s="25"/>
      <c r="N27" s="25">
        <v>0</v>
      </c>
      <c r="O27" s="25">
        <f t="shared" si="3"/>
        <v>3634.3649999999998</v>
      </c>
      <c r="P27" s="27">
        <f>IF('[20]Calculo ISR '!$BW$34&lt;0,0,'[20]Calculo ISR '!$BW$34)</f>
        <v>144.21035199999997</v>
      </c>
      <c r="Q27" s="28">
        <f>I27*N6</f>
        <v>348.27974999999998</v>
      </c>
      <c r="R27" s="28"/>
      <c r="S27" s="28"/>
      <c r="T27" s="28"/>
      <c r="U27" s="28"/>
      <c r="V27" s="25">
        <f t="shared" si="7"/>
        <v>492.49010199999998</v>
      </c>
      <c r="W27" s="28">
        <f>IF('[20]Calculo ISR '!$BW$34&gt;0,0,('[20]Calculo ISR '!$BW$34)*-1)</f>
        <v>0</v>
      </c>
      <c r="X27" s="25">
        <f t="shared" si="8"/>
        <v>2939.434898</v>
      </c>
      <c r="Y27" s="25">
        <f t="shared" si="5"/>
        <v>202.44</v>
      </c>
      <c r="Z27" s="161"/>
      <c r="AA27" s="162"/>
    </row>
    <row r="28" spans="1:28" s="35" customFormat="1" ht="45" customHeight="1">
      <c r="A28" s="21" t="s">
        <v>70</v>
      </c>
      <c r="B28" s="33" t="s">
        <v>71</v>
      </c>
      <c r="C28" s="34">
        <v>7</v>
      </c>
      <c r="D28" s="34">
        <v>0</v>
      </c>
      <c r="E28" s="24">
        <v>315.89999999999998</v>
      </c>
      <c r="F28" s="24">
        <v>360.15</v>
      </c>
      <c r="G28" s="24">
        <f t="shared" si="0"/>
        <v>2211.2999999999997</v>
      </c>
      <c r="H28" s="24">
        <f t="shared" si="0"/>
        <v>0</v>
      </c>
      <c r="I28" s="25">
        <f t="shared" si="1"/>
        <v>2211.2999999999997</v>
      </c>
      <c r="J28" s="25">
        <f t="shared" si="2"/>
        <v>134.96</v>
      </c>
      <c r="K28" s="25">
        <f>(C28+D28)*I6</f>
        <v>76.649999999999991</v>
      </c>
      <c r="L28" s="25"/>
      <c r="M28" s="25"/>
      <c r="N28" s="25"/>
      <c r="O28" s="25">
        <f t="shared" si="3"/>
        <v>2422.91</v>
      </c>
      <c r="P28" s="27">
        <f>IF('[20]Calculo ISR '!$BX$34&lt;0,0,'[20]Calculo ISR '!$BX$34)</f>
        <v>0</v>
      </c>
      <c r="Q28" s="28">
        <f>I28*N6</f>
        <v>232.18649999999997</v>
      </c>
      <c r="R28" s="28"/>
      <c r="S28" s="28"/>
      <c r="T28" s="28"/>
      <c r="U28" s="28"/>
      <c r="V28" s="25">
        <f t="shared" si="7"/>
        <v>232.18649999999997</v>
      </c>
      <c r="W28" s="28">
        <f>IF('[20]Calculo ISR '!$BX$34&gt;0,0,('[20]Calculo ISR '!$BX$34)*-1)</f>
        <v>29.904128000000043</v>
      </c>
      <c r="X28" s="25">
        <f t="shared" si="8"/>
        <v>2085.6676280000001</v>
      </c>
      <c r="Y28" s="25">
        <f t="shared" si="5"/>
        <v>134.96</v>
      </c>
      <c r="Z28" s="161"/>
      <c r="AA28" s="162"/>
    </row>
    <row r="29" spans="1:28" s="35" customFormat="1" ht="45" customHeight="1">
      <c r="A29" s="21" t="s">
        <v>72</v>
      </c>
      <c r="B29" s="33" t="s">
        <v>73</v>
      </c>
      <c r="C29" s="34">
        <v>7.5</v>
      </c>
      <c r="D29" s="34">
        <v>0</v>
      </c>
      <c r="E29" s="24">
        <v>315.89999999999998</v>
      </c>
      <c r="F29" s="24">
        <v>360.15</v>
      </c>
      <c r="G29" s="24">
        <f t="shared" si="0"/>
        <v>2369.25</v>
      </c>
      <c r="H29" s="24">
        <f t="shared" si="0"/>
        <v>0</v>
      </c>
      <c r="I29" s="25">
        <f t="shared" si="1"/>
        <v>2369.25</v>
      </c>
      <c r="J29" s="25">
        <f t="shared" si="2"/>
        <v>144.60000000000002</v>
      </c>
      <c r="K29" s="25">
        <f>(C29+D29)*I6</f>
        <v>82.125</v>
      </c>
      <c r="L29" s="25"/>
      <c r="M29" s="25"/>
      <c r="N29" s="25"/>
      <c r="O29" s="25">
        <f t="shared" si="3"/>
        <v>2595.9749999999999</v>
      </c>
      <c r="P29" s="27">
        <f>IF('[20]Calculo ISR '!$BY$34&lt;0,0,'[20]Calculo ISR '!$BY$34)</f>
        <v>2.2765119999999968</v>
      </c>
      <c r="Q29" s="28">
        <f>I29*N6</f>
        <v>248.77124999999998</v>
      </c>
      <c r="R29" s="28"/>
      <c r="S29" s="28"/>
      <c r="T29" s="28"/>
      <c r="U29" s="30"/>
      <c r="V29" s="25">
        <f t="shared" si="7"/>
        <v>251.04776199999998</v>
      </c>
      <c r="W29" s="28">
        <f>IF('[20]Calculo ISR '!$BY$34&gt;0,0,('[20]Calculo ISR '!$BY$34)*-1)</f>
        <v>0</v>
      </c>
      <c r="X29" s="25">
        <f t="shared" si="8"/>
        <v>2200.3272379999999</v>
      </c>
      <c r="Y29" s="25">
        <f t="shared" si="5"/>
        <v>144.60000000000002</v>
      </c>
      <c r="Z29" s="184"/>
      <c r="AA29" s="185"/>
      <c r="AB29" s="70"/>
    </row>
    <row r="30" spans="1:28" s="35" customFormat="1" ht="45" customHeight="1">
      <c r="A30" s="21" t="s">
        <v>94</v>
      </c>
      <c r="B30" s="33" t="s">
        <v>101</v>
      </c>
      <c r="C30" s="34">
        <v>10.5</v>
      </c>
      <c r="D30" s="34">
        <v>0</v>
      </c>
      <c r="E30" s="24">
        <v>315.89999999999998</v>
      </c>
      <c r="F30" s="24">
        <v>360.15</v>
      </c>
      <c r="G30" s="24">
        <f t="shared" si="0"/>
        <v>3316.95</v>
      </c>
      <c r="H30" s="24">
        <f t="shared" si="0"/>
        <v>0</v>
      </c>
      <c r="I30" s="25">
        <f t="shared" si="1"/>
        <v>3316.95</v>
      </c>
      <c r="J30" s="25">
        <f t="shared" si="2"/>
        <v>202.44</v>
      </c>
      <c r="K30" s="25">
        <f>(C30+D30)*I6</f>
        <v>114.97499999999999</v>
      </c>
      <c r="L30" s="25"/>
      <c r="M30" s="25"/>
      <c r="N30" s="25"/>
      <c r="O30" s="25">
        <f t="shared" si="3"/>
        <v>3634.3649999999998</v>
      </c>
      <c r="P30" s="27">
        <f>IF('[20]Calculo ISR '!$BZ$34&lt;0,0,'[20]Calculo ISR '!$BZ$34)</f>
        <v>144.21035199999997</v>
      </c>
      <c r="Q30" s="28">
        <f>I30*10.5%</f>
        <v>348.27974999999998</v>
      </c>
      <c r="R30" s="28"/>
      <c r="S30" s="28"/>
      <c r="T30" s="28"/>
      <c r="U30" s="28"/>
      <c r="V30" s="25">
        <f t="shared" si="7"/>
        <v>492.49010199999998</v>
      </c>
      <c r="W30" s="28">
        <f>IF('[20]Calculo ISR '!$BZ$34&gt;0,0,('[20]Calculo ISR '!$BZ$34)*-1)</f>
        <v>0</v>
      </c>
      <c r="X30" s="25">
        <f t="shared" si="8"/>
        <v>2939.434898</v>
      </c>
      <c r="Y30" s="71">
        <f t="shared" si="5"/>
        <v>202.44</v>
      </c>
      <c r="Z30" s="139"/>
      <c r="AA30" s="73"/>
      <c r="AB30" s="70"/>
    </row>
    <row r="31" spans="1:28" s="35" customFormat="1" ht="45" customHeight="1">
      <c r="A31" s="21" t="s">
        <v>96</v>
      </c>
      <c r="B31" s="33" t="s">
        <v>102</v>
      </c>
      <c r="C31" s="34">
        <v>14</v>
      </c>
      <c r="D31" s="34">
        <v>0</v>
      </c>
      <c r="E31" s="24">
        <v>315.89999999999998</v>
      </c>
      <c r="F31" s="24">
        <v>360.15</v>
      </c>
      <c r="G31" s="24">
        <f t="shared" si="0"/>
        <v>4422.5999999999995</v>
      </c>
      <c r="H31" s="24">
        <f t="shared" si="0"/>
        <v>0</v>
      </c>
      <c r="I31" s="25">
        <f t="shared" si="1"/>
        <v>4422.5999999999995</v>
      </c>
      <c r="J31" s="25">
        <f t="shared" si="2"/>
        <v>269.92</v>
      </c>
      <c r="K31" s="25">
        <f>(C31+D31)*I6</f>
        <v>153.29999999999998</v>
      </c>
      <c r="L31" s="25"/>
      <c r="M31" s="25"/>
      <c r="N31" s="25"/>
      <c r="O31" s="25">
        <f t="shared" si="3"/>
        <v>4845.82</v>
      </c>
      <c r="P31" s="27">
        <f>IF('[20]Calculo ISR '!$CA$34&lt;0,0,'[20]Calculo ISR '!$CA$34)</f>
        <v>447.50676800000002</v>
      </c>
      <c r="Q31" s="28">
        <f>I31*10.5%</f>
        <v>464.37299999999993</v>
      </c>
      <c r="R31" s="28"/>
      <c r="S31" s="28"/>
      <c r="T31" s="28"/>
      <c r="U31" s="28"/>
      <c r="V31" s="25">
        <f t="shared" si="7"/>
        <v>911.87976800000001</v>
      </c>
      <c r="W31" s="28">
        <f>IF('[20]Calculo ISR '!$CA$34&gt;0,0,('[20]Calculo ISR '!$CA$34)*-1)</f>
        <v>0</v>
      </c>
      <c r="X31" s="25">
        <f t="shared" si="8"/>
        <v>3664.0202319999999</v>
      </c>
      <c r="Y31" s="71">
        <f t="shared" si="5"/>
        <v>269.92</v>
      </c>
      <c r="Z31" s="139"/>
      <c r="AA31" s="73"/>
      <c r="AB31" s="70"/>
    </row>
    <row r="32" spans="1:28" s="35" customFormat="1" ht="45" customHeight="1">
      <c r="A32" s="21" t="s">
        <v>103</v>
      </c>
      <c r="B32" s="33" t="s">
        <v>124</v>
      </c>
      <c r="C32" s="34">
        <v>4</v>
      </c>
      <c r="D32" s="34">
        <v>0</v>
      </c>
      <c r="E32" s="24">
        <v>315.89999999999998</v>
      </c>
      <c r="F32" s="24">
        <v>360.15</v>
      </c>
      <c r="G32" s="24">
        <f t="shared" ref="G32:H38" si="9">C32*E32</f>
        <v>1263.5999999999999</v>
      </c>
      <c r="H32" s="24">
        <f t="shared" si="9"/>
        <v>0</v>
      </c>
      <c r="I32" s="25">
        <f t="shared" si="1"/>
        <v>1263.5999999999999</v>
      </c>
      <c r="J32" s="25">
        <f t="shared" si="2"/>
        <v>77.12</v>
      </c>
      <c r="K32" s="25">
        <f>(C32+D32)*I$6</f>
        <v>43.8</v>
      </c>
      <c r="L32" s="25"/>
      <c r="M32" s="25"/>
      <c r="N32" s="25"/>
      <c r="O32" s="25">
        <f t="shared" si="3"/>
        <v>1384.5199999999998</v>
      </c>
      <c r="P32" s="27">
        <f>IF('[20]Calculo ISR '!$CB$34&lt;0,0,'[20]Calculo ISR '!$CB$34)</f>
        <v>0</v>
      </c>
      <c r="Q32" s="28">
        <f t="shared" ref="Q32:Q38" si="10">I32*10.5%</f>
        <v>132.678</v>
      </c>
      <c r="R32" s="28"/>
      <c r="S32" s="28"/>
      <c r="T32" s="28"/>
      <c r="U32" s="28"/>
      <c r="V32" s="25">
        <f t="shared" si="7"/>
        <v>132.678</v>
      </c>
      <c r="W32" s="28">
        <f>IF('[20]Calculo ISR '!$CB$34&gt;0,0,('[20]Calculo ISR '!$CB$34)*-1)</f>
        <v>128.04424</v>
      </c>
      <c r="X32" s="25">
        <f t="shared" si="8"/>
        <v>1302.7662399999995</v>
      </c>
      <c r="Y32" s="25">
        <f t="shared" si="5"/>
        <v>77.12</v>
      </c>
      <c r="Z32" s="139"/>
      <c r="AA32" s="73"/>
      <c r="AB32" s="70"/>
    </row>
    <row r="33" spans="1:31" s="35" customFormat="1" ht="45" customHeight="1">
      <c r="A33" s="21" t="s">
        <v>105</v>
      </c>
      <c r="B33" s="33" t="s">
        <v>106</v>
      </c>
      <c r="C33" s="34">
        <v>4</v>
      </c>
      <c r="D33" s="34">
        <v>0</v>
      </c>
      <c r="E33" s="24">
        <v>315.89999999999998</v>
      </c>
      <c r="F33" s="24">
        <v>360.15</v>
      </c>
      <c r="G33" s="24">
        <f t="shared" si="9"/>
        <v>1263.5999999999999</v>
      </c>
      <c r="H33" s="24">
        <f t="shared" si="9"/>
        <v>0</v>
      </c>
      <c r="I33" s="25">
        <f t="shared" si="1"/>
        <v>1263.5999999999999</v>
      </c>
      <c r="J33" s="25">
        <f t="shared" si="2"/>
        <v>77.12</v>
      </c>
      <c r="K33" s="25">
        <f t="shared" ref="K33:K38" si="11">(C33+D33)*I$6</f>
        <v>43.8</v>
      </c>
      <c r="L33" s="25"/>
      <c r="M33" s="25"/>
      <c r="N33" s="25"/>
      <c r="O33" s="25">
        <f t="shared" si="3"/>
        <v>1384.5199999999998</v>
      </c>
      <c r="P33" s="27">
        <f>IF('[20]Calculo ISR '!$CC$34&lt;0,0,'[20]Calculo ISR '!$CC$34)</f>
        <v>0</v>
      </c>
      <c r="Q33" s="28">
        <f t="shared" si="10"/>
        <v>132.678</v>
      </c>
      <c r="R33" s="28"/>
      <c r="S33" s="28"/>
      <c r="T33" s="28"/>
      <c r="U33" s="28"/>
      <c r="V33" s="25">
        <f t="shared" si="7"/>
        <v>132.678</v>
      </c>
      <c r="W33" s="28">
        <f>IF('[20]Calculo ISR '!$CC$34&gt;0,0,('[20]Calculo ISR '!$CC$34)*-1)</f>
        <v>128.04424</v>
      </c>
      <c r="X33" s="25">
        <f t="shared" si="8"/>
        <v>1302.7662399999995</v>
      </c>
      <c r="Y33" s="25">
        <f t="shared" si="5"/>
        <v>77.12</v>
      </c>
      <c r="Z33" s="139"/>
      <c r="AA33" s="73"/>
      <c r="AB33" s="70"/>
    </row>
    <row r="34" spans="1:31" s="35" customFormat="1" ht="45" customHeight="1">
      <c r="A34" s="21" t="s">
        <v>112</v>
      </c>
      <c r="B34" s="33" t="s">
        <v>113</v>
      </c>
      <c r="C34" s="34">
        <v>5</v>
      </c>
      <c r="D34" s="34">
        <v>0</v>
      </c>
      <c r="E34" s="24">
        <v>315.89999999999998</v>
      </c>
      <c r="F34" s="24">
        <v>360.15</v>
      </c>
      <c r="G34" s="24">
        <f t="shared" si="9"/>
        <v>1579.5</v>
      </c>
      <c r="H34" s="24">
        <f t="shared" si="9"/>
        <v>0</v>
      </c>
      <c r="I34" s="25">
        <f t="shared" si="1"/>
        <v>1579.5</v>
      </c>
      <c r="J34" s="25">
        <f t="shared" si="2"/>
        <v>96.4</v>
      </c>
      <c r="K34" s="25">
        <f t="shared" si="11"/>
        <v>54.75</v>
      </c>
      <c r="L34" s="25"/>
      <c r="M34" s="25"/>
      <c r="N34" s="25">
        <f>2*315.9</f>
        <v>631.79999999999995</v>
      </c>
      <c r="O34" s="25">
        <f t="shared" si="3"/>
        <v>2362.4499999999998</v>
      </c>
      <c r="P34" s="27">
        <f>IF('[20]Calculo ISR '!$CD$34&lt;0,0,'[20]Calculo ISR '!$CD$34)</f>
        <v>0</v>
      </c>
      <c r="Q34" s="28">
        <f t="shared" si="10"/>
        <v>165.8475</v>
      </c>
      <c r="R34" s="28"/>
      <c r="S34" s="28"/>
      <c r="T34" s="28"/>
      <c r="U34" s="28"/>
      <c r="V34" s="25">
        <f t="shared" si="7"/>
        <v>165.8475</v>
      </c>
      <c r="W34" s="28">
        <f>IF('[20]Calculo ISR '!$CD$34&gt;0,0,('[20]Calculo ISR '!$CD$34)*-1)</f>
        <v>32.286848000000049</v>
      </c>
      <c r="X34" s="25">
        <f t="shared" si="8"/>
        <v>2132.4893480000001</v>
      </c>
      <c r="Y34" s="25">
        <f t="shared" si="5"/>
        <v>96.4</v>
      </c>
      <c r="Z34" s="139"/>
      <c r="AA34" s="73"/>
      <c r="AB34" s="70"/>
    </row>
    <row r="35" spans="1:31" s="35" customFormat="1" ht="45" customHeight="1">
      <c r="A35" s="21" t="s">
        <v>125</v>
      </c>
      <c r="B35" s="33" t="s">
        <v>126</v>
      </c>
      <c r="C35" s="34">
        <v>15</v>
      </c>
      <c r="D35" s="34">
        <v>0</v>
      </c>
      <c r="E35" s="24">
        <v>315.89999999999998</v>
      </c>
      <c r="F35" s="24">
        <v>360.15</v>
      </c>
      <c r="G35" s="24">
        <f t="shared" si="9"/>
        <v>4738.5</v>
      </c>
      <c r="H35" s="24">
        <f t="shared" si="9"/>
        <v>0</v>
      </c>
      <c r="I35" s="25">
        <f t="shared" si="1"/>
        <v>4738.5</v>
      </c>
      <c r="J35" s="25">
        <f t="shared" si="2"/>
        <v>289.20000000000005</v>
      </c>
      <c r="K35" s="25">
        <f t="shared" si="11"/>
        <v>164.25</v>
      </c>
      <c r="L35" s="25"/>
      <c r="M35" s="25"/>
      <c r="N35" s="25"/>
      <c r="O35" s="25">
        <f t="shared" si="3"/>
        <v>5191.95</v>
      </c>
      <c r="P35" s="27">
        <f>IF('[20]Calculo ISR '!$CE$34&lt;0,0,'[20]Calculo ISR '!$CE$34)</f>
        <v>506.07828800000004</v>
      </c>
      <c r="Q35" s="28">
        <f t="shared" si="10"/>
        <v>497.54249999999996</v>
      </c>
      <c r="R35" s="28"/>
      <c r="S35" s="28"/>
      <c r="T35" s="28"/>
      <c r="U35" s="28"/>
      <c r="V35" s="25">
        <f t="shared" si="7"/>
        <v>1003.6207879999999</v>
      </c>
      <c r="W35" s="28">
        <f>IF('[20]Calculo ISR '!$CE$34&gt;0,0,('[20]Calculo ISR '!$CE$34)*-1)</f>
        <v>0</v>
      </c>
      <c r="X35" s="25">
        <f t="shared" si="8"/>
        <v>3899.1292119999998</v>
      </c>
      <c r="Y35" s="25">
        <f t="shared" si="5"/>
        <v>289.20000000000005</v>
      </c>
      <c r="Z35" s="139"/>
      <c r="AA35" s="73"/>
      <c r="AB35" s="70"/>
    </row>
    <row r="36" spans="1:31" s="35" customFormat="1" ht="45" customHeight="1">
      <c r="A36" s="21" t="s">
        <v>127</v>
      </c>
      <c r="B36" s="33" t="s">
        <v>128</v>
      </c>
      <c r="C36" s="34">
        <v>5</v>
      </c>
      <c r="D36" s="34">
        <v>0</v>
      </c>
      <c r="E36" s="24">
        <v>315.89999999999998</v>
      </c>
      <c r="F36" s="24">
        <v>360.15</v>
      </c>
      <c r="G36" s="24">
        <f t="shared" si="9"/>
        <v>1579.5</v>
      </c>
      <c r="H36" s="24">
        <f t="shared" si="9"/>
        <v>0</v>
      </c>
      <c r="I36" s="25">
        <f t="shared" si="1"/>
        <v>1579.5</v>
      </c>
      <c r="J36" s="25">
        <f t="shared" si="2"/>
        <v>96.4</v>
      </c>
      <c r="K36" s="25">
        <f t="shared" si="11"/>
        <v>54.75</v>
      </c>
      <c r="L36" s="25"/>
      <c r="M36" s="25"/>
      <c r="N36" s="25"/>
      <c r="O36" s="25">
        <f t="shared" si="3"/>
        <v>1730.65</v>
      </c>
      <c r="P36" s="27">
        <f>IF('[20]Calculo ISR '!$CF$34&lt;0,0,'[20]Calculo ISR '!$CF$34)</f>
        <v>0</v>
      </c>
      <c r="Q36" s="28">
        <f t="shared" si="10"/>
        <v>165.8475</v>
      </c>
      <c r="R36" s="28"/>
      <c r="S36" s="28"/>
      <c r="T36" s="28"/>
      <c r="U36" s="28"/>
      <c r="V36" s="25">
        <f t="shared" si="7"/>
        <v>165.8475</v>
      </c>
      <c r="W36" s="28">
        <f>IF('[20]Calculo ISR '!$CF$34&gt;0,0,('[20]Calculo ISR '!$CF$34)*-1)</f>
        <v>107.12583999999998</v>
      </c>
      <c r="X36" s="25">
        <f t="shared" si="8"/>
        <v>1575.5283399999998</v>
      </c>
      <c r="Y36" s="25">
        <f t="shared" si="5"/>
        <v>96.4</v>
      </c>
      <c r="Z36" s="139"/>
      <c r="AA36" s="73"/>
      <c r="AB36" s="70"/>
    </row>
    <row r="37" spans="1:31" s="35" customFormat="1" ht="45" customHeight="1">
      <c r="A37" s="21" t="s">
        <v>129</v>
      </c>
      <c r="B37" s="33" t="s">
        <v>130</v>
      </c>
      <c r="C37" s="34">
        <v>10</v>
      </c>
      <c r="D37" s="34">
        <v>0</v>
      </c>
      <c r="E37" s="24">
        <v>315.89999999999998</v>
      </c>
      <c r="F37" s="24">
        <v>360.15</v>
      </c>
      <c r="G37" s="24">
        <f t="shared" si="9"/>
        <v>3159</v>
      </c>
      <c r="H37" s="24">
        <f t="shared" si="9"/>
        <v>0</v>
      </c>
      <c r="I37" s="25">
        <f t="shared" si="1"/>
        <v>3159</v>
      </c>
      <c r="J37" s="25">
        <f t="shared" si="2"/>
        <v>192.8</v>
      </c>
      <c r="K37" s="25">
        <f t="shared" si="11"/>
        <v>109.5</v>
      </c>
      <c r="L37" s="25"/>
      <c r="M37" s="25"/>
      <c r="N37" s="25"/>
      <c r="O37" s="25">
        <f t="shared" si="3"/>
        <v>3461.3</v>
      </c>
      <c r="P37" s="27">
        <f>IF('[20]Calculo ISR '!$CG$34&lt;0,0,'[20]Calculo ISR '!$CG$34)</f>
        <v>126.42971199999997</v>
      </c>
      <c r="Q37" s="28">
        <f t="shared" si="10"/>
        <v>331.69499999999999</v>
      </c>
      <c r="R37" s="28"/>
      <c r="S37" s="28"/>
      <c r="T37" s="28"/>
      <c r="U37" s="28"/>
      <c r="V37" s="25">
        <f t="shared" si="7"/>
        <v>458.12471199999993</v>
      </c>
      <c r="W37" s="28">
        <f>IF('[20]Calculo ISR '!$CG$34&gt;0,0,('[20]Calculo ISR '!$CG$34)*-1)</f>
        <v>0</v>
      </c>
      <c r="X37" s="25">
        <f t="shared" si="8"/>
        <v>2810.3752880000002</v>
      </c>
      <c r="Y37" s="25">
        <f t="shared" si="5"/>
        <v>192.8</v>
      </c>
      <c r="Z37" s="139"/>
      <c r="AA37" s="73"/>
      <c r="AB37" s="70"/>
    </row>
    <row r="38" spans="1:31" s="35" customFormat="1" ht="45" customHeight="1">
      <c r="A38" s="31" t="s">
        <v>131</v>
      </c>
      <c r="B38" s="33" t="s">
        <v>132</v>
      </c>
      <c r="C38" s="34">
        <v>14</v>
      </c>
      <c r="D38" s="34">
        <v>0</v>
      </c>
      <c r="E38" s="24">
        <v>315.89999999999998</v>
      </c>
      <c r="F38" s="24">
        <v>360.15</v>
      </c>
      <c r="G38" s="24">
        <f t="shared" si="9"/>
        <v>4422.5999999999995</v>
      </c>
      <c r="H38" s="24">
        <f t="shared" si="9"/>
        <v>0</v>
      </c>
      <c r="I38" s="25">
        <f t="shared" si="1"/>
        <v>4422.5999999999995</v>
      </c>
      <c r="J38" s="25">
        <f t="shared" si="2"/>
        <v>269.92</v>
      </c>
      <c r="K38" s="25">
        <f t="shared" si="11"/>
        <v>153.29999999999998</v>
      </c>
      <c r="L38" s="25"/>
      <c r="M38" s="25"/>
      <c r="N38" s="25"/>
      <c r="O38" s="25">
        <f t="shared" si="3"/>
        <v>4845.82</v>
      </c>
      <c r="P38" s="27">
        <f>IF('[20]Calculo ISR '!$CH$34&lt;0,0,'[20]Calculo ISR '!$CH$34)</f>
        <v>447.50676800000002</v>
      </c>
      <c r="Q38" s="28">
        <f t="shared" si="10"/>
        <v>464.37299999999993</v>
      </c>
      <c r="R38" s="28"/>
      <c r="S38" s="28"/>
      <c r="T38" s="28"/>
      <c r="U38" s="28"/>
      <c r="V38" s="25">
        <f t="shared" si="7"/>
        <v>911.87976800000001</v>
      </c>
      <c r="W38" s="28">
        <f>IF('[20]Calculo ISR '!$CH$34&gt;0,0,('[20]Calculo ISR '!$CH$34)*-1)</f>
        <v>0</v>
      </c>
      <c r="X38" s="25">
        <f t="shared" si="8"/>
        <v>3664.0202319999999</v>
      </c>
      <c r="Y38" s="25">
        <f t="shared" si="5"/>
        <v>269.92</v>
      </c>
      <c r="Z38" s="139"/>
      <c r="AA38" s="73"/>
      <c r="AB38" s="70"/>
    </row>
    <row r="39" spans="1:31" s="2" customFormat="1" ht="30" customHeight="1" thickBot="1">
      <c r="A39" s="86"/>
      <c r="B39" s="38" t="s">
        <v>74</v>
      </c>
      <c r="C39" s="39">
        <f t="shared" ref="C39:X39" si="12">SUM(C10:C38)</f>
        <v>312.5</v>
      </c>
      <c r="D39" s="39">
        <f t="shared" si="12"/>
        <v>60</v>
      </c>
      <c r="E39" s="40">
        <f t="shared" si="12"/>
        <v>9161.0999999999949</v>
      </c>
      <c r="F39" s="40">
        <f t="shared" si="12"/>
        <v>10444.349999999995</v>
      </c>
      <c r="G39" s="40">
        <f t="shared" si="12"/>
        <v>98718.750000000029</v>
      </c>
      <c r="H39" s="40">
        <f t="shared" si="12"/>
        <v>21609</v>
      </c>
      <c r="I39" s="40">
        <f t="shared" si="12"/>
        <v>120327.75</v>
      </c>
      <c r="J39" s="40">
        <f t="shared" si="12"/>
        <v>7181.7999999999984</v>
      </c>
      <c r="K39" s="40">
        <f t="shared" si="12"/>
        <v>4078.875</v>
      </c>
      <c r="L39" s="40">
        <f t="shared" si="12"/>
        <v>1683.65</v>
      </c>
      <c r="M39" s="40">
        <f t="shared" si="12"/>
        <v>351.28800000000001</v>
      </c>
      <c r="N39" s="40">
        <f t="shared" si="12"/>
        <v>947.69999999999993</v>
      </c>
      <c r="O39" s="40">
        <f t="shared" si="12"/>
        <v>134571.06299999999</v>
      </c>
      <c r="P39" s="40">
        <f t="shared" si="12"/>
        <v>12401.522648799999</v>
      </c>
      <c r="Q39" s="40">
        <f t="shared" si="12"/>
        <v>12634.413749999994</v>
      </c>
      <c r="R39" s="40">
        <f t="shared" si="12"/>
        <v>5980</v>
      </c>
      <c r="S39" s="40">
        <f t="shared" si="12"/>
        <v>729.42750000000001</v>
      </c>
      <c r="T39" s="40">
        <f t="shared" si="12"/>
        <v>0</v>
      </c>
      <c r="U39" s="118">
        <f t="shared" si="12"/>
        <v>0</v>
      </c>
      <c r="V39" s="40">
        <f t="shared" si="12"/>
        <v>31745.363898799995</v>
      </c>
      <c r="W39" s="40">
        <f t="shared" si="12"/>
        <v>577.69113600000014</v>
      </c>
      <c r="X39" s="40">
        <f t="shared" si="12"/>
        <v>96221.590237199984</v>
      </c>
      <c r="Y39" s="40">
        <f>SUM(Y9:Y38)</f>
        <v>7181.7999999999984</v>
      </c>
      <c r="Z39" s="41"/>
      <c r="AA39" s="3"/>
      <c r="AB39" s="75"/>
      <c r="AC39" s="42"/>
    </row>
    <row r="40" spans="1:31" s="91" customFormat="1" ht="18.75" customHeight="1">
      <c r="A40" s="121"/>
      <c r="B40" s="122"/>
      <c r="C40" s="123"/>
      <c r="D40" s="123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124"/>
      <c r="AA40" s="90"/>
      <c r="AB40" s="125"/>
    </row>
    <row r="41" spans="1:31" s="91" customFormat="1" ht="11.25" customHeight="1">
      <c r="A41" s="121"/>
      <c r="B41" s="122"/>
      <c r="C41" s="123"/>
      <c r="D41" s="123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124"/>
      <c r="AA41" s="90"/>
      <c r="AB41" s="90"/>
    </row>
    <row r="42" spans="1:31" s="2" customFormat="1" ht="15" customHeight="1">
      <c r="A42" s="69"/>
      <c r="B42" s="140" t="s">
        <v>75</v>
      </c>
      <c r="C42" s="1"/>
      <c r="D42" s="1"/>
      <c r="E42" s="1"/>
      <c r="F42" s="1"/>
      <c r="G42" s="1"/>
      <c r="H42" s="1"/>
      <c r="I42" s="66" t="s">
        <v>76</v>
      </c>
      <c r="L42" s="66"/>
      <c r="M42" s="66"/>
      <c r="N42" s="66"/>
      <c r="O42" s="66"/>
      <c r="P42" s="49"/>
      <c r="Q42" s="50"/>
      <c r="R42" s="1"/>
      <c r="S42" s="1"/>
      <c r="T42" s="1"/>
      <c r="U42" s="1"/>
      <c r="V42" s="1" t="s">
        <v>152</v>
      </c>
      <c r="W42" s="1"/>
      <c r="X42" s="1"/>
      <c r="Y42" s="1"/>
      <c r="Z42" s="1"/>
      <c r="AB42" s="42"/>
      <c r="AE42" s="1"/>
    </row>
    <row r="43" spans="1:31" s="2" customFormat="1" hidden="1">
      <c r="A43" s="69"/>
      <c r="B43" s="1"/>
      <c r="C43" s="1"/>
      <c r="D43" s="1"/>
      <c r="E43" s="1"/>
      <c r="F43" s="1"/>
      <c r="G43" s="1"/>
      <c r="H43" s="1"/>
      <c r="K43" s="1"/>
      <c r="L43" s="1"/>
      <c r="M43" s="1"/>
      <c r="N43" s="1"/>
      <c r="O43" s="51"/>
      <c r="P43" s="51"/>
      <c r="Q43" s="51"/>
      <c r="R43" s="1"/>
      <c r="S43" s="1"/>
      <c r="T43" s="1"/>
      <c r="U43" s="1"/>
      <c r="V43" s="1"/>
      <c r="W43" s="1"/>
      <c r="X43" s="1"/>
      <c r="Y43" s="1"/>
      <c r="Z43" s="1"/>
      <c r="AB43" s="42"/>
      <c r="AE43" s="1"/>
    </row>
    <row r="44" spans="1:31" s="2" customFormat="1" hidden="1">
      <c r="A44" s="69"/>
      <c r="B44" s="1"/>
      <c r="C44" s="1"/>
      <c r="D44" s="1"/>
      <c r="E44" s="1"/>
      <c r="F44" s="1"/>
      <c r="G44" s="1"/>
      <c r="H44" s="1"/>
      <c r="K44" s="1"/>
      <c r="L44" s="1"/>
      <c r="M44" s="1"/>
      <c r="N44" s="1"/>
      <c r="O44" s="51"/>
      <c r="P44" s="51"/>
      <c r="Q44" s="51"/>
      <c r="R44" s="1"/>
      <c r="S44" s="1"/>
      <c r="T44" s="1"/>
      <c r="U44" s="1"/>
      <c r="V44" s="1"/>
      <c r="W44" s="1"/>
      <c r="X44" s="1"/>
      <c r="Y44" s="1"/>
      <c r="Z44" s="1"/>
      <c r="AB44" s="42"/>
      <c r="AE44" s="1"/>
    </row>
    <row r="45" spans="1:31" s="2" customFormat="1" hidden="1">
      <c r="A45" s="69"/>
      <c r="B45" s="1"/>
      <c r="C45" s="1"/>
      <c r="D45" s="1"/>
      <c r="E45" s="1"/>
      <c r="F45" s="1"/>
      <c r="G45" s="1"/>
      <c r="H45" s="1"/>
      <c r="K45" s="1"/>
      <c r="L45" s="1"/>
      <c r="M45" s="1"/>
      <c r="N45" s="1"/>
      <c r="O45" s="52"/>
      <c r="P45" s="52"/>
      <c r="Q45" s="52"/>
      <c r="R45" s="1"/>
      <c r="S45" s="3"/>
      <c r="T45" s="1"/>
      <c r="U45" s="1"/>
      <c r="V45" s="1"/>
      <c r="W45" s="1"/>
      <c r="X45" s="1"/>
      <c r="Y45" s="1"/>
      <c r="Z45" s="1"/>
      <c r="AE45" s="1"/>
    </row>
    <row r="46" spans="1:31" s="2" customFormat="1">
      <c r="A46" s="69"/>
      <c r="B46" s="140" t="s">
        <v>78</v>
      </c>
      <c r="C46" s="1"/>
      <c r="D46" s="1"/>
      <c r="E46" s="1"/>
      <c r="F46" s="1"/>
      <c r="G46" s="1"/>
      <c r="H46" s="1"/>
      <c r="I46" s="53" t="s">
        <v>79</v>
      </c>
      <c r="J46" s="53"/>
      <c r="K46" s="53"/>
      <c r="L46" s="53"/>
      <c r="M46" s="53"/>
      <c r="O46" s="127" t="s">
        <v>134</v>
      </c>
      <c r="P46" s="52"/>
      <c r="Q46" s="49"/>
      <c r="R46" s="1"/>
      <c r="S46" s="1"/>
      <c r="T46" s="1"/>
      <c r="V46" s="53"/>
      <c r="X46" s="53"/>
      <c r="Y46" s="53"/>
      <c r="Z46" s="1"/>
      <c r="AE46" s="1"/>
    </row>
    <row r="47" spans="1:31" ht="12.75" customHeight="1">
      <c r="B47" s="54" t="s">
        <v>81</v>
      </c>
      <c r="I47" s="53" t="s">
        <v>82</v>
      </c>
      <c r="J47" s="53"/>
      <c r="K47" s="53"/>
      <c r="L47" s="53"/>
      <c r="M47" s="53"/>
      <c r="N47" s="53"/>
      <c r="Q47" s="52"/>
      <c r="V47" s="53" t="s">
        <v>83</v>
      </c>
      <c r="X47" s="53"/>
      <c r="Y47" s="53"/>
      <c r="AA47" s="3"/>
    </row>
    <row r="48" spans="1:31">
      <c r="AA48" s="3"/>
    </row>
    <row r="49" spans="1:27">
      <c r="R49" s="3"/>
      <c r="AA49" s="3"/>
    </row>
    <row r="50" spans="1:27">
      <c r="AA50" s="3"/>
    </row>
    <row r="51" spans="1:27">
      <c r="AA51" s="3"/>
    </row>
    <row r="52" spans="1:27">
      <c r="O52" s="6"/>
      <c r="AA52" s="3"/>
    </row>
    <row r="53" spans="1:27">
      <c r="AA53" s="3"/>
    </row>
    <row r="54" spans="1:27">
      <c r="AA54" s="3"/>
    </row>
    <row r="55" spans="1:27" s="56" customFormat="1">
      <c r="A55" s="6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7" s="56" customFormat="1">
      <c r="A56" s="6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7" s="57" customFormat="1">
      <c r="A57" s="6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7" s="57" customFormat="1">
      <c r="A58" s="6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7" s="57" customFormat="1">
      <c r="A59" s="6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7" s="57" customFormat="1">
      <c r="A60" s="6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7" s="57" customFormat="1">
      <c r="A61" s="6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7" s="57" customFormat="1">
      <c r="A62" s="6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7" s="57" customFormat="1">
      <c r="A63" s="6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7" s="57" customFormat="1">
      <c r="A64" s="6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57" customFormat="1">
      <c r="A65" s="6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57" customFormat="1">
      <c r="A66" s="6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8" spans="1:26">
      <c r="S68" s="3"/>
    </row>
  </sheetData>
  <mergeCells count="27">
    <mergeCell ref="Z27:AA27"/>
    <mergeCell ref="Z28:AA28"/>
    <mergeCell ref="Z29:AA29"/>
    <mergeCell ref="Z21:AA21"/>
    <mergeCell ref="Z22:AA22"/>
    <mergeCell ref="Z23:AA23"/>
    <mergeCell ref="Z24:AA24"/>
    <mergeCell ref="Z25:AA25"/>
    <mergeCell ref="Z26:AA26"/>
    <mergeCell ref="Z15:AA15"/>
    <mergeCell ref="Z16:AA16"/>
    <mergeCell ref="Z17:AA17"/>
    <mergeCell ref="Z18:AA18"/>
    <mergeCell ref="Z19:AA19"/>
    <mergeCell ref="Z20:AA20"/>
    <mergeCell ref="Z9:AA9"/>
    <mergeCell ref="Z10:AA10"/>
    <mergeCell ref="Z11:AA11"/>
    <mergeCell ref="Z12:AA12"/>
    <mergeCell ref="Z13:AA13"/>
    <mergeCell ref="Z14:AA14"/>
    <mergeCell ref="A8:A9"/>
    <mergeCell ref="B8:B9"/>
    <mergeCell ref="C8:I8"/>
    <mergeCell ref="J8:O8"/>
    <mergeCell ref="P8:V8"/>
    <mergeCell ref="W8:Y8"/>
  </mergeCells>
  <pageMargins left="0.8" right="0.2" top="0.47244094488188981" bottom="0.51181102362204722" header="0.31496062992125984" footer="0.31496062992125984"/>
  <pageSetup paperSize="5" scale="5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K68"/>
  <sheetViews>
    <sheetView topLeftCell="A3" zoomScale="80" zoomScaleNormal="80" zoomScaleSheetLayoutView="100" workbookViewId="0">
      <pane xSplit="2" ySplit="7" topLeftCell="C37" activePane="bottomRight" state="frozen"/>
      <selection activeCell="A3" sqref="A3"/>
      <selection pane="topRight" activeCell="C3" sqref="C3"/>
      <selection pane="bottomLeft" activeCell="A10" sqref="A10"/>
      <selection pane="bottomRight" activeCell="R45" sqref="R45"/>
    </sheetView>
  </sheetViews>
  <sheetFormatPr baseColWidth="10" defaultRowHeight="12.75"/>
  <cols>
    <col min="1" max="1" width="7.7109375" style="69" customWidth="1"/>
    <col min="2" max="2" width="12.7109375" style="1" customWidth="1"/>
    <col min="3" max="4" width="7.140625" style="1" customWidth="1"/>
    <col min="5" max="5" width="9.85546875" style="1" customWidth="1"/>
    <col min="6" max="7" width="11.28515625" style="1" customWidth="1"/>
    <col min="8" max="8" width="11" style="1" customWidth="1"/>
    <col min="9" max="9" width="12" style="1" customWidth="1"/>
    <col min="10" max="10" width="9.85546875" style="1" customWidth="1"/>
    <col min="11" max="11" width="11.42578125" style="1" customWidth="1"/>
    <col min="12" max="12" width="10.42578125" style="1" customWidth="1"/>
    <col min="13" max="13" width="8.85546875" style="1" customWidth="1"/>
    <col min="14" max="14" width="10.28515625" style="1" customWidth="1"/>
    <col min="15" max="15" width="8.7109375" style="1" customWidth="1"/>
    <col min="16" max="16" width="9.85546875" style="1" customWidth="1"/>
    <col min="17" max="17" width="10" style="1" customWidth="1"/>
    <col min="18" max="18" width="9" style="1" customWidth="1"/>
    <col min="19" max="19" width="8.42578125" style="1" customWidth="1"/>
    <col min="20" max="20" width="2.28515625" style="1" customWidth="1"/>
    <col min="21" max="21" width="12.42578125" style="1" customWidth="1"/>
    <col min="22" max="22" width="11" style="1" hidden="1" customWidth="1"/>
    <col min="23" max="23" width="10.85546875" style="1" hidden="1" customWidth="1"/>
    <col min="24" max="24" width="10" style="1" hidden="1" customWidth="1"/>
    <col min="25" max="25" width="8.42578125" style="1" hidden="1" customWidth="1"/>
    <col min="26" max="26" width="2.28515625" style="1" hidden="1" customWidth="1"/>
    <col min="27" max="27" width="2.5703125" style="1" hidden="1" customWidth="1"/>
    <col min="28" max="28" width="11.140625" style="1" customWidth="1"/>
    <col min="29" max="29" width="8.7109375" style="1" customWidth="1"/>
    <col min="30" max="30" width="12.42578125" style="1" customWidth="1"/>
    <col min="31" max="31" width="12" style="1" hidden="1" customWidth="1"/>
    <col min="32" max="32" width="26.7109375" style="1" hidden="1" customWidth="1"/>
    <col min="33" max="33" width="12.28515625" style="1" hidden="1" customWidth="1"/>
    <col min="34" max="16384" width="11.42578125" style="1"/>
  </cols>
  <sheetData>
    <row r="2" spans="1:33">
      <c r="B2" s="2" t="s">
        <v>0</v>
      </c>
    </row>
    <row r="3" spans="1:33" s="91" customFormat="1">
      <c r="A3" s="92"/>
    </row>
    <row r="4" spans="1:33" s="91" customFormat="1">
      <c r="A4" s="92"/>
      <c r="T4" s="65"/>
    </row>
    <row r="5" spans="1:33" s="91" customFormat="1">
      <c r="A5" s="92"/>
      <c r="I5" s="65"/>
      <c r="J5" s="65"/>
      <c r="K5" s="65"/>
      <c r="L5" s="65"/>
      <c r="M5" s="65"/>
      <c r="N5" s="65"/>
      <c r="T5" s="65"/>
      <c r="U5" s="90"/>
      <c r="Y5" s="65"/>
      <c r="Z5" s="65"/>
      <c r="AA5" s="65"/>
      <c r="AB5" s="65"/>
    </row>
    <row r="6" spans="1:33" s="91" customFormat="1">
      <c r="A6" s="92"/>
      <c r="E6" s="4">
        <v>19.28</v>
      </c>
      <c r="F6" s="92"/>
      <c r="G6" s="92"/>
      <c r="H6" s="92"/>
      <c r="I6" s="4">
        <v>12.05</v>
      </c>
      <c r="J6" s="4"/>
      <c r="K6" s="4"/>
      <c r="L6" s="65"/>
      <c r="M6" s="65"/>
      <c r="N6" s="65"/>
      <c r="T6" s="128">
        <v>0.105</v>
      </c>
      <c r="Y6" s="65"/>
      <c r="Z6" s="5">
        <v>0.01</v>
      </c>
      <c r="AA6" s="65"/>
      <c r="AB6" s="65"/>
    </row>
    <row r="7" spans="1:33" ht="13.5" thickBot="1">
      <c r="A7" s="85" t="s">
        <v>0</v>
      </c>
      <c r="C7" s="2"/>
      <c r="D7" s="91"/>
      <c r="E7" s="4">
        <v>26.08</v>
      </c>
      <c r="F7" s="92"/>
      <c r="G7" s="92"/>
      <c r="H7" s="92"/>
      <c r="I7" s="7">
        <v>0.02</v>
      </c>
      <c r="J7" s="8">
        <v>0.04</v>
      </c>
      <c r="K7" s="8"/>
      <c r="L7" s="129">
        <v>0.06</v>
      </c>
      <c r="M7" s="130">
        <v>13.15</v>
      </c>
      <c r="N7" s="130"/>
      <c r="O7" s="6" t="s">
        <v>161</v>
      </c>
      <c r="P7" s="91"/>
      <c r="Q7" s="91"/>
      <c r="R7" s="91"/>
      <c r="S7" s="91"/>
      <c r="T7" s="91"/>
      <c r="V7" s="91"/>
      <c r="W7" s="91"/>
      <c r="X7" s="91"/>
      <c r="Y7" s="65"/>
      <c r="Z7" s="65"/>
      <c r="AA7" s="65"/>
      <c r="AB7" s="65"/>
      <c r="AC7" s="91"/>
      <c r="AD7" s="91"/>
      <c r="AE7" s="91"/>
      <c r="AF7" s="91"/>
    </row>
    <row r="8" spans="1:33" ht="15.75" customHeight="1" thickBot="1">
      <c r="A8" s="164" t="s">
        <v>2</v>
      </c>
      <c r="B8" s="166" t="s">
        <v>3</v>
      </c>
      <c r="C8" s="168" t="s">
        <v>4</v>
      </c>
      <c r="D8" s="169"/>
      <c r="E8" s="169"/>
      <c r="F8" s="169"/>
      <c r="G8" s="169"/>
      <c r="H8" s="169"/>
      <c r="I8" s="170"/>
      <c r="J8" s="171" t="s">
        <v>5</v>
      </c>
      <c r="K8" s="172"/>
      <c r="L8" s="172"/>
      <c r="M8" s="172"/>
      <c r="N8" s="173"/>
      <c r="O8" s="173"/>
      <c r="P8" s="173"/>
      <c r="Q8" s="173"/>
      <c r="R8" s="173"/>
      <c r="S8" s="173"/>
      <c r="T8" s="173"/>
      <c r="U8" s="174"/>
      <c r="V8" s="175" t="s">
        <v>6</v>
      </c>
      <c r="W8" s="176"/>
      <c r="X8" s="176"/>
      <c r="Y8" s="176"/>
      <c r="Z8" s="176"/>
      <c r="AA8" s="176"/>
      <c r="AB8" s="176"/>
      <c r="AC8" s="177" t="s">
        <v>7</v>
      </c>
      <c r="AD8" s="177"/>
      <c r="AE8" s="177"/>
    </row>
    <row r="9" spans="1:33" s="20" customFormat="1" ht="97.5" customHeight="1">
      <c r="A9" s="165"/>
      <c r="B9" s="167"/>
      <c r="C9" s="9" t="s">
        <v>87</v>
      </c>
      <c r="D9" s="9" t="s">
        <v>88</v>
      </c>
      <c r="E9" s="9" t="s">
        <v>89</v>
      </c>
      <c r="F9" s="9" t="s">
        <v>90</v>
      </c>
      <c r="G9" s="9" t="s">
        <v>91</v>
      </c>
      <c r="H9" s="9" t="s">
        <v>92</v>
      </c>
      <c r="I9" s="67" t="s">
        <v>10</v>
      </c>
      <c r="J9" s="11" t="s">
        <v>11</v>
      </c>
      <c r="K9" s="11" t="s">
        <v>162</v>
      </c>
      <c r="L9" s="11" t="s">
        <v>163</v>
      </c>
      <c r="M9" s="12" t="s">
        <v>164</v>
      </c>
      <c r="N9" s="11" t="s">
        <v>165</v>
      </c>
      <c r="O9" s="12" t="s">
        <v>166</v>
      </c>
      <c r="P9" s="13" t="s">
        <v>13</v>
      </c>
      <c r="Q9" s="13" t="s">
        <v>167</v>
      </c>
      <c r="R9" s="13" t="s">
        <v>168</v>
      </c>
      <c r="S9" s="13" t="s">
        <v>14</v>
      </c>
      <c r="T9" s="134" t="s">
        <v>15</v>
      </c>
      <c r="U9" s="14" t="s">
        <v>16</v>
      </c>
      <c r="V9" s="15" t="s">
        <v>17</v>
      </c>
      <c r="W9" s="16" t="s">
        <v>18</v>
      </c>
      <c r="X9" s="16" t="s">
        <v>19</v>
      </c>
      <c r="Y9" s="16" t="s">
        <v>20</v>
      </c>
      <c r="Z9" s="16" t="s">
        <v>21</v>
      </c>
      <c r="AA9" s="16" t="s">
        <v>22</v>
      </c>
      <c r="AB9" s="16" t="s">
        <v>23</v>
      </c>
      <c r="AC9" s="17" t="s">
        <v>24</v>
      </c>
      <c r="AD9" s="18" t="s">
        <v>25</v>
      </c>
      <c r="AE9" s="19" t="s">
        <v>26</v>
      </c>
      <c r="AF9" s="178" t="s">
        <v>27</v>
      </c>
      <c r="AG9" s="178"/>
    </row>
    <row r="10" spans="1:33" s="111" customFormat="1" ht="45" customHeight="1">
      <c r="A10" s="217" t="s">
        <v>32</v>
      </c>
      <c r="B10" s="218" t="s">
        <v>99</v>
      </c>
      <c r="C10" s="219">
        <v>10</v>
      </c>
      <c r="D10" s="219">
        <v>0</v>
      </c>
      <c r="E10" s="220">
        <v>315.89999999999998</v>
      </c>
      <c r="F10" s="220">
        <v>360.15</v>
      </c>
      <c r="G10" s="220">
        <f t="shared" ref="G10:H31" si="0">C10*E10</f>
        <v>3159</v>
      </c>
      <c r="H10" s="220">
        <f t="shared" si="0"/>
        <v>0</v>
      </c>
      <c r="I10" s="221">
        <f t="shared" ref="I10:I38" si="1">G10+H10</f>
        <v>3159</v>
      </c>
      <c r="J10" s="221">
        <f>(C10+D10)*23.28</f>
        <v>232.8</v>
      </c>
      <c r="K10" s="221">
        <v>640</v>
      </c>
      <c r="L10" s="221">
        <f>C10*I$6</f>
        <v>120.5</v>
      </c>
      <c r="M10" s="221">
        <f>D10*M$7</f>
        <v>0</v>
      </c>
      <c r="N10" s="221">
        <v>176</v>
      </c>
      <c r="O10" s="221">
        <v>0</v>
      </c>
      <c r="P10" s="221"/>
      <c r="Q10" s="221">
        <v>0</v>
      </c>
      <c r="R10" s="221">
        <v>53.7</v>
      </c>
      <c r="S10" s="221">
        <f>I10*J7</f>
        <v>126.36</v>
      </c>
      <c r="T10" s="221">
        <v>0</v>
      </c>
      <c r="U10" s="221">
        <f t="shared" ref="U10:U38" si="2">SUM(I10:T10)</f>
        <v>4508.3599999999997</v>
      </c>
      <c r="V10" s="222">
        <f>IF('[21]Calculo ISR '!$BE$34&lt;0,0,'[21]Calculo ISR '!$BE$34)</f>
        <v>393.68583999999998</v>
      </c>
      <c r="W10" s="223">
        <f>I10*T6</f>
        <v>331.69499999999999</v>
      </c>
      <c r="X10" s="223">
        <v>0</v>
      </c>
      <c r="Y10" s="223">
        <f>I10*Z6</f>
        <v>31.59</v>
      </c>
      <c r="Z10" s="223">
        <f>'[21]HT-DOCENTE'!R11</f>
        <v>0</v>
      </c>
      <c r="AA10" s="223"/>
      <c r="AB10" s="221">
        <f>V10+W10+X10+Y10+AA10+Z10</f>
        <v>756.97084000000007</v>
      </c>
      <c r="AC10" s="223">
        <f>IF('[21]Calculo ISR '!$BE$34&gt;0,0,('[21]Calculo ISR '!$BE$34)*-1)</f>
        <v>0</v>
      </c>
      <c r="AD10" s="221">
        <f t="shared" ref="AD10:AD23" si="3">U10-AB10-AE10+AC10</f>
        <v>2878.5891599999995</v>
      </c>
      <c r="AE10" s="221">
        <f>J10+K10</f>
        <v>872.8</v>
      </c>
      <c r="AF10" s="224"/>
      <c r="AG10" s="225"/>
    </row>
    <row r="11" spans="1:33" s="111" customFormat="1" ht="45" customHeight="1">
      <c r="A11" s="217" t="s">
        <v>34</v>
      </c>
      <c r="B11" s="218" t="s">
        <v>35</v>
      </c>
      <c r="C11" s="219">
        <v>12</v>
      </c>
      <c r="D11" s="219">
        <v>7.5</v>
      </c>
      <c r="E11" s="220">
        <v>315.89999999999998</v>
      </c>
      <c r="F11" s="220">
        <v>360.15</v>
      </c>
      <c r="G11" s="220">
        <f t="shared" si="0"/>
        <v>3790.7999999999997</v>
      </c>
      <c r="H11" s="220">
        <f>D11*F11</f>
        <v>2701.125</v>
      </c>
      <c r="I11" s="221">
        <f t="shared" si="1"/>
        <v>6491.9249999999993</v>
      </c>
      <c r="J11" s="221">
        <f>(C11+D11)*23.28</f>
        <v>453.96000000000004</v>
      </c>
      <c r="K11" s="221">
        <v>1248</v>
      </c>
      <c r="L11" s="221">
        <f t="shared" ref="L11:L38" si="4">C11*I$6</f>
        <v>144.60000000000002</v>
      </c>
      <c r="M11" s="221">
        <f t="shared" ref="M11:M38" si="5">D11*M$7</f>
        <v>98.625</v>
      </c>
      <c r="N11" s="221">
        <v>211.20000000000002</v>
      </c>
      <c r="O11" s="221">
        <v>144</v>
      </c>
      <c r="P11" s="221"/>
      <c r="Q11" s="221">
        <v>0</v>
      </c>
      <c r="R11" s="221">
        <v>0</v>
      </c>
      <c r="S11" s="221">
        <f>I11*I7</f>
        <v>129.83849999999998</v>
      </c>
      <c r="T11" s="221">
        <f>'[21]HT-DOCENTE'!J12</f>
        <v>0</v>
      </c>
      <c r="U11" s="221">
        <f t="shared" si="2"/>
        <v>8922.1484999999993</v>
      </c>
      <c r="V11" s="222">
        <f>IF('[21]Calculo ISR '!$BF$34&lt;0,0,'[21]Calculo ISR '!$BF$34)</f>
        <v>1261.6158876000002</v>
      </c>
      <c r="W11" s="223">
        <f>I11*T6</f>
        <v>681.65212499999984</v>
      </c>
      <c r="X11" s="223">
        <f>'[21]HT-DOCENTE'!P12</f>
        <v>0</v>
      </c>
      <c r="Y11" s="223">
        <f>I11*Z6</f>
        <v>64.919249999999991</v>
      </c>
      <c r="Z11" s="223">
        <f>'[21]HT-DOCENTE'!R12</f>
        <v>0</v>
      </c>
      <c r="AA11" s="223"/>
      <c r="AB11" s="221">
        <f t="shared" ref="AB11:AB22" si="6">V11+W11+X11+Y11+AA11+Z11</f>
        <v>2008.1872625999999</v>
      </c>
      <c r="AC11" s="223">
        <f>IF('[21]Calculo ISR '!$BF$34&gt;0,0,('[21]Calculo ISR '!$BF$34)*-1)</f>
        <v>0</v>
      </c>
      <c r="AD11" s="221">
        <f t="shared" si="3"/>
        <v>5212.0012373999989</v>
      </c>
      <c r="AE11" s="221">
        <f t="shared" ref="AE11:AE38" si="7">J11+K11</f>
        <v>1701.96</v>
      </c>
      <c r="AF11" s="224"/>
      <c r="AG11" s="225"/>
    </row>
    <row r="12" spans="1:33" s="111" customFormat="1" ht="45" customHeight="1">
      <c r="A12" s="217" t="s">
        <v>36</v>
      </c>
      <c r="B12" s="218" t="s">
        <v>37</v>
      </c>
      <c r="C12" s="219">
        <v>6.5</v>
      </c>
      <c r="D12" s="219">
        <v>7.5</v>
      </c>
      <c r="E12" s="220">
        <v>315.89999999999998</v>
      </c>
      <c r="F12" s="220">
        <v>360.15</v>
      </c>
      <c r="G12" s="220">
        <f t="shared" si="0"/>
        <v>2053.35</v>
      </c>
      <c r="H12" s="220">
        <f t="shared" si="0"/>
        <v>2701.125</v>
      </c>
      <c r="I12" s="221">
        <f t="shared" si="1"/>
        <v>4754.4750000000004</v>
      </c>
      <c r="J12" s="221">
        <f>(C12+D12)*23.28</f>
        <v>325.92</v>
      </c>
      <c r="K12" s="221">
        <v>848</v>
      </c>
      <c r="L12" s="221">
        <f t="shared" si="4"/>
        <v>78.325000000000003</v>
      </c>
      <c r="M12" s="221">
        <f t="shared" si="5"/>
        <v>98.625</v>
      </c>
      <c r="N12" s="221">
        <v>101.20000000000002</v>
      </c>
      <c r="O12" s="221">
        <v>144</v>
      </c>
      <c r="P12" s="221">
        <f>(C12+D12)*E7</f>
        <v>365.12</v>
      </c>
      <c r="Q12" s="221">
        <v>801.3599999999999</v>
      </c>
      <c r="R12" s="221">
        <v>0</v>
      </c>
      <c r="S12" s="221">
        <f>I12*I7</f>
        <v>95.089500000000015</v>
      </c>
      <c r="T12" s="221">
        <f>'[21]HT-DOCENTE'!J13</f>
        <v>0</v>
      </c>
      <c r="U12" s="221">
        <f t="shared" si="2"/>
        <v>7612.1144999999997</v>
      </c>
      <c r="V12" s="222">
        <f>IF('[21]Calculo ISR '!$BG$34&lt;0,0,'[21]Calculo ISR '!$BG$34)</f>
        <v>1009.1419691999999</v>
      </c>
      <c r="W12" s="223">
        <f>I12*T6</f>
        <v>499.219875</v>
      </c>
      <c r="X12" s="223">
        <v>1431</v>
      </c>
      <c r="Y12" s="223">
        <f>I12*Z6</f>
        <v>47.544750000000008</v>
      </c>
      <c r="Z12" s="223">
        <f>'[21]HT-DOCENTE'!R13</f>
        <v>0</v>
      </c>
      <c r="AA12" s="223"/>
      <c r="AB12" s="221">
        <f t="shared" si="6"/>
        <v>2986.9065941999997</v>
      </c>
      <c r="AC12" s="223">
        <f>IF('[21]Calculo ISR '!$BG$34&gt;0,0,('[21]Calculo ISR '!$BG$34)*-1)</f>
        <v>0</v>
      </c>
      <c r="AD12" s="221">
        <f t="shared" si="3"/>
        <v>3451.2879057999999</v>
      </c>
      <c r="AE12" s="221">
        <f t="shared" si="7"/>
        <v>1173.92</v>
      </c>
      <c r="AF12" s="224"/>
      <c r="AG12" s="225"/>
    </row>
    <row r="13" spans="1:33" s="111" customFormat="1" ht="45" customHeight="1">
      <c r="A13" s="217" t="s">
        <v>38</v>
      </c>
      <c r="B13" s="218" t="s">
        <v>39</v>
      </c>
      <c r="C13" s="219">
        <v>11.5</v>
      </c>
      <c r="D13" s="219">
        <v>7.5</v>
      </c>
      <c r="E13" s="220">
        <v>315.89999999999998</v>
      </c>
      <c r="F13" s="220">
        <v>360.15</v>
      </c>
      <c r="G13" s="220">
        <f t="shared" si="0"/>
        <v>3632.85</v>
      </c>
      <c r="H13" s="220">
        <f t="shared" si="0"/>
        <v>2701.125</v>
      </c>
      <c r="I13" s="221">
        <f t="shared" si="1"/>
        <v>6333.9750000000004</v>
      </c>
      <c r="J13" s="221">
        <f t="shared" ref="J13:J38" si="8">(C13+D13)*23.28</f>
        <v>442.32000000000005</v>
      </c>
      <c r="K13" s="221">
        <v>1192</v>
      </c>
      <c r="L13" s="221">
        <f t="shared" si="4"/>
        <v>138.57500000000002</v>
      </c>
      <c r="M13" s="221">
        <f t="shared" si="5"/>
        <v>98.625</v>
      </c>
      <c r="N13" s="221">
        <v>195.8</v>
      </c>
      <c r="O13" s="221">
        <v>144</v>
      </c>
      <c r="P13" s="221">
        <f>(C13+D13)*E7</f>
        <v>495.52</v>
      </c>
      <c r="Q13" s="221">
        <v>1126.44</v>
      </c>
      <c r="R13" s="221">
        <v>0</v>
      </c>
      <c r="S13" s="221"/>
      <c r="T13" s="221">
        <f>'[21]HT-DOCENTE'!J14</f>
        <v>0</v>
      </c>
      <c r="U13" s="221">
        <f t="shared" si="2"/>
        <v>10167.254999999999</v>
      </c>
      <c r="V13" s="222">
        <f>IF('[21]Calculo ISR '!$BH$34&lt;0,0,'[21]Calculo ISR '!$BH$34)</f>
        <v>1530.0569399999999</v>
      </c>
      <c r="W13" s="223">
        <f>I13*T6</f>
        <v>665.06737499999997</v>
      </c>
      <c r="X13" s="223">
        <v>1655</v>
      </c>
      <c r="Y13" s="223">
        <f>I13*Z6</f>
        <v>63.339750000000002</v>
      </c>
      <c r="Z13" s="223">
        <f>'[21]HT-DOCENTE'!R14</f>
        <v>0</v>
      </c>
      <c r="AA13" s="223"/>
      <c r="AB13" s="221">
        <f t="shared" si="6"/>
        <v>3913.4640650000001</v>
      </c>
      <c r="AC13" s="223">
        <f>IF('[21]Calculo ISR '!$BH$34&gt;0,0,('[21]Calculo ISR '!$BH$34)*-1)</f>
        <v>0</v>
      </c>
      <c r="AD13" s="221">
        <f t="shared" si="3"/>
        <v>4619.4709349999994</v>
      </c>
      <c r="AE13" s="221">
        <f t="shared" si="7"/>
        <v>1634.3200000000002</v>
      </c>
      <c r="AF13" s="224"/>
      <c r="AG13" s="225"/>
    </row>
    <row r="14" spans="1:33" s="111" customFormat="1" ht="45" customHeight="1">
      <c r="A14" s="217" t="s">
        <v>40</v>
      </c>
      <c r="B14" s="218" t="s">
        <v>41</v>
      </c>
      <c r="C14" s="219">
        <v>18.5</v>
      </c>
      <c r="D14" s="219">
        <v>0</v>
      </c>
      <c r="E14" s="220">
        <v>315.89999999999998</v>
      </c>
      <c r="F14" s="220">
        <v>360.15</v>
      </c>
      <c r="G14" s="220">
        <f t="shared" si="0"/>
        <v>5844.15</v>
      </c>
      <c r="H14" s="220">
        <f t="shared" si="0"/>
        <v>0</v>
      </c>
      <c r="I14" s="221">
        <f t="shared" si="1"/>
        <v>5844.15</v>
      </c>
      <c r="J14" s="221">
        <f t="shared" si="8"/>
        <v>430.68</v>
      </c>
      <c r="K14" s="221">
        <v>1232</v>
      </c>
      <c r="L14" s="221">
        <f t="shared" si="4"/>
        <v>222.92500000000001</v>
      </c>
      <c r="M14" s="221">
        <f t="shared" si="5"/>
        <v>0</v>
      </c>
      <c r="N14" s="221">
        <v>338.80000000000007</v>
      </c>
      <c r="O14" s="221">
        <v>0</v>
      </c>
      <c r="P14" s="221">
        <f>(C14+D14)*E7</f>
        <v>482.47999999999996</v>
      </c>
      <c r="Q14" s="221">
        <v>1164.24</v>
      </c>
      <c r="R14" s="221">
        <v>0</v>
      </c>
      <c r="S14" s="221"/>
      <c r="T14" s="221">
        <f>'[21]HT-DOCENTE'!J15</f>
        <v>0</v>
      </c>
      <c r="U14" s="221">
        <f t="shared" si="2"/>
        <v>9715.2749999999996</v>
      </c>
      <c r="V14" s="222">
        <f>IF('[21]Calculo ISR '!$BI$34&lt;0,0,'[21]Calculo ISR '!$BI$34)</f>
        <v>1436.0003160000001</v>
      </c>
      <c r="W14" s="223">
        <f>I14*T6</f>
        <v>613.63574999999992</v>
      </c>
      <c r="X14" s="223">
        <f>'[21]HT-DOCENTE'!P15</f>
        <v>0</v>
      </c>
      <c r="Y14" s="223">
        <f>I14*Z6</f>
        <v>58.441499999999998</v>
      </c>
      <c r="Z14" s="223">
        <v>0</v>
      </c>
      <c r="AA14" s="223"/>
      <c r="AB14" s="221">
        <f t="shared" si="6"/>
        <v>2108.0775659999999</v>
      </c>
      <c r="AC14" s="223">
        <f>IF('[21]Calculo ISR '!$BI$34&gt;0,0,('[21]Calculo ISR '!$BI$34)*-1)</f>
        <v>0</v>
      </c>
      <c r="AD14" s="221">
        <f t="shared" si="3"/>
        <v>5944.5174339999994</v>
      </c>
      <c r="AE14" s="221">
        <f t="shared" si="7"/>
        <v>1662.68</v>
      </c>
      <c r="AF14" s="224"/>
      <c r="AG14" s="225"/>
    </row>
    <row r="15" spans="1:33" s="111" customFormat="1" ht="45" customHeight="1">
      <c r="A15" s="217" t="s">
        <v>42</v>
      </c>
      <c r="B15" s="218" t="s">
        <v>43</v>
      </c>
      <c r="C15" s="219">
        <v>2.5</v>
      </c>
      <c r="D15" s="219">
        <v>0</v>
      </c>
      <c r="E15" s="220">
        <v>315.89999999999998</v>
      </c>
      <c r="F15" s="220">
        <v>360.15</v>
      </c>
      <c r="G15" s="220">
        <f t="shared" si="0"/>
        <v>789.75</v>
      </c>
      <c r="H15" s="220">
        <f t="shared" si="0"/>
        <v>0</v>
      </c>
      <c r="I15" s="221">
        <f t="shared" si="1"/>
        <v>789.75</v>
      </c>
      <c r="J15" s="221">
        <f t="shared" si="8"/>
        <v>58.2</v>
      </c>
      <c r="K15" s="221">
        <v>136</v>
      </c>
      <c r="L15" s="221">
        <f t="shared" si="4"/>
        <v>30.125</v>
      </c>
      <c r="M15" s="221">
        <f t="shared" si="5"/>
        <v>0</v>
      </c>
      <c r="N15" s="221">
        <v>37.400000000000006</v>
      </c>
      <c r="O15" s="221">
        <v>0</v>
      </c>
      <c r="P15" s="221">
        <f>(C15+D15)*E7*2</f>
        <v>130.39999999999998</v>
      </c>
      <c r="Q15" s="221">
        <v>257.03999999999996</v>
      </c>
      <c r="R15" s="221">
        <v>13.425000000000001</v>
      </c>
      <c r="S15" s="221"/>
      <c r="T15" s="221">
        <f>'[21]HT-DOCENTE'!J16</f>
        <v>0</v>
      </c>
      <c r="U15" s="221">
        <f t="shared" si="2"/>
        <v>1452.34</v>
      </c>
      <c r="V15" s="222">
        <f>IF('[21]Calculo ISR '!$BJ$34&lt;0,0,'[21]Calculo ISR '!$BJ$34)</f>
        <v>0</v>
      </c>
      <c r="W15" s="223">
        <f>I15*T6</f>
        <v>82.923749999999998</v>
      </c>
      <c r="X15" s="223">
        <v>0</v>
      </c>
      <c r="Y15" s="223">
        <f>I15*Z6</f>
        <v>7.8975</v>
      </c>
      <c r="Z15" s="223">
        <f>'[21]HT-DOCENTE'!R16</f>
        <v>0</v>
      </c>
      <c r="AA15" s="223"/>
      <c r="AB15" s="221">
        <f t="shared" si="6"/>
        <v>90.821249999999992</v>
      </c>
      <c r="AC15" s="223">
        <f>IF('[21]Calculo ISR '!$BJ$34&gt;0,0,('[21]Calculo ISR '!$BJ$34)*-1)</f>
        <v>122.49287999999999</v>
      </c>
      <c r="AD15" s="221">
        <f t="shared" si="3"/>
        <v>1289.8116299999999</v>
      </c>
      <c r="AE15" s="221">
        <f t="shared" si="7"/>
        <v>194.2</v>
      </c>
      <c r="AF15" s="224"/>
      <c r="AG15" s="225"/>
    </row>
    <row r="16" spans="1:33" s="111" customFormat="1" ht="45" customHeight="1">
      <c r="A16" s="217" t="s">
        <v>44</v>
      </c>
      <c r="B16" s="218" t="s">
        <v>45</v>
      </c>
      <c r="C16" s="226">
        <v>9.5</v>
      </c>
      <c r="D16" s="226">
        <v>7.5</v>
      </c>
      <c r="E16" s="220">
        <v>315.89999999999998</v>
      </c>
      <c r="F16" s="220">
        <v>360.15</v>
      </c>
      <c r="G16" s="220">
        <f t="shared" si="0"/>
        <v>3001.0499999999997</v>
      </c>
      <c r="H16" s="220">
        <f t="shared" si="0"/>
        <v>2701.125</v>
      </c>
      <c r="I16" s="221">
        <f t="shared" si="1"/>
        <v>5702.1749999999993</v>
      </c>
      <c r="J16" s="221">
        <f t="shared" si="8"/>
        <v>395.76</v>
      </c>
      <c r="K16" s="221">
        <v>1160</v>
      </c>
      <c r="L16" s="221">
        <f t="shared" si="4"/>
        <v>114.47500000000001</v>
      </c>
      <c r="M16" s="221">
        <f t="shared" si="5"/>
        <v>98.625</v>
      </c>
      <c r="N16" s="221">
        <v>187.00000000000003</v>
      </c>
      <c r="O16" s="221">
        <v>144</v>
      </c>
      <c r="P16" s="221"/>
      <c r="Q16" s="221">
        <v>0</v>
      </c>
      <c r="R16" s="221">
        <v>0</v>
      </c>
      <c r="S16" s="221"/>
      <c r="T16" s="221">
        <f>'[21]HT-DOCENTE'!J17</f>
        <v>0</v>
      </c>
      <c r="U16" s="221">
        <f t="shared" si="2"/>
        <v>7802.0349999999999</v>
      </c>
      <c r="V16" s="222">
        <f>IF('[21]Calculo ISR '!$BK$34&lt;0,0,'[21]Calculo ISR '!$BK$34)</f>
        <v>1034.791164</v>
      </c>
      <c r="W16" s="223">
        <f>I16*T6</f>
        <v>598.72837499999991</v>
      </c>
      <c r="X16" s="223">
        <f>'[21]HT-DOCENTE'!P17</f>
        <v>0</v>
      </c>
      <c r="Y16" s="223">
        <f>I16*Z6</f>
        <v>57.021749999999997</v>
      </c>
      <c r="Z16" s="223">
        <f>'[21]HT-DOCENTE'!R17</f>
        <v>0</v>
      </c>
      <c r="AA16" s="223"/>
      <c r="AB16" s="221">
        <f t="shared" si="6"/>
        <v>1690.5412889999998</v>
      </c>
      <c r="AC16" s="223">
        <f>IF('[21]Calculo ISR '!$BK$34&gt;0,0,('[21]Calculo ISR '!$BK$34)*-1)</f>
        <v>0</v>
      </c>
      <c r="AD16" s="221">
        <f t="shared" si="3"/>
        <v>4555.7337109999999</v>
      </c>
      <c r="AE16" s="221">
        <f t="shared" si="7"/>
        <v>1555.76</v>
      </c>
      <c r="AF16" s="224"/>
      <c r="AG16" s="225"/>
    </row>
    <row r="17" spans="1:34" s="111" customFormat="1" ht="45" customHeight="1">
      <c r="A17" s="217" t="s">
        <v>48</v>
      </c>
      <c r="B17" s="218" t="s">
        <v>49</v>
      </c>
      <c r="C17" s="226">
        <v>18</v>
      </c>
      <c r="D17" s="226">
        <v>0</v>
      </c>
      <c r="E17" s="220">
        <v>315.89999999999998</v>
      </c>
      <c r="F17" s="220">
        <v>360.15</v>
      </c>
      <c r="G17" s="220">
        <f t="shared" si="0"/>
        <v>5686.2</v>
      </c>
      <c r="H17" s="220">
        <f t="shared" si="0"/>
        <v>0</v>
      </c>
      <c r="I17" s="221">
        <f t="shared" si="1"/>
        <v>5686.2</v>
      </c>
      <c r="J17" s="221">
        <f t="shared" si="8"/>
        <v>419.04</v>
      </c>
      <c r="K17" s="221">
        <v>1224</v>
      </c>
      <c r="L17" s="221">
        <f t="shared" si="4"/>
        <v>216.9</v>
      </c>
      <c r="M17" s="221">
        <f t="shared" si="5"/>
        <v>0</v>
      </c>
      <c r="N17" s="221">
        <v>336.6</v>
      </c>
      <c r="O17" s="221">
        <v>0</v>
      </c>
      <c r="P17" s="221"/>
      <c r="Q17" s="221">
        <v>0</v>
      </c>
      <c r="R17" s="221">
        <v>0</v>
      </c>
      <c r="S17" s="221"/>
      <c r="T17" s="221">
        <v>0</v>
      </c>
      <c r="U17" s="221">
        <f t="shared" si="2"/>
        <v>7882.74</v>
      </c>
      <c r="V17" s="222">
        <f>IF('[21]Calculo ISR '!$BM$34&lt;0,0,'[21]Calculo ISR '!$BM$34)</f>
        <v>1047.0571440000001</v>
      </c>
      <c r="W17" s="223">
        <f>I17*T6</f>
        <v>597.05099999999993</v>
      </c>
      <c r="X17" s="223">
        <f>'[21]HT-DOCENTE'!P19</f>
        <v>0</v>
      </c>
      <c r="Y17" s="223">
        <f>I17*Z6</f>
        <v>56.862000000000002</v>
      </c>
      <c r="Z17" s="223">
        <f>'[21]HT-DOCENTE'!R19</f>
        <v>0</v>
      </c>
      <c r="AA17" s="223"/>
      <c r="AB17" s="221">
        <f t="shared" si="6"/>
        <v>1700.9701440000001</v>
      </c>
      <c r="AC17" s="223">
        <f>IF('[21]Calculo ISR '!$BM$34&gt;0,0,('[21]Calculo ISR '!$BM$34)*-1)</f>
        <v>0</v>
      </c>
      <c r="AD17" s="221">
        <f t="shared" si="3"/>
        <v>4538.7298559999999</v>
      </c>
      <c r="AE17" s="221">
        <f t="shared" si="7"/>
        <v>1643.04</v>
      </c>
      <c r="AF17" s="224"/>
      <c r="AG17" s="225"/>
    </row>
    <row r="18" spans="1:34" s="111" customFormat="1" ht="45" customHeight="1">
      <c r="A18" s="217" t="s">
        <v>50</v>
      </c>
      <c r="B18" s="218" t="s">
        <v>51</v>
      </c>
      <c r="C18" s="226">
        <v>10.5</v>
      </c>
      <c r="D18" s="226">
        <v>7.5</v>
      </c>
      <c r="E18" s="220">
        <v>315.89999999999998</v>
      </c>
      <c r="F18" s="220">
        <v>360.15</v>
      </c>
      <c r="G18" s="220">
        <f t="shared" si="0"/>
        <v>3316.95</v>
      </c>
      <c r="H18" s="220">
        <f t="shared" si="0"/>
        <v>2701.125</v>
      </c>
      <c r="I18" s="221">
        <f t="shared" si="1"/>
        <v>6018.0749999999998</v>
      </c>
      <c r="J18" s="221">
        <f t="shared" si="8"/>
        <v>419.04</v>
      </c>
      <c r="K18" s="221">
        <v>1176</v>
      </c>
      <c r="L18" s="221">
        <f t="shared" si="4"/>
        <v>126.52500000000001</v>
      </c>
      <c r="M18" s="221">
        <f t="shared" si="5"/>
        <v>98.625</v>
      </c>
      <c r="N18" s="221">
        <v>290.40000000000003</v>
      </c>
      <c r="O18" s="221">
        <v>36</v>
      </c>
      <c r="P18" s="221"/>
      <c r="Q18" s="221">
        <v>0</v>
      </c>
      <c r="R18" s="221">
        <v>0</v>
      </c>
      <c r="S18" s="221"/>
      <c r="T18" s="221">
        <v>0</v>
      </c>
      <c r="U18" s="221">
        <f t="shared" si="2"/>
        <v>8164.6649999999991</v>
      </c>
      <c r="V18" s="222">
        <f>IF('[21]Calculo ISR '!$BN$34&lt;0,0,'[21]Calculo ISR '!$BN$34)</f>
        <v>1107.2763239999999</v>
      </c>
      <c r="W18" s="223">
        <f>I18*T6</f>
        <v>631.897875</v>
      </c>
      <c r="X18" s="223">
        <v>1570</v>
      </c>
      <c r="Y18" s="223">
        <f>I18*Z6</f>
        <v>60.180749999999996</v>
      </c>
      <c r="Z18" s="223"/>
      <c r="AA18" s="223"/>
      <c r="AB18" s="221">
        <f t="shared" si="6"/>
        <v>3369.354949</v>
      </c>
      <c r="AC18" s="223">
        <f>IF('[21]Calculo ISR '!$BN$34&gt;0,0,('[21]Calculo ISR '!$BN$34)*-1)</f>
        <v>0</v>
      </c>
      <c r="AD18" s="221">
        <f t="shared" si="3"/>
        <v>3200.2700509999986</v>
      </c>
      <c r="AE18" s="221">
        <f t="shared" si="7"/>
        <v>1595.04</v>
      </c>
      <c r="AF18" s="224"/>
      <c r="AG18" s="225"/>
    </row>
    <row r="19" spans="1:34" s="111" customFormat="1" ht="45" customHeight="1">
      <c r="A19" s="217" t="s">
        <v>52</v>
      </c>
      <c r="B19" s="218" t="s">
        <v>53</v>
      </c>
      <c r="C19" s="226">
        <v>12</v>
      </c>
      <c r="D19" s="226">
        <v>7.5</v>
      </c>
      <c r="E19" s="220">
        <v>315.89999999999998</v>
      </c>
      <c r="F19" s="220">
        <v>360.15</v>
      </c>
      <c r="G19" s="220">
        <f t="shared" si="0"/>
        <v>3790.7999999999997</v>
      </c>
      <c r="H19" s="220">
        <f t="shared" si="0"/>
        <v>2701.125</v>
      </c>
      <c r="I19" s="221">
        <f t="shared" si="1"/>
        <v>6491.9249999999993</v>
      </c>
      <c r="J19" s="221">
        <f t="shared" si="8"/>
        <v>453.96000000000004</v>
      </c>
      <c r="K19" s="221">
        <v>1248</v>
      </c>
      <c r="L19" s="221">
        <f t="shared" si="4"/>
        <v>144.60000000000002</v>
      </c>
      <c r="M19" s="221">
        <f t="shared" si="5"/>
        <v>98.625</v>
      </c>
      <c r="N19" s="221">
        <v>310.20000000000005</v>
      </c>
      <c r="O19" s="221">
        <v>36</v>
      </c>
      <c r="P19" s="221"/>
      <c r="Q19" s="221">
        <v>0</v>
      </c>
      <c r="R19" s="221">
        <v>412.91</v>
      </c>
      <c r="S19" s="221"/>
      <c r="T19" s="221">
        <v>0</v>
      </c>
      <c r="U19" s="221">
        <f t="shared" si="2"/>
        <v>9196.2199999999993</v>
      </c>
      <c r="V19" s="222">
        <f>IF('[21]Calculo ISR '!$BO$34&lt;0,0,'[21]Calculo ISR '!$BO$34)</f>
        <v>1320.1575599999996</v>
      </c>
      <c r="W19" s="223">
        <f>I19*T6</f>
        <v>681.65212499999984</v>
      </c>
      <c r="X19" s="223">
        <f>'[21]HT-DOCENTE'!P21</f>
        <v>0</v>
      </c>
      <c r="Y19" s="223">
        <f>I19*Z6</f>
        <v>64.919249999999991</v>
      </c>
      <c r="Z19" s="223"/>
      <c r="AA19" s="223"/>
      <c r="AB19" s="221">
        <f t="shared" si="6"/>
        <v>2066.7289349999996</v>
      </c>
      <c r="AC19" s="223">
        <f>IF('[21]Calculo ISR '!$BO$34&gt;0,0,('[21]Calculo ISR '!$BO$34)*-1)</f>
        <v>0</v>
      </c>
      <c r="AD19" s="221">
        <f t="shared" si="3"/>
        <v>5427.5310650000001</v>
      </c>
      <c r="AE19" s="221">
        <f t="shared" si="7"/>
        <v>1701.96</v>
      </c>
      <c r="AF19" s="224"/>
      <c r="AG19" s="225"/>
    </row>
    <row r="20" spans="1:34" s="111" customFormat="1" ht="45" customHeight="1">
      <c r="A20" s="217" t="s">
        <v>54</v>
      </c>
      <c r="B20" s="218" t="s">
        <v>55</v>
      </c>
      <c r="C20" s="226">
        <v>11</v>
      </c>
      <c r="D20" s="226">
        <v>7.5</v>
      </c>
      <c r="E20" s="220">
        <v>315.89999999999998</v>
      </c>
      <c r="F20" s="220">
        <v>360.15</v>
      </c>
      <c r="G20" s="220">
        <f t="shared" si="0"/>
        <v>3474.8999999999996</v>
      </c>
      <c r="H20" s="220">
        <f t="shared" si="0"/>
        <v>2701.125</v>
      </c>
      <c r="I20" s="221">
        <f t="shared" si="1"/>
        <v>6176.0249999999996</v>
      </c>
      <c r="J20" s="221">
        <f t="shared" si="8"/>
        <v>430.68</v>
      </c>
      <c r="K20" s="221">
        <v>1232</v>
      </c>
      <c r="L20" s="221">
        <f t="shared" si="4"/>
        <v>132.55000000000001</v>
      </c>
      <c r="M20" s="221">
        <f t="shared" si="5"/>
        <v>98.625</v>
      </c>
      <c r="N20" s="221">
        <v>305.80000000000007</v>
      </c>
      <c r="O20" s="221">
        <v>36</v>
      </c>
      <c r="P20" s="221"/>
      <c r="Q20" s="221">
        <v>0</v>
      </c>
      <c r="R20" s="221">
        <v>0</v>
      </c>
      <c r="S20" s="221"/>
      <c r="T20" s="221">
        <v>0</v>
      </c>
      <c r="U20" s="221">
        <f t="shared" si="2"/>
        <v>8411.68</v>
      </c>
      <c r="V20" s="222">
        <f>IF('[21]Calculo ISR '!$BP$34&lt;0,0,'[21]Calculo ISR '!$BP$34)</f>
        <v>1157.552424</v>
      </c>
      <c r="W20" s="223">
        <f>I20*T6</f>
        <v>648.48262499999998</v>
      </c>
      <c r="X20" s="223">
        <v>1324</v>
      </c>
      <c r="Y20" s="223">
        <f>I20*Z6</f>
        <v>61.760249999999999</v>
      </c>
      <c r="Z20" s="223">
        <f>'[21]HT-DOCENTE'!R22</f>
        <v>0</v>
      </c>
      <c r="AA20" s="223"/>
      <c r="AB20" s="221">
        <f t="shared" si="6"/>
        <v>3191.7952989999999</v>
      </c>
      <c r="AC20" s="223">
        <f>IF('[21]Calculo ISR '!$BP$34&gt;0,0,('[21]Calculo ISR '!$BP$34)*-1)</f>
        <v>0</v>
      </c>
      <c r="AD20" s="221">
        <f t="shared" si="3"/>
        <v>3557.2047010000006</v>
      </c>
      <c r="AE20" s="221">
        <f t="shared" si="7"/>
        <v>1662.68</v>
      </c>
      <c r="AF20" s="224"/>
      <c r="AG20" s="225"/>
    </row>
    <row r="21" spans="1:34" s="111" customFormat="1" ht="45" customHeight="1">
      <c r="A21" s="217" t="s">
        <v>56</v>
      </c>
      <c r="B21" s="218" t="s">
        <v>57</v>
      </c>
      <c r="C21" s="226">
        <v>11.5</v>
      </c>
      <c r="D21" s="226">
        <v>7.5</v>
      </c>
      <c r="E21" s="220">
        <v>315.89999999999998</v>
      </c>
      <c r="F21" s="220">
        <v>360.15</v>
      </c>
      <c r="G21" s="220">
        <f t="shared" si="0"/>
        <v>3632.85</v>
      </c>
      <c r="H21" s="220">
        <f>D21*F21</f>
        <v>2701.125</v>
      </c>
      <c r="I21" s="221">
        <f t="shared" si="1"/>
        <v>6333.9750000000004</v>
      </c>
      <c r="J21" s="221">
        <f t="shared" si="8"/>
        <v>442.32000000000005</v>
      </c>
      <c r="K21" s="221">
        <v>1216</v>
      </c>
      <c r="L21" s="221">
        <f t="shared" si="4"/>
        <v>138.57500000000002</v>
      </c>
      <c r="M21" s="221">
        <f t="shared" si="5"/>
        <v>98.625</v>
      </c>
      <c r="N21" s="221">
        <v>301.40000000000003</v>
      </c>
      <c r="O21" s="221">
        <v>36</v>
      </c>
      <c r="P21" s="221">
        <f>(C21+D21)*E7</f>
        <v>495.52</v>
      </c>
      <c r="Q21" s="221">
        <v>1149.1199999999999</v>
      </c>
      <c r="R21" s="221">
        <v>0</v>
      </c>
      <c r="S21" s="221"/>
      <c r="T21" s="221">
        <v>0</v>
      </c>
      <c r="U21" s="221">
        <f t="shared" si="2"/>
        <v>10211.535</v>
      </c>
      <c r="V21" s="222">
        <f>IF('[21]Calculo ISR '!$BQ$34&lt;0,0,'[21]Calculo ISR '!$BQ$34)</f>
        <v>1539.5151480000002</v>
      </c>
      <c r="W21" s="223">
        <f>I21*T6</f>
        <v>665.06737499999997</v>
      </c>
      <c r="X21" s="223">
        <f>'[21]HT-DOCENTE'!P23</f>
        <v>0</v>
      </c>
      <c r="Y21" s="223">
        <f>I21*Z6</f>
        <v>63.339750000000002</v>
      </c>
      <c r="Z21" s="223">
        <f>'[21]HT-DOCENTE'!R23</f>
        <v>0</v>
      </c>
      <c r="AA21" s="227"/>
      <c r="AB21" s="221">
        <f t="shared" si="6"/>
        <v>2267.9222730000001</v>
      </c>
      <c r="AC21" s="223">
        <f>IF('[21]Calculo ISR '!$BQ$34&gt;0,0,('[21]Calculo ISR '!$BQ$34)*-1)</f>
        <v>0</v>
      </c>
      <c r="AD21" s="221">
        <f t="shared" si="3"/>
        <v>6285.292727</v>
      </c>
      <c r="AE21" s="221">
        <f t="shared" si="7"/>
        <v>1658.3200000000002</v>
      </c>
      <c r="AF21" s="224"/>
      <c r="AG21" s="225"/>
    </row>
    <row r="22" spans="1:34" s="111" customFormat="1" ht="45" customHeight="1">
      <c r="A22" s="217" t="s">
        <v>58</v>
      </c>
      <c r="B22" s="218" t="s">
        <v>59</v>
      </c>
      <c r="C22" s="226">
        <v>11</v>
      </c>
      <c r="D22" s="226">
        <v>0</v>
      </c>
      <c r="E22" s="220">
        <v>315.89999999999998</v>
      </c>
      <c r="F22" s="220">
        <v>360.15</v>
      </c>
      <c r="G22" s="220">
        <f t="shared" si="0"/>
        <v>3474.8999999999996</v>
      </c>
      <c r="H22" s="220">
        <f t="shared" si="0"/>
        <v>0</v>
      </c>
      <c r="I22" s="221">
        <f t="shared" si="1"/>
        <v>3474.8999999999996</v>
      </c>
      <c r="J22" s="221">
        <f t="shared" si="8"/>
        <v>256.08000000000004</v>
      </c>
      <c r="K22" s="221">
        <v>704</v>
      </c>
      <c r="L22" s="221">
        <f t="shared" si="4"/>
        <v>132.55000000000001</v>
      </c>
      <c r="M22" s="221">
        <f t="shared" si="5"/>
        <v>0</v>
      </c>
      <c r="N22" s="221">
        <v>193.60000000000002</v>
      </c>
      <c r="O22" s="221">
        <v>0</v>
      </c>
      <c r="P22" s="221"/>
      <c r="Q22" s="221">
        <v>0</v>
      </c>
      <c r="R22" s="221">
        <v>0</v>
      </c>
      <c r="S22" s="221"/>
      <c r="T22" s="221"/>
      <c r="U22" s="221">
        <f t="shared" si="2"/>
        <v>4761.13</v>
      </c>
      <c r="V22" s="222">
        <f>IF('[21]Calculo ISR '!$BR$34&lt;0,0,'[21]Calculo ISR '!$BR$34)</f>
        <v>434.81044800000012</v>
      </c>
      <c r="W22" s="223">
        <f>I22*T6</f>
        <v>364.86449999999996</v>
      </c>
      <c r="X22" s="223">
        <v>0</v>
      </c>
      <c r="Y22" s="223">
        <f>I22*Z6</f>
        <v>34.748999999999995</v>
      </c>
      <c r="Z22" s="223"/>
      <c r="AA22" s="223"/>
      <c r="AB22" s="221">
        <f t="shared" si="6"/>
        <v>834.42394800000011</v>
      </c>
      <c r="AC22" s="223">
        <f>IF('[21]Calculo ISR '!$BR$34&gt;0,0,('[21]Calculo ISR '!$BR$34)*-1)</f>
        <v>0</v>
      </c>
      <c r="AD22" s="221">
        <f t="shared" si="3"/>
        <v>2966.6260520000001</v>
      </c>
      <c r="AE22" s="221">
        <f t="shared" si="7"/>
        <v>960.08</v>
      </c>
      <c r="AF22" s="224"/>
      <c r="AG22" s="225"/>
    </row>
    <row r="23" spans="1:34" s="111" customFormat="1" ht="45" customHeight="1">
      <c r="A23" s="217" t="s">
        <v>60</v>
      </c>
      <c r="B23" s="218" t="s">
        <v>100</v>
      </c>
      <c r="C23" s="226">
        <v>16</v>
      </c>
      <c r="D23" s="226">
        <v>0</v>
      </c>
      <c r="E23" s="220">
        <v>315.89999999999998</v>
      </c>
      <c r="F23" s="220">
        <v>360.15</v>
      </c>
      <c r="G23" s="220">
        <f t="shared" si="0"/>
        <v>5054.3999999999996</v>
      </c>
      <c r="H23" s="220">
        <f t="shared" si="0"/>
        <v>0</v>
      </c>
      <c r="I23" s="221">
        <f t="shared" si="1"/>
        <v>5054.3999999999996</v>
      </c>
      <c r="J23" s="221">
        <f t="shared" si="8"/>
        <v>372.48</v>
      </c>
      <c r="K23" s="221">
        <v>1144</v>
      </c>
      <c r="L23" s="221">
        <f t="shared" si="4"/>
        <v>192.8</v>
      </c>
      <c r="M23" s="221">
        <f t="shared" si="5"/>
        <v>0</v>
      </c>
      <c r="N23" s="221">
        <v>314.60000000000002</v>
      </c>
      <c r="O23" s="221">
        <v>0</v>
      </c>
      <c r="P23" s="221"/>
      <c r="Q23" s="221">
        <v>0</v>
      </c>
      <c r="R23" s="221">
        <v>0</v>
      </c>
      <c r="S23" s="221"/>
      <c r="T23" s="221"/>
      <c r="U23" s="221">
        <f t="shared" si="2"/>
        <v>7078.28</v>
      </c>
      <c r="V23" s="222">
        <f>IF('[21]Calculo ISR '!$BS$34&lt;0,0,'[21]Calculo ISR '!$BS$34)</f>
        <v>885.16970399999991</v>
      </c>
      <c r="W23" s="223">
        <f>I23*T6</f>
        <v>530.71199999999999</v>
      </c>
      <c r="X23" s="223"/>
      <c r="Y23" s="223"/>
      <c r="Z23" s="223"/>
      <c r="AA23" s="223"/>
      <c r="AB23" s="221">
        <f t="shared" ref="AB23:AB38" si="9">V23+W23+X23+Y23+Z23+AA23</f>
        <v>1415.8817039999999</v>
      </c>
      <c r="AC23" s="223">
        <f>IF('[21]Calculo ISR '!$BS$34&gt;0,0,('[21]Calculo ISR '!$BS$34)*-1)</f>
        <v>0</v>
      </c>
      <c r="AD23" s="221">
        <f t="shared" si="3"/>
        <v>4145.9182959999998</v>
      </c>
      <c r="AE23" s="221">
        <f t="shared" si="7"/>
        <v>1516.48</v>
      </c>
      <c r="AF23" s="224"/>
      <c r="AG23" s="225"/>
    </row>
    <row r="24" spans="1:34" s="111" customFormat="1" ht="45" customHeight="1">
      <c r="A24" s="217" t="s">
        <v>62</v>
      </c>
      <c r="B24" s="218" t="s">
        <v>63</v>
      </c>
      <c r="C24" s="226">
        <v>18</v>
      </c>
      <c r="D24" s="226">
        <v>0</v>
      </c>
      <c r="E24" s="220">
        <v>315.89999999999998</v>
      </c>
      <c r="F24" s="220">
        <v>360.15</v>
      </c>
      <c r="G24" s="220">
        <f t="shared" si="0"/>
        <v>5686.2</v>
      </c>
      <c r="H24" s="220">
        <f t="shared" si="0"/>
        <v>0</v>
      </c>
      <c r="I24" s="221">
        <f t="shared" si="1"/>
        <v>5686.2</v>
      </c>
      <c r="J24" s="221">
        <f t="shared" si="8"/>
        <v>419.04</v>
      </c>
      <c r="K24" s="221">
        <v>1128</v>
      </c>
      <c r="L24" s="221">
        <f t="shared" si="4"/>
        <v>216.9</v>
      </c>
      <c r="M24" s="221">
        <f t="shared" si="5"/>
        <v>0</v>
      </c>
      <c r="N24" s="221">
        <v>310.2</v>
      </c>
      <c r="O24" s="221">
        <v>0</v>
      </c>
      <c r="P24" s="221"/>
      <c r="Q24" s="221">
        <v>0</v>
      </c>
      <c r="R24" s="221">
        <v>0</v>
      </c>
      <c r="S24" s="221"/>
      <c r="T24" s="221">
        <v>0</v>
      </c>
      <c r="U24" s="221">
        <f t="shared" si="2"/>
        <v>7760.3399999999992</v>
      </c>
      <c r="V24" s="222">
        <f>IF('[21]Calculo ISR '!$BT$34&lt;0,0,'[21]Calculo ISR '!$BT$34)</f>
        <v>1020.9125039999999</v>
      </c>
      <c r="W24" s="223">
        <f>I24*T6</f>
        <v>597.05099999999993</v>
      </c>
      <c r="X24" s="223"/>
      <c r="Y24" s="223">
        <f>I24*Z6</f>
        <v>56.862000000000002</v>
      </c>
      <c r="Z24" s="223"/>
      <c r="AA24" s="223"/>
      <c r="AB24" s="221">
        <f t="shared" si="9"/>
        <v>1674.8255039999999</v>
      </c>
      <c r="AC24" s="223">
        <f>IF('[21]Calculo ISR '!$BT$34&gt;0,0,('[21]Calculo ISR '!$BT$34)*-1)</f>
        <v>0</v>
      </c>
      <c r="AD24" s="221">
        <f t="shared" ref="AD24:AD38" si="10">U24-AB24+AC24-AE24</f>
        <v>4538.4744959999998</v>
      </c>
      <c r="AE24" s="221">
        <f t="shared" si="7"/>
        <v>1547.04</v>
      </c>
      <c r="AF24" s="224"/>
      <c r="AG24" s="225"/>
    </row>
    <row r="25" spans="1:34" s="111" customFormat="1" ht="45" customHeight="1">
      <c r="A25" s="217" t="s">
        <v>64</v>
      </c>
      <c r="B25" s="218" t="s">
        <v>65</v>
      </c>
      <c r="C25" s="226">
        <v>17.5</v>
      </c>
      <c r="D25" s="226">
        <v>0</v>
      </c>
      <c r="E25" s="220">
        <v>315.89999999999998</v>
      </c>
      <c r="F25" s="220">
        <v>360.15</v>
      </c>
      <c r="G25" s="220">
        <f t="shared" si="0"/>
        <v>5528.25</v>
      </c>
      <c r="H25" s="220">
        <f t="shared" si="0"/>
        <v>0</v>
      </c>
      <c r="I25" s="221">
        <f t="shared" si="1"/>
        <v>5528.25</v>
      </c>
      <c r="J25" s="221">
        <f t="shared" si="8"/>
        <v>407.40000000000003</v>
      </c>
      <c r="K25" s="221">
        <v>1096</v>
      </c>
      <c r="L25" s="221">
        <f t="shared" si="4"/>
        <v>210.875</v>
      </c>
      <c r="M25" s="221">
        <f t="shared" si="5"/>
        <v>0</v>
      </c>
      <c r="N25" s="221">
        <v>301.40000000000003</v>
      </c>
      <c r="O25" s="221">
        <v>0</v>
      </c>
      <c r="P25" s="221"/>
      <c r="Q25" s="221">
        <v>0</v>
      </c>
      <c r="R25" s="221">
        <v>0</v>
      </c>
      <c r="S25" s="221"/>
      <c r="T25" s="221">
        <v>0</v>
      </c>
      <c r="U25" s="221">
        <f t="shared" si="2"/>
        <v>7543.9249999999993</v>
      </c>
      <c r="V25" s="222">
        <f>IF('[21]Calculo ISR '!$BU$34&lt;0,0,'[21]Calculo ISR '!$BU$34)</f>
        <v>977.17256399999997</v>
      </c>
      <c r="W25" s="223">
        <f>I25*T6</f>
        <v>580.46624999999995</v>
      </c>
      <c r="X25" s="223"/>
      <c r="Y25" s="223"/>
      <c r="Z25" s="223"/>
      <c r="AA25" s="223"/>
      <c r="AB25" s="221">
        <f t="shared" si="9"/>
        <v>1557.6388139999999</v>
      </c>
      <c r="AC25" s="223">
        <f>IF('[21]Calculo ISR '!$BU$34&gt;0,0,('[21]Calculo ISR '!$BU$34)*-1)</f>
        <v>0</v>
      </c>
      <c r="AD25" s="221">
        <f t="shared" si="10"/>
        <v>4482.8861859999997</v>
      </c>
      <c r="AE25" s="221">
        <f t="shared" si="7"/>
        <v>1503.4</v>
      </c>
      <c r="AF25" s="224"/>
      <c r="AG25" s="225"/>
    </row>
    <row r="26" spans="1:34" s="111" customFormat="1" ht="45" customHeight="1">
      <c r="A26" s="217" t="s">
        <v>66</v>
      </c>
      <c r="B26" s="218" t="s">
        <v>67</v>
      </c>
      <c r="C26" s="226">
        <v>10</v>
      </c>
      <c r="D26" s="226">
        <v>0</v>
      </c>
      <c r="E26" s="220">
        <v>315.89999999999998</v>
      </c>
      <c r="F26" s="220">
        <v>360.15</v>
      </c>
      <c r="G26" s="220">
        <f t="shared" si="0"/>
        <v>3159</v>
      </c>
      <c r="H26" s="220">
        <f t="shared" si="0"/>
        <v>0</v>
      </c>
      <c r="I26" s="221">
        <f t="shared" si="1"/>
        <v>3159</v>
      </c>
      <c r="J26" s="221">
        <f t="shared" si="8"/>
        <v>232.8</v>
      </c>
      <c r="K26" s="221">
        <v>712</v>
      </c>
      <c r="L26" s="221">
        <f t="shared" si="4"/>
        <v>120.5</v>
      </c>
      <c r="M26" s="221">
        <f t="shared" si="5"/>
        <v>0</v>
      </c>
      <c r="N26" s="221">
        <v>195.8</v>
      </c>
      <c r="O26" s="221">
        <v>0</v>
      </c>
      <c r="P26" s="221"/>
      <c r="Q26" s="221">
        <v>0</v>
      </c>
      <c r="R26" s="221">
        <v>0</v>
      </c>
      <c r="S26" s="221"/>
      <c r="T26" s="221">
        <v>0</v>
      </c>
      <c r="U26" s="221">
        <f t="shared" si="2"/>
        <v>4420.1000000000004</v>
      </c>
      <c r="V26" s="222">
        <f>IF('[21]Calculo ISR '!$BV$34&lt;0,0,'[21]Calculo ISR '!$BV$34)</f>
        <v>379.0564</v>
      </c>
      <c r="W26" s="223">
        <f>I26*T6</f>
        <v>331.69499999999999</v>
      </c>
      <c r="X26" s="223"/>
      <c r="Y26" s="223"/>
      <c r="Z26" s="223"/>
      <c r="AA26" s="223"/>
      <c r="AB26" s="221">
        <f t="shared" si="9"/>
        <v>710.75139999999999</v>
      </c>
      <c r="AC26" s="223">
        <f>IF('[21]Calculo ISR '!$BV$34&gt;0,0,('[21]Calculo ISR '!$BV$34)*-1)</f>
        <v>0</v>
      </c>
      <c r="AD26" s="221">
        <f t="shared" si="10"/>
        <v>2764.5486000000001</v>
      </c>
      <c r="AE26" s="221">
        <f t="shared" si="7"/>
        <v>944.8</v>
      </c>
      <c r="AF26" s="224"/>
      <c r="AG26" s="225"/>
    </row>
    <row r="27" spans="1:34" s="111" customFormat="1" ht="45" customHeight="1">
      <c r="A27" s="217" t="s">
        <v>68</v>
      </c>
      <c r="B27" s="218" t="s">
        <v>69</v>
      </c>
      <c r="C27" s="226">
        <v>10.5</v>
      </c>
      <c r="D27" s="226">
        <v>0</v>
      </c>
      <c r="E27" s="220">
        <v>315.89999999999998</v>
      </c>
      <c r="F27" s="220">
        <v>360.15</v>
      </c>
      <c r="G27" s="220">
        <f t="shared" si="0"/>
        <v>3316.95</v>
      </c>
      <c r="H27" s="220">
        <f t="shared" si="0"/>
        <v>0</v>
      </c>
      <c r="I27" s="221">
        <f t="shared" si="1"/>
        <v>3316.95</v>
      </c>
      <c r="J27" s="221">
        <f t="shared" si="8"/>
        <v>244.44</v>
      </c>
      <c r="K27" s="221">
        <v>672</v>
      </c>
      <c r="L27" s="221">
        <f t="shared" si="4"/>
        <v>126.52500000000001</v>
      </c>
      <c r="M27" s="221">
        <f t="shared" si="5"/>
        <v>0</v>
      </c>
      <c r="N27" s="221">
        <v>184.8</v>
      </c>
      <c r="O27" s="221">
        <v>0</v>
      </c>
      <c r="P27" s="221"/>
      <c r="Q27" s="221">
        <v>0</v>
      </c>
      <c r="R27" s="221">
        <v>56.384999999999998</v>
      </c>
      <c r="S27" s="221"/>
      <c r="T27" s="221">
        <v>0</v>
      </c>
      <c r="U27" s="221">
        <f t="shared" si="2"/>
        <v>4601.0999999999995</v>
      </c>
      <c r="V27" s="222">
        <f>IF('[21]Calculo ISR '!$BW$34&lt;0,0,'[21]Calculo ISR '!$BW$34)</f>
        <v>408.21896000000004</v>
      </c>
      <c r="W27" s="223">
        <f>I27*T6</f>
        <v>348.27974999999998</v>
      </c>
      <c r="X27" s="223"/>
      <c r="Y27" s="223"/>
      <c r="Z27" s="223"/>
      <c r="AA27" s="223"/>
      <c r="AB27" s="221">
        <f t="shared" si="9"/>
        <v>756.49871000000007</v>
      </c>
      <c r="AC27" s="223">
        <f>IF('[21]Calculo ISR '!$BW$34&gt;0,0,('[21]Calculo ISR '!$BW$34)*-1)</f>
        <v>0</v>
      </c>
      <c r="AD27" s="221">
        <f t="shared" si="10"/>
        <v>2928.1612899999996</v>
      </c>
      <c r="AE27" s="221">
        <f t="shared" si="7"/>
        <v>916.44</v>
      </c>
      <c r="AF27" s="224"/>
      <c r="AG27" s="225"/>
    </row>
    <row r="28" spans="1:34" s="111" customFormat="1" ht="45" customHeight="1">
      <c r="A28" s="217" t="s">
        <v>70</v>
      </c>
      <c r="B28" s="218" t="s">
        <v>71</v>
      </c>
      <c r="C28" s="226">
        <v>7</v>
      </c>
      <c r="D28" s="226">
        <v>0</v>
      </c>
      <c r="E28" s="220">
        <v>315.89999999999998</v>
      </c>
      <c r="F28" s="220">
        <v>360.15</v>
      </c>
      <c r="G28" s="220">
        <f t="shared" si="0"/>
        <v>2211.2999999999997</v>
      </c>
      <c r="H28" s="220">
        <f t="shared" si="0"/>
        <v>0</v>
      </c>
      <c r="I28" s="221">
        <f t="shared" si="1"/>
        <v>2211.2999999999997</v>
      </c>
      <c r="J28" s="221">
        <f t="shared" si="8"/>
        <v>162.96</v>
      </c>
      <c r="K28" s="221">
        <v>568</v>
      </c>
      <c r="L28" s="221">
        <f t="shared" si="4"/>
        <v>84.350000000000009</v>
      </c>
      <c r="M28" s="221">
        <f t="shared" si="5"/>
        <v>0</v>
      </c>
      <c r="N28" s="221">
        <v>129.80000000000001</v>
      </c>
      <c r="O28" s="221">
        <v>0</v>
      </c>
      <c r="P28" s="221"/>
      <c r="Q28" s="221">
        <v>0</v>
      </c>
      <c r="R28" s="221">
        <v>0</v>
      </c>
      <c r="S28" s="221"/>
      <c r="T28" s="221"/>
      <c r="U28" s="221">
        <f t="shared" si="2"/>
        <v>3156.41</v>
      </c>
      <c r="V28" s="222">
        <f>IF('[21]Calculo ISR '!$BX$34&lt;0,0,'[21]Calculo ISR '!$BX$34)</f>
        <v>76.254271999999958</v>
      </c>
      <c r="W28" s="223">
        <f>I28*T6</f>
        <v>232.18649999999997</v>
      </c>
      <c r="X28" s="223"/>
      <c r="Y28" s="223"/>
      <c r="Z28" s="223"/>
      <c r="AA28" s="223"/>
      <c r="AB28" s="221">
        <f t="shared" si="9"/>
        <v>308.44077199999992</v>
      </c>
      <c r="AC28" s="223">
        <f>IF('[21]Calculo ISR '!$BX$34&gt;0,0,('[21]Calculo ISR '!$BX$34)*-1)</f>
        <v>0</v>
      </c>
      <c r="AD28" s="221">
        <f t="shared" si="10"/>
        <v>2117.0092279999999</v>
      </c>
      <c r="AE28" s="221">
        <f t="shared" si="7"/>
        <v>730.96</v>
      </c>
      <c r="AF28" s="224"/>
      <c r="AG28" s="225"/>
    </row>
    <row r="29" spans="1:34" s="111" customFormat="1" ht="45" customHeight="1">
      <c r="A29" s="217" t="s">
        <v>72</v>
      </c>
      <c r="B29" s="218" t="s">
        <v>73</v>
      </c>
      <c r="C29" s="226">
        <v>7.5</v>
      </c>
      <c r="D29" s="226">
        <v>0</v>
      </c>
      <c r="E29" s="220">
        <v>315.89999999999998</v>
      </c>
      <c r="F29" s="220">
        <v>360.15</v>
      </c>
      <c r="G29" s="220">
        <f t="shared" si="0"/>
        <v>2369.25</v>
      </c>
      <c r="H29" s="220">
        <f t="shared" si="0"/>
        <v>0</v>
      </c>
      <c r="I29" s="221">
        <f t="shared" si="1"/>
        <v>2369.25</v>
      </c>
      <c r="J29" s="221">
        <f t="shared" si="8"/>
        <v>174.60000000000002</v>
      </c>
      <c r="K29" s="221">
        <v>600</v>
      </c>
      <c r="L29" s="221">
        <f t="shared" si="4"/>
        <v>90.375</v>
      </c>
      <c r="M29" s="221">
        <f t="shared" si="5"/>
        <v>0</v>
      </c>
      <c r="N29" s="221">
        <v>165</v>
      </c>
      <c r="O29" s="221">
        <v>0</v>
      </c>
      <c r="P29" s="221"/>
      <c r="Q29" s="221">
        <v>0</v>
      </c>
      <c r="R29" s="221">
        <v>40.274999999999999</v>
      </c>
      <c r="S29" s="221"/>
      <c r="T29" s="221"/>
      <c r="U29" s="221">
        <f t="shared" si="2"/>
        <v>3439.5</v>
      </c>
      <c r="V29" s="222">
        <f>IF('[21]Calculo ISR '!$BY$34&lt;0,0,'[21]Calculo ISR '!$BY$34)</f>
        <v>126.03803200000002</v>
      </c>
      <c r="W29" s="223">
        <f>I29*T6</f>
        <v>248.77124999999998</v>
      </c>
      <c r="X29" s="223"/>
      <c r="Y29" s="223"/>
      <c r="Z29" s="223"/>
      <c r="AA29" s="227"/>
      <c r="AB29" s="221">
        <f t="shared" si="9"/>
        <v>374.809282</v>
      </c>
      <c r="AC29" s="223">
        <f>IF('[21]Calculo ISR '!$BY$34&gt;0,0,('[21]Calculo ISR '!$BY$34)*-1)</f>
        <v>0</v>
      </c>
      <c r="AD29" s="221">
        <f t="shared" si="10"/>
        <v>2290.0907179999999</v>
      </c>
      <c r="AE29" s="221">
        <f t="shared" si="7"/>
        <v>774.6</v>
      </c>
      <c r="AF29" s="228"/>
      <c r="AG29" s="229"/>
      <c r="AH29" s="114"/>
    </row>
    <row r="30" spans="1:34" s="111" customFormat="1" ht="45" customHeight="1">
      <c r="A30" s="217" t="s">
        <v>94</v>
      </c>
      <c r="B30" s="218" t="s">
        <v>101</v>
      </c>
      <c r="C30" s="226">
        <v>10.5</v>
      </c>
      <c r="D30" s="226">
        <v>0</v>
      </c>
      <c r="E30" s="220">
        <v>315.89999999999998</v>
      </c>
      <c r="F30" s="220">
        <v>360.15</v>
      </c>
      <c r="G30" s="220">
        <f t="shared" si="0"/>
        <v>3316.95</v>
      </c>
      <c r="H30" s="220">
        <f t="shared" si="0"/>
        <v>0</v>
      </c>
      <c r="I30" s="221">
        <f t="shared" si="1"/>
        <v>3316.95</v>
      </c>
      <c r="J30" s="221">
        <f t="shared" si="8"/>
        <v>244.44</v>
      </c>
      <c r="K30" s="221">
        <v>806</v>
      </c>
      <c r="L30" s="221">
        <f t="shared" si="4"/>
        <v>126.52500000000001</v>
      </c>
      <c r="M30" s="221">
        <f t="shared" si="5"/>
        <v>0</v>
      </c>
      <c r="N30" s="221">
        <v>167.2</v>
      </c>
      <c r="O30" s="221">
        <v>0</v>
      </c>
      <c r="P30" s="221"/>
      <c r="Q30" s="221">
        <v>0</v>
      </c>
      <c r="R30" s="221">
        <v>0</v>
      </c>
      <c r="S30" s="221"/>
      <c r="T30" s="221"/>
      <c r="U30" s="221">
        <f t="shared" si="2"/>
        <v>4661.1149999999989</v>
      </c>
      <c r="V30" s="222">
        <f>IF('[21]Calculo ISR '!$BZ$34&lt;0,0,'[21]Calculo ISR '!$BZ$34)</f>
        <v>418.97364799999991</v>
      </c>
      <c r="W30" s="223">
        <f>I30*10.5%</f>
        <v>348.27974999999998</v>
      </c>
      <c r="X30" s="223"/>
      <c r="Y30" s="223"/>
      <c r="Z30" s="223"/>
      <c r="AA30" s="223"/>
      <c r="AB30" s="221">
        <f t="shared" si="9"/>
        <v>767.25339799999983</v>
      </c>
      <c r="AC30" s="223">
        <f>IF('[21]Calculo ISR '!$BZ$34&gt;0,0,('[21]Calculo ISR '!$BZ$34)*-1)</f>
        <v>0</v>
      </c>
      <c r="AD30" s="221">
        <f t="shared" si="10"/>
        <v>2843.421601999999</v>
      </c>
      <c r="AE30" s="221">
        <f t="shared" si="7"/>
        <v>1050.44</v>
      </c>
      <c r="AF30" s="230"/>
      <c r="AG30" s="231"/>
      <c r="AH30" s="114"/>
    </row>
    <row r="31" spans="1:34" s="111" customFormat="1" ht="45" customHeight="1">
      <c r="A31" s="217" t="s">
        <v>96</v>
      </c>
      <c r="B31" s="218" t="s">
        <v>102</v>
      </c>
      <c r="C31" s="226">
        <v>14</v>
      </c>
      <c r="D31" s="226">
        <v>0</v>
      </c>
      <c r="E31" s="220">
        <v>315.89999999999998</v>
      </c>
      <c r="F31" s="220">
        <v>360.15</v>
      </c>
      <c r="G31" s="220">
        <f t="shared" si="0"/>
        <v>4422.5999999999995</v>
      </c>
      <c r="H31" s="220">
        <f t="shared" si="0"/>
        <v>0</v>
      </c>
      <c r="I31" s="221">
        <f t="shared" si="1"/>
        <v>4422.5999999999995</v>
      </c>
      <c r="J31" s="221">
        <f t="shared" si="8"/>
        <v>325.92</v>
      </c>
      <c r="K31" s="221">
        <v>584</v>
      </c>
      <c r="L31" s="221">
        <f t="shared" si="4"/>
        <v>168.70000000000002</v>
      </c>
      <c r="M31" s="221">
        <f t="shared" si="5"/>
        <v>0</v>
      </c>
      <c r="N31" s="221">
        <v>160.60000000000002</v>
      </c>
      <c r="O31" s="221">
        <v>0</v>
      </c>
      <c r="P31" s="221"/>
      <c r="Q31" s="221">
        <v>0</v>
      </c>
      <c r="R31" s="221">
        <v>0</v>
      </c>
      <c r="S31" s="221"/>
      <c r="T31" s="221"/>
      <c r="U31" s="221">
        <f t="shared" si="2"/>
        <v>5661.82</v>
      </c>
      <c r="V31" s="222">
        <f>IF('[21]Calculo ISR '!$CA$34&lt;0,0,'[21]Calculo ISR '!$CA$34)</f>
        <v>592.55906400000003</v>
      </c>
      <c r="W31" s="223">
        <f>I31*10.5%</f>
        <v>464.37299999999993</v>
      </c>
      <c r="X31" s="223"/>
      <c r="Y31" s="223"/>
      <c r="Z31" s="223"/>
      <c r="AA31" s="223"/>
      <c r="AB31" s="221">
        <f t="shared" si="9"/>
        <v>1056.9320640000001</v>
      </c>
      <c r="AC31" s="223">
        <f>IF('[21]Calculo ISR '!$CA$34&gt;0,0,('[21]Calculo ISR '!$CA$34)*-1)</f>
        <v>0</v>
      </c>
      <c r="AD31" s="221">
        <f t="shared" si="10"/>
        <v>3694.9679359999991</v>
      </c>
      <c r="AE31" s="221">
        <f t="shared" si="7"/>
        <v>909.92000000000007</v>
      </c>
      <c r="AF31" s="230"/>
      <c r="AG31" s="231"/>
      <c r="AH31" s="114"/>
    </row>
    <row r="32" spans="1:34" s="111" customFormat="1" ht="45" customHeight="1">
      <c r="A32" s="217" t="s">
        <v>103</v>
      </c>
      <c r="B32" s="218" t="s">
        <v>124</v>
      </c>
      <c r="C32" s="226">
        <v>4</v>
      </c>
      <c r="D32" s="226">
        <v>0</v>
      </c>
      <c r="E32" s="220">
        <v>315.89999999999998</v>
      </c>
      <c r="F32" s="220">
        <v>360.15</v>
      </c>
      <c r="G32" s="220">
        <f t="shared" ref="G32:H38" si="11">C32*E32</f>
        <v>1263.5999999999999</v>
      </c>
      <c r="H32" s="220">
        <f t="shared" si="11"/>
        <v>0</v>
      </c>
      <c r="I32" s="221">
        <f t="shared" si="1"/>
        <v>1263.5999999999999</v>
      </c>
      <c r="J32" s="221">
        <f t="shared" si="8"/>
        <v>93.12</v>
      </c>
      <c r="K32" s="221">
        <v>248</v>
      </c>
      <c r="L32" s="221">
        <f t="shared" si="4"/>
        <v>48.2</v>
      </c>
      <c r="M32" s="221">
        <f t="shared" si="5"/>
        <v>0</v>
      </c>
      <c r="N32" s="221">
        <v>68.2</v>
      </c>
      <c r="O32" s="221">
        <v>0</v>
      </c>
      <c r="P32" s="221"/>
      <c r="Q32" s="221">
        <v>0</v>
      </c>
      <c r="R32" s="221">
        <v>0</v>
      </c>
      <c r="S32" s="221"/>
      <c r="T32" s="221"/>
      <c r="U32" s="221">
        <f t="shared" si="2"/>
        <v>1721.12</v>
      </c>
      <c r="V32" s="222">
        <f>IF('[21]Calculo ISR '!$CB$34&lt;0,0,'[21]Calculo ISR '!$CB$34)</f>
        <v>0</v>
      </c>
      <c r="W32" s="223">
        <f t="shared" ref="W32:W38" si="12">I32*10.5%</f>
        <v>132.678</v>
      </c>
      <c r="X32" s="223"/>
      <c r="Y32" s="223"/>
      <c r="Z32" s="223"/>
      <c r="AA32" s="223"/>
      <c r="AB32" s="221">
        <f t="shared" si="9"/>
        <v>132.678</v>
      </c>
      <c r="AC32" s="223">
        <f>IF('[21]Calculo ISR '!$CB$34&gt;0,0,('[21]Calculo ISR '!$CB$34)*-1)</f>
        <v>107.52583999999997</v>
      </c>
      <c r="AD32" s="221">
        <f t="shared" si="10"/>
        <v>1354.8478399999999</v>
      </c>
      <c r="AE32" s="221">
        <f t="shared" si="7"/>
        <v>341.12</v>
      </c>
      <c r="AF32" s="230"/>
      <c r="AG32" s="231"/>
      <c r="AH32" s="114"/>
    </row>
    <row r="33" spans="1:37" s="111" customFormat="1" ht="45" customHeight="1">
      <c r="A33" s="217" t="s">
        <v>105</v>
      </c>
      <c r="B33" s="218" t="s">
        <v>106</v>
      </c>
      <c r="C33" s="226">
        <v>4</v>
      </c>
      <c r="D33" s="226">
        <v>0</v>
      </c>
      <c r="E33" s="220">
        <v>315.89999999999998</v>
      </c>
      <c r="F33" s="220">
        <v>360.15</v>
      </c>
      <c r="G33" s="220">
        <f t="shared" si="11"/>
        <v>1263.5999999999999</v>
      </c>
      <c r="H33" s="220">
        <f t="shared" si="11"/>
        <v>0</v>
      </c>
      <c r="I33" s="221">
        <f t="shared" si="1"/>
        <v>1263.5999999999999</v>
      </c>
      <c r="J33" s="221">
        <f t="shared" si="8"/>
        <v>93.12</v>
      </c>
      <c r="K33" s="221">
        <v>248</v>
      </c>
      <c r="L33" s="221">
        <f t="shared" si="4"/>
        <v>48.2</v>
      </c>
      <c r="M33" s="221">
        <f t="shared" si="5"/>
        <v>0</v>
      </c>
      <c r="N33" s="221">
        <v>68.2</v>
      </c>
      <c r="O33" s="221">
        <v>0</v>
      </c>
      <c r="P33" s="221"/>
      <c r="Q33" s="221">
        <v>0</v>
      </c>
      <c r="R33" s="221">
        <v>0</v>
      </c>
      <c r="S33" s="221"/>
      <c r="T33" s="221"/>
      <c r="U33" s="221">
        <f t="shared" si="2"/>
        <v>1721.12</v>
      </c>
      <c r="V33" s="222">
        <f>IF('[21]Calculo ISR '!$CC$34&lt;0,0,'[21]Calculo ISR '!$CC$34)</f>
        <v>0</v>
      </c>
      <c r="W33" s="223">
        <f t="shared" si="12"/>
        <v>132.678</v>
      </c>
      <c r="X33" s="223"/>
      <c r="Y33" s="223"/>
      <c r="Z33" s="223"/>
      <c r="AA33" s="223"/>
      <c r="AB33" s="221">
        <f t="shared" si="9"/>
        <v>132.678</v>
      </c>
      <c r="AC33" s="223">
        <f>IF('[21]Calculo ISR '!$CC$34&gt;0,0,('[21]Calculo ISR '!$CC$34)*-1)</f>
        <v>107.52583999999997</v>
      </c>
      <c r="AD33" s="221">
        <f t="shared" si="10"/>
        <v>1354.8478399999999</v>
      </c>
      <c r="AE33" s="221">
        <f t="shared" si="7"/>
        <v>341.12</v>
      </c>
      <c r="AF33" s="230"/>
      <c r="AG33" s="231"/>
      <c r="AH33" s="114"/>
    </row>
    <row r="34" spans="1:37" s="111" customFormat="1" ht="45" customHeight="1">
      <c r="A34" s="217" t="s">
        <v>112</v>
      </c>
      <c r="B34" s="218" t="s">
        <v>113</v>
      </c>
      <c r="C34" s="226">
        <v>5</v>
      </c>
      <c r="D34" s="226">
        <v>0</v>
      </c>
      <c r="E34" s="220">
        <v>315.89999999999998</v>
      </c>
      <c r="F34" s="220">
        <v>360.15</v>
      </c>
      <c r="G34" s="220">
        <f t="shared" si="11"/>
        <v>1579.5</v>
      </c>
      <c r="H34" s="220">
        <f t="shared" si="11"/>
        <v>0</v>
      </c>
      <c r="I34" s="221">
        <f t="shared" si="1"/>
        <v>1579.5</v>
      </c>
      <c r="J34" s="221">
        <f t="shared" si="8"/>
        <v>116.4</v>
      </c>
      <c r="K34" s="221">
        <v>228</v>
      </c>
      <c r="L34" s="221">
        <f t="shared" si="4"/>
        <v>60.25</v>
      </c>
      <c r="M34" s="221">
        <f t="shared" si="5"/>
        <v>0</v>
      </c>
      <c r="N34" s="221">
        <v>62.7</v>
      </c>
      <c r="O34" s="221">
        <v>0</v>
      </c>
      <c r="P34" s="221"/>
      <c r="Q34" s="221">
        <v>0</v>
      </c>
      <c r="R34" s="221">
        <v>0</v>
      </c>
      <c r="S34" s="221"/>
      <c r="T34" s="221"/>
      <c r="U34" s="221">
        <f t="shared" si="2"/>
        <v>2046.8500000000001</v>
      </c>
      <c r="V34" s="222">
        <f>IF('[21]Calculo ISR '!$CD$34&lt;0,0,'[21]Calculo ISR '!$CD$34)</f>
        <v>0</v>
      </c>
      <c r="W34" s="223">
        <f t="shared" si="12"/>
        <v>165.8475</v>
      </c>
      <c r="X34" s="223"/>
      <c r="Y34" s="223"/>
      <c r="Z34" s="223"/>
      <c r="AA34" s="223"/>
      <c r="AB34" s="221">
        <f t="shared" si="9"/>
        <v>165.8475</v>
      </c>
      <c r="AC34" s="223">
        <f>IF('[21]Calculo ISR '!$CD$34&gt;0,0,('[21]Calculo ISR '!$CD$34)*-1)</f>
        <v>76.169039999999981</v>
      </c>
      <c r="AD34" s="221">
        <f t="shared" si="10"/>
        <v>1612.7715400000002</v>
      </c>
      <c r="AE34" s="221">
        <f t="shared" si="7"/>
        <v>344.4</v>
      </c>
      <c r="AF34" s="230"/>
      <c r="AG34" s="231"/>
      <c r="AH34" s="114"/>
    </row>
    <row r="35" spans="1:37" s="111" customFormat="1" ht="45" customHeight="1">
      <c r="A35" s="217" t="s">
        <v>125</v>
      </c>
      <c r="B35" s="218" t="s">
        <v>126</v>
      </c>
      <c r="C35" s="226">
        <v>15</v>
      </c>
      <c r="D35" s="226">
        <v>0</v>
      </c>
      <c r="E35" s="220">
        <v>315.89999999999998</v>
      </c>
      <c r="F35" s="220">
        <v>360.15</v>
      </c>
      <c r="G35" s="220">
        <f t="shared" si="11"/>
        <v>4738.5</v>
      </c>
      <c r="H35" s="220">
        <f t="shared" si="11"/>
        <v>0</v>
      </c>
      <c r="I35" s="221">
        <f t="shared" si="1"/>
        <v>4738.5</v>
      </c>
      <c r="J35" s="221">
        <f t="shared" si="8"/>
        <v>349.20000000000005</v>
      </c>
      <c r="K35" s="221">
        <v>240</v>
      </c>
      <c r="L35" s="221">
        <f t="shared" si="4"/>
        <v>180.75</v>
      </c>
      <c r="M35" s="221">
        <f t="shared" si="5"/>
        <v>0</v>
      </c>
      <c r="N35" s="221">
        <v>66</v>
      </c>
      <c r="O35" s="221">
        <v>0</v>
      </c>
      <c r="P35" s="221"/>
      <c r="Q35" s="221">
        <v>0</v>
      </c>
      <c r="R35" s="221">
        <v>80.55</v>
      </c>
      <c r="S35" s="221"/>
      <c r="T35" s="221"/>
      <c r="U35" s="221">
        <f t="shared" si="2"/>
        <v>5655</v>
      </c>
      <c r="V35" s="222">
        <f>IF('[21]Calculo ISR '!$CE$34&lt;0,0,'[21]Calculo ISR '!$CE$34)</f>
        <v>586.12970400000017</v>
      </c>
      <c r="W35" s="223">
        <f t="shared" si="12"/>
        <v>497.54249999999996</v>
      </c>
      <c r="X35" s="223"/>
      <c r="Y35" s="223"/>
      <c r="Z35" s="223"/>
      <c r="AA35" s="223"/>
      <c r="AB35" s="221">
        <f t="shared" si="9"/>
        <v>1083.6722040000002</v>
      </c>
      <c r="AC35" s="223">
        <f>IF('[21]Calculo ISR '!$CE$34&gt;0,0,('[21]Calculo ISR '!$CE$34)*-1)</f>
        <v>0</v>
      </c>
      <c r="AD35" s="221">
        <f t="shared" si="10"/>
        <v>3982.1277959999998</v>
      </c>
      <c r="AE35" s="221">
        <f t="shared" si="7"/>
        <v>589.20000000000005</v>
      </c>
      <c r="AF35" s="230"/>
      <c r="AG35" s="231"/>
      <c r="AH35" s="114"/>
    </row>
    <row r="36" spans="1:37" s="111" customFormat="1" ht="45" customHeight="1">
      <c r="A36" s="217" t="s">
        <v>127</v>
      </c>
      <c r="B36" s="218" t="s">
        <v>128</v>
      </c>
      <c r="C36" s="226">
        <v>5</v>
      </c>
      <c r="D36" s="226">
        <v>0</v>
      </c>
      <c r="E36" s="220">
        <v>315.89999999999998</v>
      </c>
      <c r="F36" s="220">
        <v>360.15</v>
      </c>
      <c r="G36" s="220">
        <f t="shared" si="11"/>
        <v>1579.5</v>
      </c>
      <c r="H36" s="220">
        <f t="shared" si="11"/>
        <v>0</v>
      </c>
      <c r="I36" s="221">
        <f t="shared" si="1"/>
        <v>1579.5</v>
      </c>
      <c r="J36" s="221">
        <f t="shared" si="8"/>
        <v>116.4</v>
      </c>
      <c r="K36" s="221">
        <v>60</v>
      </c>
      <c r="L36" s="221">
        <f t="shared" si="4"/>
        <v>60.25</v>
      </c>
      <c r="M36" s="221">
        <f t="shared" si="5"/>
        <v>0</v>
      </c>
      <c r="N36" s="221">
        <v>16.5</v>
      </c>
      <c r="O36" s="221">
        <v>0</v>
      </c>
      <c r="P36" s="221"/>
      <c r="Q36" s="221">
        <v>0</v>
      </c>
      <c r="R36" s="221">
        <v>0</v>
      </c>
      <c r="S36" s="221"/>
      <c r="T36" s="221"/>
      <c r="U36" s="221">
        <f t="shared" si="2"/>
        <v>1832.65</v>
      </c>
      <c r="V36" s="222">
        <f>IF('[21]Calculo ISR '!$CF$34&lt;0,0,'[21]Calculo ISR '!$CF$34)</f>
        <v>0</v>
      </c>
      <c r="W36" s="223">
        <f t="shared" si="12"/>
        <v>165.8475</v>
      </c>
      <c r="X36" s="223"/>
      <c r="Y36" s="223"/>
      <c r="Z36" s="223"/>
      <c r="AA36" s="223"/>
      <c r="AB36" s="221">
        <f t="shared" si="9"/>
        <v>165.8475</v>
      </c>
      <c r="AC36" s="223">
        <f>IF('[21]Calculo ISR '!$CF$34&gt;0,0,('[21]Calculo ISR '!$CF$34)*-1)</f>
        <v>94.97784</v>
      </c>
      <c r="AD36" s="221">
        <f t="shared" si="10"/>
        <v>1585.3803399999999</v>
      </c>
      <c r="AE36" s="221">
        <f t="shared" si="7"/>
        <v>176.4</v>
      </c>
      <c r="AF36" s="230"/>
      <c r="AG36" s="231"/>
      <c r="AH36" s="114"/>
    </row>
    <row r="37" spans="1:37" s="111" customFormat="1" ht="45" customHeight="1">
      <c r="A37" s="217" t="s">
        <v>129</v>
      </c>
      <c r="B37" s="218" t="s">
        <v>130</v>
      </c>
      <c r="C37" s="226">
        <v>10</v>
      </c>
      <c r="D37" s="226">
        <v>0</v>
      </c>
      <c r="E37" s="220">
        <v>315.89999999999998</v>
      </c>
      <c r="F37" s="220">
        <v>360.15</v>
      </c>
      <c r="G37" s="220">
        <f t="shared" si="11"/>
        <v>3159</v>
      </c>
      <c r="H37" s="220">
        <f t="shared" si="11"/>
        <v>0</v>
      </c>
      <c r="I37" s="221">
        <f t="shared" si="1"/>
        <v>3159</v>
      </c>
      <c r="J37" s="221">
        <f t="shared" si="8"/>
        <v>232.8</v>
      </c>
      <c r="K37" s="221">
        <v>120</v>
      </c>
      <c r="L37" s="221">
        <f t="shared" si="4"/>
        <v>120.5</v>
      </c>
      <c r="M37" s="221">
        <f t="shared" si="5"/>
        <v>0</v>
      </c>
      <c r="N37" s="221">
        <v>33</v>
      </c>
      <c r="O37" s="221">
        <v>0</v>
      </c>
      <c r="P37" s="221"/>
      <c r="Q37" s="221">
        <v>0</v>
      </c>
      <c r="R37" s="221">
        <v>0</v>
      </c>
      <c r="S37" s="221"/>
      <c r="T37" s="221"/>
      <c r="U37" s="221">
        <f t="shared" si="2"/>
        <v>3665.3</v>
      </c>
      <c r="V37" s="222">
        <f>IF('[21]Calculo ISR '!$CG$34&lt;0,0,'[21]Calculo ISR '!$CG$34)</f>
        <v>144.27291199999999</v>
      </c>
      <c r="W37" s="223">
        <f t="shared" si="12"/>
        <v>331.69499999999999</v>
      </c>
      <c r="X37" s="223"/>
      <c r="Y37" s="223"/>
      <c r="Z37" s="223"/>
      <c r="AA37" s="223"/>
      <c r="AB37" s="221">
        <f t="shared" si="9"/>
        <v>475.96791199999996</v>
      </c>
      <c r="AC37" s="223">
        <f>IF('[21]Calculo ISR '!$CG$34&gt;0,0,('[21]Calculo ISR '!$CG$34)*-1)</f>
        <v>0</v>
      </c>
      <c r="AD37" s="221">
        <f t="shared" si="10"/>
        <v>2836.5320879999999</v>
      </c>
      <c r="AE37" s="221">
        <f t="shared" si="7"/>
        <v>352.8</v>
      </c>
      <c r="AF37" s="230"/>
      <c r="AG37" s="231"/>
      <c r="AH37" s="114"/>
    </row>
    <row r="38" spans="1:37" s="111" customFormat="1" ht="45" customHeight="1">
      <c r="A38" s="218" t="s">
        <v>131</v>
      </c>
      <c r="B38" s="218" t="s">
        <v>132</v>
      </c>
      <c r="C38" s="226">
        <v>14</v>
      </c>
      <c r="D38" s="226">
        <v>0</v>
      </c>
      <c r="E38" s="220">
        <v>315.89999999999998</v>
      </c>
      <c r="F38" s="220">
        <v>360.15</v>
      </c>
      <c r="G38" s="220">
        <f t="shared" si="11"/>
        <v>4422.5999999999995</v>
      </c>
      <c r="H38" s="220">
        <f t="shared" si="11"/>
        <v>0</v>
      </c>
      <c r="I38" s="221">
        <f t="shared" si="1"/>
        <v>4422.5999999999995</v>
      </c>
      <c r="J38" s="221">
        <f t="shared" si="8"/>
        <v>325.92</v>
      </c>
      <c r="K38" s="221">
        <v>168</v>
      </c>
      <c r="L38" s="221">
        <f t="shared" si="4"/>
        <v>168.70000000000002</v>
      </c>
      <c r="M38" s="221">
        <f t="shared" si="5"/>
        <v>0</v>
      </c>
      <c r="N38" s="221">
        <v>46.2</v>
      </c>
      <c r="O38" s="221">
        <v>0</v>
      </c>
      <c r="P38" s="221"/>
      <c r="Q38" s="221">
        <v>0</v>
      </c>
      <c r="R38" s="221">
        <v>75.180000000000007</v>
      </c>
      <c r="S38" s="221"/>
      <c r="T38" s="221"/>
      <c r="U38" s="221">
        <f t="shared" si="2"/>
        <v>5206.5999999999995</v>
      </c>
      <c r="V38" s="222">
        <f>IF('[21]Calculo ISR '!$CH$34&lt;0,0,'[21]Calculo ISR '!$CH$34)</f>
        <v>502.12334399999997</v>
      </c>
      <c r="W38" s="223">
        <f t="shared" si="12"/>
        <v>464.37299999999993</v>
      </c>
      <c r="X38" s="223"/>
      <c r="Y38" s="223"/>
      <c r="Z38" s="223"/>
      <c r="AA38" s="223"/>
      <c r="AB38" s="221">
        <f t="shared" si="9"/>
        <v>966.49634399999991</v>
      </c>
      <c r="AC38" s="223">
        <f>IF('[21]Calculo ISR '!$CH$34&gt;0,0,('[21]Calculo ISR '!$CH$34)*-1)</f>
        <v>0</v>
      </c>
      <c r="AD38" s="221">
        <f t="shared" si="10"/>
        <v>3746.1836559999992</v>
      </c>
      <c r="AE38" s="221">
        <f t="shared" si="7"/>
        <v>493.92</v>
      </c>
      <c r="AF38" s="230"/>
      <c r="AG38" s="231"/>
      <c r="AH38" s="114"/>
    </row>
    <row r="39" spans="1:37" s="57" customFormat="1" ht="30" customHeight="1" thickBot="1">
      <c r="A39" s="232"/>
      <c r="B39" s="233" t="s">
        <v>74</v>
      </c>
      <c r="C39" s="234">
        <f t="shared" ref="C39:AD39" si="13">SUM(C10:C38)</f>
        <v>312.5</v>
      </c>
      <c r="D39" s="234">
        <f t="shared" si="13"/>
        <v>60</v>
      </c>
      <c r="E39" s="131">
        <f t="shared" si="13"/>
        <v>9161.0999999999949</v>
      </c>
      <c r="F39" s="235">
        <f t="shared" si="13"/>
        <v>10444.349999999995</v>
      </c>
      <c r="G39" s="131">
        <f t="shared" si="13"/>
        <v>98718.750000000029</v>
      </c>
      <c r="H39" s="131">
        <f t="shared" si="13"/>
        <v>21609</v>
      </c>
      <c r="I39" s="131">
        <f t="shared" si="13"/>
        <v>120327.75</v>
      </c>
      <c r="J39" s="131">
        <f t="shared" si="13"/>
        <v>8671.7999999999975</v>
      </c>
      <c r="K39" s="131">
        <f t="shared" si="13"/>
        <v>21878</v>
      </c>
      <c r="L39" s="131">
        <f t="shared" si="13"/>
        <v>3765.6249999999995</v>
      </c>
      <c r="M39" s="131">
        <f t="shared" si="13"/>
        <v>789</v>
      </c>
      <c r="N39" s="131">
        <f t="shared" si="13"/>
        <v>5275.6</v>
      </c>
      <c r="O39" s="131">
        <f t="shared" si="13"/>
        <v>720</v>
      </c>
      <c r="P39" s="131">
        <f t="shared" si="13"/>
        <v>1969.04</v>
      </c>
      <c r="Q39" s="131">
        <f t="shared" si="13"/>
        <v>4498.2</v>
      </c>
      <c r="R39" s="131">
        <f t="shared" si="13"/>
        <v>732.42499999999995</v>
      </c>
      <c r="S39" s="131">
        <f t="shared" si="13"/>
        <v>351.28800000000001</v>
      </c>
      <c r="T39" s="131">
        <f t="shared" si="13"/>
        <v>0</v>
      </c>
      <c r="U39" s="131">
        <f t="shared" si="13"/>
        <v>168978.72799999997</v>
      </c>
      <c r="V39" s="131">
        <f t="shared" si="13"/>
        <v>19388.542272799998</v>
      </c>
      <c r="W39" s="131">
        <f t="shared" si="13"/>
        <v>12634.413749999994</v>
      </c>
      <c r="X39" s="131">
        <f t="shared" si="13"/>
        <v>5980</v>
      </c>
      <c r="Y39" s="131">
        <f t="shared" si="13"/>
        <v>729.42750000000001</v>
      </c>
      <c r="Z39" s="131">
        <f t="shared" si="13"/>
        <v>0</v>
      </c>
      <c r="AA39" s="236">
        <f t="shared" si="13"/>
        <v>0</v>
      </c>
      <c r="AB39" s="131">
        <f t="shared" si="13"/>
        <v>38732.383522800017</v>
      </c>
      <c r="AC39" s="131">
        <f t="shared" si="13"/>
        <v>508.69143999999994</v>
      </c>
      <c r="AD39" s="131">
        <f t="shared" si="13"/>
        <v>100205.2359172</v>
      </c>
      <c r="AE39" s="131">
        <f>SUM(AE9:AE38)</f>
        <v>30549.799999999996</v>
      </c>
      <c r="AF39" s="237"/>
      <c r="AG39" s="120"/>
      <c r="AH39" s="119"/>
      <c r="AI39" s="120"/>
    </row>
    <row r="40" spans="1:37" s="91" customFormat="1" ht="18.75" customHeight="1">
      <c r="A40" s="121"/>
      <c r="B40" s="122"/>
      <c r="C40" s="123"/>
      <c r="D40" s="123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124"/>
      <c r="AG40" s="90"/>
      <c r="AH40" s="125"/>
    </row>
    <row r="41" spans="1:37" s="91" customFormat="1" ht="18.75" customHeight="1">
      <c r="A41" s="121"/>
      <c r="B41" s="122"/>
      <c r="C41" s="123"/>
      <c r="D41" s="123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124"/>
      <c r="AG41" s="90"/>
      <c r="AH41" s="90"/>
    </row>
    <row r="42" spans="1:37" s="2" customFormat="1" ht="15" customHeight="1">
      <c r="A42" s="69"/>
      <c r="C42" s="140" t="s">
        <v>75</v>
      </c>
      <c r="D42" s="1"/>
      <c r="E42" s="1"/>
      <c r="F42" s="1"/>
      <c r="G42" s="1"/>
      <c r="H42" s="1"/>
      <c r="I42" s="64"/>
      <c r="L42" s="66" t="s">
        <v>76</v>
      </c>
      <c r="M42" s="66"/>
      <c r="N42" s="66"/>
      <c r="O42" s="66"/>
      <c r="P42" s="66"/>
      <c r="Q42" s="66"/>
      <c r="R42" s="66"/>
      <c r="S42" s="66"/>
      <c r="T42" s="66"/>
      <c r="U42" s="66"/>
      <c r="V42" s="49"/>
      <c r="W42" s="50"/>
      <c r="X42" s="1"/>
      <c r="Y42" s="1"/>
      <c r="Z42" s="1"/>
      <c r="AA42" s="1"/>
      <c r="AB42" s="1" t="s">
        <v>152</v>
      </c>
      <c r="AC42" s="1"/>
      <c r="AD42" s="1"/>
      <c r="AE42" s="1"/>
      <c r="AF42" s="1"/>
      <c r="AH42" s="42"/>
      <c r="AK42" s="1"/>
    </row>
    <row r="43" spans="1:37" s="2" customFormat="1">
      <c r="A43" s="69"/>
      <c r="B43" s="1"/>
      <c r="C43" s="1"/>
      <c r="D43" s="1"/>
      <c r="E43" s="1"/>
      <c r="F43" s="1"/>
      <c r="G43" s="126"/>
      <c r="H43" s="1"/>
      <c r="L43" s="1"/>
      <c r="M43" s="1"/>
      <c r="N43" s="1"/>
      <c r="O43" s="1"/>
      <c r="P43" s="1"/>
      <c r="Q43" s="1"/>
      <c r="R43" s="1"/>
      <c r="S43" s="1"/>
      <c r="T43" s="1"/>
      <c r="U43" s="51"/>
      <c r="V43" s="51"/>
      <c r="W43" s="51"/>
      <c r="X43" s="1"/>
      <c r="Y43" s="1"/>
      <c r="Z43" s="1"/>
      <c r="AA43" s="1"/>
      <c r="AB43" s="1"/>
      <c r="AC43" s="1"/>
      <c r="AD43" s="1"/>
      <c r="AE43" s="1"/>
      <c r="AF43" s="1"/>
      <c r="AH43" s="42"/>
      <c r="AK43" s="1"/>
    </row>
    <row r="44" spans="1:37" s="2" customFormat="1">
      <c r="A44" s="69"/>
      <c r="B44" s="1"/>
      <c r="C44" s="1"/>
      <c r="D44" s="1"/>
      <c r="E44" s="1"/>
      <c r="F44" s="1"/>
      <c r="G44" s="1"/>
      <c r="H44" s="1"/>
      <c r="L44" s="1"/>
      <c r="M44" s="1"/>
      <c r="N44" s="1"/>
      <c r="O44" s="1"/>
      <c r="P44" s="1"/>
      <c r="Q44" s="1"/>
      <c r="R44" s="1"/>
      <c r="S44" s="1"/>
      <c r="T44" s="1"/>
      <c r="U44" s="51"/>
      <c r="V44" s="51"/>
      <c r="W44" s="51"/>
      <c r="X44" s="1"/>
      <c r="Y44" s="1"/>
      <c r="Z44" s="1"/>
      <c r="AA44" s="1"/>
      <c r="AB44" s="1"/>
      <c r="AC44" s="1"/>
      <c r="AD44" s="1"/>
      <c r="AE44" s="1"/>
      <c r="AF44" s="1"/>
      <c r="AH44" s="42"/>
      <c r="AK44" s="1"/>
    </row>
    <row r="45" spans="1:37" s="2" customFormat="1">
      <c r="A45" s="69"/>
      <c r="B45" s="1"/>
      <c r="C45" s="1"/>
      <c r="D45" s="1"/>
      <c r="E45" s="1"/>
      <c r="F45" s="1"/>
      <c r="G45" s="1"/>
      <c r="H45" s="1"/>
      <c r="L45" s="1"/>
      <c r="M45" s="1"/>
      <c r="N45" s="1"/>
      <c r="O45" s="1"/>
      <c r="P45" s="1"/>
      <c r="Q45" s="1"/>
      <c r="R45" s="1"/>
      <c r="S45" s="1"/>
      <c r="T45" s="1"/>
      <c r="U45" s="52"/>
      <c r="V45" s="52"/>
      <c r="W45" s="52"/>
      <c r="X45" s="1"/>
      <c r="Y45" s="3"/>
      <c r="Z45" s="1"/>
      <c r="AA45" s="1"/>
      <c r="AB45" s="1"/>
      <c r="AD45" s="1"/>
      <c r="AE45" s="1"/>
      <c r="AF45" s="1"/>
      <c r="AK45" s="1"/>
    </row>
    <row r="46" spans="1:37" s="2" customFormat="1">
      <c r="A46" s="69"/>
      <c r="B46" s="140" t="s">
        <v>133</v>
      </c>
      <c r="C46" s="1"/>
      <c r="D46" s="1"/>
      <c r="E46" s="1"/>
      <c r="F46" s="1"/>
      <c r="G46" s="1"/>
      <c r="H46" s="1"/>
      <c r="I46" s="42"/>
      <c r="K46" s="53" t="s">
        <v>79</v>
      </c>
      <c r="M46" s="53"/>
      <c r="N46" s="53"/>
      <c r="O46" s="53"/>
      <c r="P46" s="53"/>
      <c r="Q46" s="53"/>
      <c r="R46" s="53"/>
      <c r="S46" s="53"/>
      <c r="T46" s="53"/>
      <c r="U46" s="53"/>
      <c r="V46" s="52"/>
      <c r="W46" s="49"/>
      <c r="X46" s="1"/>
      <c r="Y46" s="1"/>
      <c r="Z46" s="1"/>
      <c r="AB46" s="127" t="s">
        <v>134</v>
      </c>
      <c r="AD46" s="53"/>
      <c r="AE46" s="53"/>
      <c r="AF46" s="1"/>
      <c r="AK46" s="1"/>
    </row>
    <row r="47" spans="1:37" ht="12.75" customHeight="1">
      <c r="B47" s="54" t="s">
        <v>135</v>
      </c>
      <c r="K47" s="53" t="s">
        <v>82</v>
      </c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2"/>
      <c r="AB47" s="53" t="s">
        <v>83</v>
      </c>
      <c r="AD47" s="53"/>
      <c r="AE47" s="53"/>
      <c r="AG47" s="3"/>
    </row>
    <row r="48" spans="1:37">
      <c r="AG48" s="3"/>
    </row>
    <row r="49" spans="1:33">
      <c r="X49" s="3"/>
      <c r="AG49" s="3"/>
    </row>
    <row r="50" spans="1:33">
      <c r="AG50" s="3"/>
    </row>
    <row r="51" spans="1:33">
      <c r="AG51" s="3"/>
    </row>
    <row r="52" spans="1:33">
      <c r="U52" s="6"/>
      <c r="AG52" s="3"/>
    </row>
    <row r="53" spans="1:33">
      <c r="AG53" s="3"/>
    </row>
    <row r="54" spans="1:33">
      <c r="AG54" s="3"/>
    </row>
    <row r="55" spans="1:33" s="56" customFormat="1">
      <c r="A55" s="6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3" s="56" customFormat="1">
      <c r="A56" s="6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3" s="57" customFormat="1">
      <c r="A57" s="6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3" s="57" customFormat="1">
      <c r="A58" s="6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3" s="57" customFormat="1">
      <c r="A59" s="6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3" s="57" customFormat="1">
      <c r="A60" s="6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3" s="57" customFormat="1">
      <c r="A61" s="6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3" s="57" customFormat="1">
      <c r="A62" s="6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6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3" s="57" customFormat="1">
      <c r="A63" s="6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3" s="57" customFormat="1">
      <c r="A64" s="6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s="57" customFormat="1">
      <c r="A65" s="6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s="57" customFormat="1">
      <c r="A66" s="6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8" spans="1:32">
      <c r="Y68" s="3"/>
    </row>
  </sheetData>
  <mergeCells count="27">
    <mergeCell ref="AF27:AG27"/>
    <mergeCell ref="AF28:AG28"/>
    <mergeCell ref="AF29:AG29"/>
    <mergeCell ref="AF21:AG21"/>
    <mergeCell ref="AF22:AG22"/>
    <mergeCell ref="AF23:AG23"/>
    <mergeCell ref="AF24:AG24"/>
    <mergeCell ref="AF25:AG25"/>
    <mergeCell ref="AF26:AG26"/>
    <mergeCell ref="AF15:AG15"/>
    <mergeCell ref="AF16:AG16"/>
    <mergeCell ref="AF17:AG17"/>
    <mergeCell ref="AF18:AG18"/>
    <mergeCell ref="AF19:AG19"/>
    <mergeCell ref="AF20:AG20"/>
    <mergeCell ref="AF9:AG9"/>
    <mergeCell ref="AF10:AG10"/>
    <mergeCell ref="AF11:AG11"/>
    <mergeCell ref="AF12:AG12"/>
    <mergeCell ref="AF13:AG13"/>
    <mergeCell ref="AF14:AG14"/>
    <mergeCell ref="A8:A9"/>
    <mergeCell ref="B8:B9"/>
    <mergeCell ref="C8:I8"/>
    <mergeCell ref="J8:U8"/>
    <mergeCell ref="V8:AB8"/>
    <mergeCell ref="AC8:AE8"/>
  </mergeCells>
  <pageMargins left="0.8" right="0.17" top="0.47244094488188981" bottom="0.51181102362204722" header="0.31496062992125984" footer="0.31496062992125984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62"/>
  <sheetViews>
    <sheetView topLeftCell="A3" zoomScale="80" zoomScaleNormal="80" zoomScaleSheetLayoutView="100" workbookViewId="0">
      <pane xSplit="2" ySplit="7" topLeftCell="C34" activePane="bottomRight" state="frozen"/>
      <selection activeCell="A3" sqref="A3"/>
      <selection pane="topRight" activeCell="C3" sqref="C3"/>
      <selection pane="bottomLeft" activeCell="A10" sqref="A10"/>
      <selection pane="bottomRight" activeCell="K41" sqref="K41"/>
    </sheetView>
  </sheetViews>
  <sheetFormatPr baseColWidth="10" defaultRowHeight="12.75"/>
  <cols>
    <col min="1" max="1" width="12.7109375" style="1" customWidth="1"/>
    <col min="2" max="2" width="35.5703125" style="1" customWidth="1"/>
    <col min="3" max="3" width="7.140625" style="1" customWidth="1"/>
    <col min="4" max="4" width="10.42578125" style="1" customWidth="1"/>
    <col min="5" max="5" width="11.85546875" style="1" customWidth="1"/>
    <col min="6" max="6" width="10.7109375" style="1" customWidth="1"/>
    <col min="7" max="7" width="10" style="1" customWidth="1"/>
    <col min="8" max="8" width="10.140625" style="1" customWidth="1"/>
    <col min="9" max="9" width="10.85546875" style="1" customWidth="1"/>
    <col min="10" max="10" width="7.140625" style="1" customWidth="1"/>
    <col min="11" max="11" width="12.42578125" style="1" customWidth="1"/>
    <col min="12" max="12" width="10.85546875" style="1" hidden="1" customWidth="1"/>
    <col min="13" max="13" width="11.7109375" style="1" hidden="1" customWidth="1"/>
    <col min="14" max="14" width="12.140625" style="1" hidden="1" customWidth="1"/>
    <col min="15" max="15" width="12" style="1" hidden="1" customWidth="1"/>
    <col min="16" max="16" width="6.7109375" style="1" hidden="1" customWidth="1"/>
    <col min="17" max="17" width="10.5703125" style="1" hidden="1" customWidth="1"/>
    <col min="18" max="18" width="11.7109375" style="1" customWidth="1"/>
    <col min="19" max="19" width="8.28515625" style="1" customWidth="1"/>
    <col min="20" max="20" width="16.5703125" style="1" customWidth="1"/>
    <col min="21" max="21" width="10.5703125" style="1" hidden="1" customWidth="1"/>
    <col min="22" max="22" width="37.5703125" style="1" hidden="1" customWidth="1"/>
    <col min="23" max="23" width="12.28515625" style="1" hidden="1" customWidth="1"/>
    <col min="24" max="16384" width="11.42578125" style="1"/>
  </cols>
  <sheetData>
    <row r="2" spans="1:23">
      <c r="B2" s="2" t="s">
        <v>0</v>
      </c>
    </row>
    <row r="3" spans="1:23">
      <c r="B3" s="2"/>
    </row>
    <row r="4" spans="1:23">
      <c r="B4" s="2"/>
    </row>
    <row r="5" spans="1:23">
      <c r="D5" s="2"/>
      <c r="E5" s="2"/>
      <c r="F5" s="2"/>
      <c r="K5" s="3"/>
      <c r="O5" s="2"/>
      <c r="P5" s="2"/>
      <c r="Q5" s="2"/>
    </row>
    <row r="6" spans="1:23">
      <c r="B6" s="2"/>
      <c r="D6" s="4">
        <v>19.28</v>
      </c>
      <c r="E6" s="4">
        <v>10.95</v>
      </c>
      <c r="F6" s="4"/>
      <c r="J6" s="58">
        <v>0.105</v>
      </c>
      <c r="O6" s="2"/>
      <c r="P6" s="5">
        <v>0.01</v>
      </c>
      <c r="Q6" s="2"/>
    </row>
    <row r="7" spans="1:23" ht="13.5" thickBot="1">
      <c r="A7" s="6" t="s">
        <v>0</v>
      </c>
      <c r="D7" s="4">
        <v>22.3</v>
      </c>
      <c r="E7" s="7">
        <v>0.02</v>
      </c>
      <c r="F7" s="8">
        <v>0.04</v>
      </c>
      <c r="G7" s="6" t="s">
        <v>85</v>
      </c>
      <c r="O7" s="2"/>
      <c r="P7" s="2"/>
      <c r="Q7" s="2"/>
    </row>
    <row r="8" spans="1:23" ht="15.75" customHeight="1" thickBot="1">
      <c r="A8" s="164" t="s">
        <v>2</v>
      </c>
      <c r="B8" s="166" t="s">
        <v>3</v>
      </c>
      <c r="C8" s="168" t="s">
        <v>4</v>
      </c>
      <c r="D8" s="169"/>
      <c r="E8" s="170"/>
      <c r="F8" s="171" t="s">
        <v>5</v>
      </c>
      <c r="G8" s="172"/>
      <c r="H8" s="172"/>
      <c r="I8" s="173"/>
      <c r="J8" s="173"/>
      <c r="K8" s="174"/>
      <c r="L8" s="175" t="s">
        <v>6</v>
      </c>
      <c r="M8" s="176"/>
      <c r="N8" s="176"/>
      <c r="O8" s="176"/>
      <c r="P8" s="176"/>
      <c r="Q8" s="176"/>
      <c r="R8" s="182"/>
      <c r="S8" s="177" t="s">
        <v>7</v>
      </c>
      <c r="T8" s="177"/>
      <c r="U8" s="177"/>
    </row>
    <row r="9" spans="1:23" s="20" customFormat="1" ht="60">
      <c r="A9" s="165"/>
      <c r="B9" s="167"/>
      <c r="C9" s="9" t="s">
        <v>8</v>
      </c>
      <c r="D9" s="9" t="s">
        <v>9</v>
      </c>
      <c r="E9" s="10" t="s">
        <v>10</v>
      </c>
      <c r="F9" s="11" t="s">
        <v>11</v>
      </c>
      <c r="G9" s="11" t="s">
        <v>12</v>
      </c>
      <c r="H9" s="12" t="s">
        <v>13</v>
      </c>
      <c r="I9" s="13" t="s">
        <v>14</v>
      </c>
      <c r="J9" s="14" t="s">
        <v>15</v>
      </c>
      <c r="K9" s="14" t="s">
        <v>16</v>
      </c>
      <c r="L9" s="15" t="s">
        <v>17</v>
      </c>
      <c r="M9" s="16" t="s">
        <v>18</v>
      </c>
      <c r="N9" s="16" t="s">
        <v>19</v>
      </c>
      <c r="O9" s="16" t="s">
        <v>20</v>
      </c>
      <c r="P9" s="16" t="s">
        <v>21</v>
      </c>
      <c r="Q9" s="16" t="s">
        <v>22</v>
      </c>
      <c r="R9" s="16" t="s">
        <v>23</v>
      </c>
      <c r="S9" s="17" t="s">
        <v>24</v>
      </c>
      <c r="T9" s="18" t="s">
        <v>25</v>
      </c>
      <c r="U9" s="19" t="s">
        <v>26</v>
      </c>
      <c r="V9" s="178" t="s">
        <v>27</v>
      </c>
      <c r="W9" s="178"/>
    </row>
    <row r="10" spans="1:23" ht="45" customHeight="1">
      <c r="A10" s="21" t="s">
        <v>28</v>
      </c>
      <c r="B10" s="22" t="s">
        <v>29</v>
      </c>
      <c r="C10" s="23">
        <v>5.5</v>
      </c>
      <c r="D10" s="24">
        <v>305.5</v>
      </c>
      <c r="E10" s="25">
        <f>C10*D10</f>
        <v>1680.25</v>
      </c>
      <c r="F10" s="25">
        <f>C10*19.28</f>
        <v>106.04</v>
      </c>
      <c r="G10" s="25">
        <f>C10*E6</f>
        <v>60.224999999999994</v>
      </c>
      <c r="H10" s="25"/>
      <c r="I10" s="25">
        <f>E10*F7</f>
        <v>67.210000000000008</v>
      </c>
      <c r="J10" s="26">
        <v>0</v>
      </c>
      <c r="K10" s="25">
        <f>SUM(E10:J10)</f>
        <v>1913.7249999999999</v>
      </c>
      <c r="L10" s="27">
        <f>IF('[2]Calculo ISR '!$AZ$34&lt;0,0,'[2]Calculo ISR '!$AZ$34)</f>
        <v>0</v>
      </c>
      <c r="M10" s="28">
        <f>E10*J6</f>
        <v>176.42624999999998</v>
      </c>
      <c r="N10" s="29">
        <v>450.66</v>
      </c>
      <c r="O10" s="28">
        <f>E10*P6</f>
        <v>16.802500000000002</v>
      </c>
      <c r="P10" s="28"/>
      <c r="Q10" s="30"/>
      <c r="R10" s="25">
        <f t="shared" ref="R10:R25" si="0">L10+M10+N10+O10+Q10+P10</f>
        <v>643.88875000000007</v>
      </c>
      <c r="S10" s="28">
        <f>IF('[2]Calculo ISR '!$AZ$34&gt;0,0,('[2]Calculo ISR '!$AZ$34)*-1)</f>
        <v>84.025999999999982</v>
      </c>
      <c r="T10" s="25">
        <f t="shared" ref="T10:T26" si="1">K10-R10-U10+S10</f>
        <v>1247.8222499999999</v>
      </c>
      <c r="U10" s="25">
        <f t="shared" ref="U10:U32" si="2">F10</f>
        <v>106.04</v>
      </c>
      <c r="V10" s="179"/>
      <c r="W10" s="180"/>
    </row>
    <row r="11" spans="1:23" s="2" customFormat="1" ht="45" customHeight="1">
      <c r="A11" s="21" t="s">
        <v>30</v>
      </c>
      <c r="B11" s="31" t="s">
        <v>31</v>
      </c>
      <c r="C11" s="32">
        <v>19.5</v>
      </c>
      <c r="D11" s="24">
        <v>305.5</v>
      </c>
      <c r="E11" s="25">
        <f t="shared" ref="E11:E32" si="3">C11*D11</f>
        <v>5957.25</v>
      </c>
      <c r="F11" s="25">
        <f>C11*19.28</f>
        <v>375.96000000000004</v>
      </c>
      <c r="G11" s="25">
        <f>C11*E6</f>
        <v>213.52499999999998</v>
      </c>
      <c r="H11" s="25"/>
      <c r="I11" s="25">
        <f>E11*F7</f>
        <v>238.29</v>
      </c>
      <c r="J11" s="25">
        <f>'[2]HT-DOCENTE'!J10</f>
        <v>0</v>
      </c>
      <c r="K11" s="25">
        <f>SUM(E11:J11)</f>
        <v>6785.0249999999996</v>
      </c>
      <c r="L11" s="27">
        <f>IF('[2]Calculo ISR '!$BA$34&lt;0,0,'[2]Calculo ISR '!$BA$34)</f>
        <v>821.78710799999999</v>
      </c>
      <c r="M11" s="28">
        <f>E11*J6</f>
        <v>625.51125000000002</v>
      </c>
      <c r="N11" s="28">
        <v>1919</v>
      </c>
      <c r="O11" s="28">
        <f>E11*P6</f>
        <v>59.572499999999998</v>
      </c>
      <c r="P11" s="28">
        <f>'[2]HT-DOCENTE'!R10</f>
        <v>0</v>
      </c>
      <c r="Q11" s="28"/>
      <c r="R11" s="25">
        <f t="shared" si="0"/>
        <v>3425.8708580000002</v>
      </c>
      <c r="S11" s="28">
        <f>IF('[2]Calculo ISR '!$BA$34&gt;0,0,('[2]Calculo ISR '!$BA$34)*-1)</f>
        <v>0</v>
      </c>
      <c r="T11" s="25">
        <f t="shared" si="1"/>
        <v>2983.1941419999994</v>
      </c>
      <c r="U11" s="25">
        <f t="shared" si="2"/>
        <v>375.96000000000004</v>
      </c>
      <c r="V11" s="161"/>
      <c r="W11" s="162"/>
    </row>
    <row r="12" spans="1:23" s="2" customFormat="1" ht="45" customHeight="1">
      <c r="A12" s="21" t="s">
        <v>32</v>
      </c>
      <c r="B12" s="31" t="s">
        <v>33</v>
      </c>
      <c r="C12" s="32">
        <v>9</v>
      </c>
      <c r="D12" s="24">
        <v>305.5</v>
      </c>
      <c r="E12" s="25">
        <f t="shared" si="3"/>
        <v>2749.5</v>
      </c>
      <c r="F12" s="25">
        <f>C12*D6</f>
        <v>173.52</v>
      </c>
      <c r="G12" s="25">
        <f>C12*E6</f>
        <v>98.55</v>
      </c>
      <c r="H12" s="25"/>
      <c r="I12" s="25">
        <f>E12*F7</f>
        <v>109.98</v>
      </c>
      <c r="J12" s="25">
        <v>0</v>
      </c>
      <c r="K12" s="25">
        <f t="shared" ref="K12:K32" si="4">SUM(E12:J12)</f>
        <v>3131.55</v>
      </c>
      <c r="L12" s="27">
        <f>IF('[2]Calculo ISR '!$BB$34&lt;0,0,'[2]Calculo ISR '!$BB$34)</f>
        <v>72.400576000000001</v>
      </c>
      <c r="M12" s="28">
        <f>E12*J6</f>
        <v>288.69749999999999</v>
      </c>
      <c r="N12" s="28">
        <v>873</v>
      </c>
      <c r="O12" s="28">
        <f>E12*P6</f>
        <v>27.495000000000001</v>
      </c>
      <c r="P12" s="28">
        <f>'[2]HT-DOCENTE'!R11</f>
        <v>0</v>
      </c>
      <c r="Q12" s="28"/>
      <c r="R12" s="25">
        <f t="shared" si="0"/>
        <v>1261.5930759999999</v>
      </c>
      <c r="S12" s="28">
        <f>IF('[2]Calculo ISR '!$BB$34&gt;0,0,('[2]Calculo ISR '!$BB$34)*-1)</f>
        <v>0</v>
      </c>
      <c r="T12" s="25">
        <f t="shared" si="1"/>
        <v>1696.4369240000003</v>
      </c>
      <c r="U12" s="25">
        <f t="shared" si="2"/>
        <v>173.52</v>
      </c>
      <c r="V12" s="161"/>
      <c r="W12" s="162"/>
    </row>
    <row r="13" spans="1:23" s="2" customFormat="1" ht="45" customHeight="1">
      <c r="A13" s="21" t="s">
        <v>34</v>
      </c>
      <c r="B13" s="31" t="s">
        <v>35</v>
      </c>
      <c r="C13" s="32">
        <f>'[2]HT-DOCENTE'!C12</f>
        <v>19.5</v>
      </c>
      <c r="D13" s="24">
        <v>305.5</v>
      </c>
      <c r="E13" s="25">
        <f t="shared" si="3"/>
        <v>5957.25</v>
      </c>
      <c r="F13" s="25">
        <f>C13*D6</f>
        <v>375.96000000000004</v>
      </c>
      <c r="G13" s="25">
        <f>E6*C13</f>
        <v>213.52499999999998</v>
      </c>
      <c r="H13" s="25"/>
      <c r="I13" s="25">
        <f>E13*E7</f>
        <v>119.145</v>
      </c>
      <c r="J13" s="25">
        <f>'[2]HT-DOCENTE'!J12</f>
        <v>0</v>
      </c>
      <c r="K13" s="25">
        <f t="shared" si="4"/>
        <v>6665.88</v>
      </c>
      <c r="L13" s="27">
        <f>IF('[2]Calculo ISR '!$BC$34&lt;0,0,'[2]Calculo ISR '!$BC$34)</f>
        <v>796.33773600000018</v>
      </c>
      <c r="M13" s="28">
        <f>E13*J6</f>
        <v>625.51125000000002</v>
      </c>
      <c r="N13" s="28">
        <f>'[2]HT-DOCENTE'!P12</f>
        <v>0</v>
      </c>
      <c r="O13" s="28">
        <f>E13*P6</f>
        <v>59.572499999999998</v>
      </c>
      <c r="P13" s="28">
        <f>'[2]HT-DOCENTE'!R12</f>
        <v>0</v>
      </c>
      <c r="Q13" s="28"/>
      <c r="R13" s="25">
        <f t="shared" si="0"/>
        <v>1481.4214860000002</v>
      </c>
      <c r="S13" s="28">
        <f>IF('[2]Calculo ISR '!$BC$34&gt;0,0,('[2]Calculo ISR '!$BC$34)*-1)</f>
        <v>0</v>
      </c>
      <c r="T13" s="25">
        <f t="shared" si="1"/>
        <v>4808.4985139999999</v>
      </c>
      <c r="U13" s="25">
        <f t="shared" si="2"/>
        <v>375.96000000000004</v>
      </c>
      <c r="V13" s="161"/>
      <c r="W13" s="162"/>
    </row>
    <row r="14" spans="1:23" s="2" customFormat="1" ht="45" customHeight="1">
      <c r="A14" s="21" t="s">
        <v>36</v>
      </c>
      <c r="B14" s="31" t="s">
        <v>37</v>
      </c>
      <c r="C14" s="32">
        <v>11.5</v>
      </c>
      <c r="D14" s="24">
        <v>305.5</v>
      </c>
      <c r="E14" s="25">
        <f t="shared" si="3"/>
        <v>3513.25</v>
      </c>
      <c r="F14" s="25">
        <f>C14*D6</f>
        <v>221.72000000000003</v>
      </c>
      <c r="G14" s="25">
        <f>C14*E6</f>
        <v>125.925</v>
      </c>
      <c r="H14" s="25">
        <f>C14*D7</f>
        <v>256.45</v>
      </c>
      <c r="I14" s="25"/>
      <c r="J14" s="25">
        <f>'[2]HT-DOCENTE'!J13</f>
        <v>0</v>
      </c>
      <c r="K14" s="25">
        <f>SUM(E14:J14)</f>
        <v>4117.3450000000003</v>
      </c>
      <c r="L14" s="27">
        <f>IF('[2]Calculo ISR '!$BD$34&lt;0,0,'[2]Calculo ISR '!$BD$34)</f>
        <v>332.38839999999999</v>
      </c>
      <c r="M14" s="28">
        <f>E14*J6</f>
        <v>368.89125000000001</v>
      </c>
      <c r="N14" s="28">
        <v>1100</v>
      </c>
      <c r="O14" s="28">
        <f>E14*P6</f>
        <v>35.1325</v>
      </c>
      <c r="P14" s="28">
        <f>'[2]HT-DOCENTE'!R13</f>
        <v>0</v>
      </c>
      <c r="Q14" s="28"/>
      <c r="R14" s="25">
        <f t="shared" si="0"/>
        <v>1836.4121499999999</v>
      </c>
      <c r="S14" s="28">
        <f>IF('[2]Calculo ISR '!$BD$34&gt;0,0,('[2]Calculo ISR '!$BD$34)*-1)</f>
        <v>0</v>
      </c>
      <c r="T14" s="25">
        <f t="shared" si="1"/>
        <v>2059.2128499999999</v>
      </c>
      <c r="U14" s="25">
        <f t="shared" si="2"/>
        <v>221.72000000000003</v>
      </c>
      <c r="V14" s="161"/>
      <c r="W14" s="162"/>
    </row>
    <row r="15" spans="1:23" s="2" customFormat="1" ht="45" customHeight="1">
      <c r="A15" s="21" t="s">
        <v>38</v>
      </c>
      <c r="B15" s="33" t="s">
        <v>39</v>
      </c>
      <c r="C15" s="32">
        <f>'[2]HT-DOCENTE'!C14</f>
        <v>19.5</v>
      </c>
      <c r="D15" s="24">
        <v>305.5</v>
      </c>
      <c r="E15" s="25">
        <f t="shared" si="3"/>
        <v>5957.25</v>
      </c>
      <c r="F15" s="25">
        <f>C15*D6</f>
        <v>375.96000000000004</v>
      </c>
      <c r="G15" s="25">
        <f>C15*E6</f>
        <v>213.52499999999998</v>
      </c>
      <c r="H15" s="25">
        <f>C15*D7</f>
        <v>434.85</v>
      </c>
      <c r="I15" s="25"/>
      <c r="J15" s="25">
        <f>'[2]HT-DOCENTE'!J14</f>
        <v>0</v>
      </c>
      <c r="K15" s="25">
        <f t="shared" si="4"/>
        <v>6981.585</v>
      </c>
      <c r="L15" s="27">
        <f>IF('[2]Calculo ISR '!$BE$34&lt;0,0,'[2]Calculo ISR '!$BE$34)</f>
        <v>863.77232400000003</v>
      </c>
      <c r="M15" s="28">
        <f>E15*J6</f>
        <v>625.51125000000002</v>
      </c>
      <c r="N15" s="28">
        <v>1655</v>
      </c>
      <c r="O15" s="28">
        <f>E15*P6</f>
        <v>59.572499999999998</v>
      </c>
      <c r="P15" s="28">
        <f>'[2]HT-DOCENTE'!R14</f>
        <v>0</v>
      </c>
      <c r="Q15" s="28"/>
      <c r="R15" s="25">
        <f t="shared" si="0"/>
        <v>3203.8560740000003</v>
      </c>
      <c r="S15" s="28">
        <f>IF('[2]Calculo ISR '!$BE$34&gt;0,0,('[2]Calculo ISR '!$BE$34)*-1)</f>
        <v>0</v>
      </c>
      <c r="T15" s="25">
        <f t="shared" si="1"/>
        <v>3401.7689259999997</v>
      </c>
      <c r="U15" s="25">
        <f t="shared" si="2"/>
        <v>375.96000000000004</v>
      </c>
      <c r="V15" s="161"/>
      <c r="W15" s="162"/>
    </row>
    <row r="16" spans="1:23" s="2" customFormat="1" ht="45" customHeight="1">
      <c r="A16" s="21" t="s">
        <v>40</v>
      </c>
      <c r="B16" s="31" t="s">
        <v>41</v>
      </c>
      <c r="C16" s="32">
        <f>'[2]HT-DOCENTE'!C15</f>
        <v>19.5</v>
      </c>
      <c r="D16" s="24">
        <v>305.5</v>
      </c>
      <c r="E16" s="25">
        <f t="shared" si="3"/>
        <v>5957.25</v>
      </c>
      <c r="F16" s="25">
        <f>C16*D6</f>
        <v>375.96000000000004</v>
      </c>
      <c r="G16" s="25">
        <f>C16*E6</f>
        <v>213.52499999999998</v>
      </c>
      <c r="H16" s="25">
        <f>C16*D7</f>
        <v>434.85</v>
      </c>
      <c r="I16" s="25"/>
      <c r="J16" s="25">
        <f>'[2]HT-DOCENTE'!J15</f>
        <v>0</v>
      </c>
      <c r="K16" s="25">
        <f t="shared" si="4"/>
        <v>6981.585</v>
      </c>
      <c r="L16" s="27">
        <f>IF('[2]Calculo ISR '!$BF$34&lt;0,0,'[2]Calculo ISR '!$BF$34)</f>
        <v>863.77232400000003</v>
      </c>
      <c r="M16" s="28">
        <f>E16*J6</f>
        <v>625.51125000000002</v>
      </c>
      <c r="N16" s="28">
        <f>'[2]HT-DOCENTE'!P15</f>
        <v>0</v>
      </c>
      <c r="O16" s="28">
        <f>E16*P6</f>
        <v>59.572499999999998</v>
      </c>
      <c r="P16" s="28">
        <v>0</v>
      </c>
      <c r="Q16" s="28"/>
      <c r="R16" s="25">
        <f t="shared" si="0"/>
        <v>1548.856074</v>
      </c>
      <c r="S16" s="28">
        <f>IF('[2]Calculo ISR '!$BF$34&gt;0,0,('[2]Calculo ISR '!$BF$34)*-1)</f>
        <v>0</v>
      </c>
      <c r="T16" s="25">
        <f t="shared" si="1"/>
        <v>5056.7689259999997</v>
      </c>
      <c r="U16" s="25">
        <f t="shared" si="2"/>
        <v>375.96000000000004</v>
      </c>
      <c r="V16" s="161"/>
      <c r="W16" s="162"/>
    </row>
    <row r="17" spans="1:23" s="2" customFormat="1" ht="45" customHeight="1">
      <c r="A17" s="21" t="s">
        <v>42</v>
      </c>
      <c r="B17" s="31" t="s">
        <v>43</v>
      </c>
      <c r="C17" s="32">
        <v>1</v>
      </c>
      <c r="D17" s="24">
        <v>305.5</v>
      </c>
      <c r="E17" s="25">
        <f t="shared" si="3"/>
        <v>305.5</v>
      </c>
      <c r="F17" s="25">
        <f>C17*D6</f>
        <v>19.28</v>
      </c>
      <c r="G17" s="25">
        <f>C17*E6</f>
        <v>10.95</v>
      </c>
      <c r="H17" s="25">
        <f>C17*D7*2</f>
        <v>44.6</v>
      </c>
      <c r="I17" s="25"/>
      <c r="J17" s="25">
        <f>'[2]HT-DOCENTE'!J16</f>
        <v>0</v>
      </c>
      <c r="K17" s="25">
        <f>SUM(E17:J17)</f>
        <v>380.33</v>
      </c>
      <c r="L17" s="27">
        <f>IF('[2]Calculo ISR '!$BG$34&lt;0,0,'[2]Calculo ISR '!$BG$34)</f>
        <v>0</v>
      </c>
      <c r="M17" s="28">
        <f>E17*J6</f>
        <v>32.077500000000001</v>
      </c>
      <c r="N17" s="28">
        <v>0</v>
      </c>
      <c r="O17" s="28">
        <f>E17*P6</f>
        <v>3.0550000000000002</v>
      </c>
      <c r="P17" s="28">
        <f>'[2]HT-DOCENTE'!R16</f>
        <v>0</v>
      </c>
      <c r="Q17" s="28"/>
      <c r="R17" s="25">
        <f t="shared" si="0"/>
        <v>35.1325</v>
      </c>
      <c r="S17" s="28">
        <f>IF('[2]Calculo ISR '!$BG$34&gt;0,0,('[2]Calculo ISR '!$BG$34)*-1)</f>
        <v>188.76064</v>
      </c>
      <c r="T17" s="25">
        <f t="shared" si="1"/>
        <v>514.67813999999998</v>
      </c>
      <c r="U17" s="25">
        <f t="shared" si="2"/>
        <v>19.28</v>
      </c>
      <c r="V17" s="161"/>
      <c r="W17" s="162"/>
    </row>
    <row r="18" spans="1:23" s="2" customFormat="1" ht="45" customHeight="1">
      <c r="A18" s="21" t="s">
        <v>44</v>
      </c>
      <c r="B18" s="31" t="s">
        <v>45</v>
      </c>
      <c r="C18" s="34">
        <v>18.5</v>
      </c>
      <c r="D18" s="24">
        <v>305.5</v>
      </c>
      <c r="E18" s="25">
        <f t="shared" si="3"/>
        <v>5651.75</v>
      </c>
      <c r="F18" s="25">
        <f>C18*D6</f>
        <v>356.68</v>
      </c>
      <c r="G18" s="25">
        <f>C18*E6</f>
        <v>202.57499999999999</v>
      </c>
      <c r="H18" s="25"/>
      <c r="I18" s="25"/>
      <c r="J18" s="25">
        <f>'[2]HT-DOCENTE'!J17</f>
        <v>0</v>
      </c>
      <c r="K18" s="25">
        <f t="shared" si="4"/>
        <v>6211.0050000000001</v>
      </c>
      <c r="L18" s="27">
        <f>IF('[2]Calculo ISR '!$BH$34&lt;0,0,'[2]Calculo ISR '!$BH$34)</f>
        <v>703.29464400000006</v>
      </c>
      <c r="M18" s="28">
        <f>E18*J6</f>
        <v>593.43375000000003</v>
      </c>
      <c r="N18" s="28">
        <f>'[2]HT-DOCENTE'!P17</f>
        <v>0</v>
      </c>
      <c r="O18" s="28">
        <f>E18*P6</f>
        <v>56.517499999999998</v>
      </c>
      <c r="P18" s="28">
        <f>'[2]HT-DOCENTE'!R17</f>
        <v>0</v>
      </c>
      <c r="Q18" s="28"/>
      <c r="R18" s="25">
        <f t="shared" si="0"/>
        <v>1353.2458940000001</v>
      </c>
      <c r="S18" s="28">
        <f>IF('[2]Calculo ISR '!$BH$34&gt;0,0,('[2]Calculo ISR '!$BH$34)*-1)</f>
        <v>0</v>
      </c>
      <c r="T18" s="25">
        <f t="shared" si="1"/>
        <v>4501.0791059999992</v>
      </c>
      <c r="U18" s="25">
        <f t="shared" si="2"/>
        <v>356.68</v>
      </c>
      <c r="V18" s="161"/>
      <c r="W18" s="162"/>
    </row>
    <row r="19" spans="1:23" s="2" customFormat="1" ht="45" customHeight="1">
      <c r="A19" s="21" t="s">
        <v>46</v>
      </c>
      <c r="B19" s="33" t="s">
        <v>47</v>
      </c>
      <c r="C19" s="34">
        <v>11.5</v>
      </c>
      <c r="D19" s="24">
        <v>305.5</v>
      </c>
      <c r="E19" s="25">
        <f t="shared" si="3"/>
        <v>3513.25</v>
      </c>
      <c r="F19" s="25">
        <f>C19*D6</f>
        <v>221.72000000000003</v>
      </c>
      <c r="G19" s="25">
        <f>C19*E6</f>
        <v>125.925</v>
      </c>
      <c r="H19" s="25"/>
      <c r="I19" s="25"/>
      <c r="J19" s="25">
        <v>0</v>
      </c>
      <c r="K19" s="25">
        <f t="shared" si="4"/>
        <v>3860.8950000000004</v>
      </c>
      <c r="L19" s="27">
        <f>IF('[2]Calculo ISR '!$BI$34&lt;0,0,'[2]Calculo ISR '!$BI$34)</f>
        <v>184.45915199999999</v>
      </c>
      <c r="M19" s="28">
        <f>E19*J6</f>
        <v>368.89125000000001</v>
      </c>
      <c r="N19" s="28">
        <v>1254.74</v>
      </c>
      <c r="O19" s="28">
        <f>E19*P6</f>
        <v>35.1325</v>
      </c>
      <c r="P19" s="28">
        <f>'[2]HT-DOCENTE'!R18</f>
        <v>0</v>
      </c>
      <c r="Q19" s="30"/>
      <c r="R19" s="25">
        <f t="shared" si="0"/>
        <v>1843.222902</v>
      </c>
      <c r="S19" s="28">
        <f>IF('[2]Calculo ISR '!$BI$34&gt;0,0,('[2]Calculo ISR '!$BI$34)*-1)</f>
        <v>0</v>
      </c>
      <c r="T19" s="25">
        <f t="shared" si="1"/>
        <v>1795.9520980000004</v>
      </c>
      <c r="U19" s="25">
        <f t="shared" si="2"/>
        <v>221.72000000000003</v>
      </c>
      <c r="V19" s="163"/>
      <c r="W19" s="163"/>
    </row>
    <row r="20" spans="1:23" s="2" customFormat="1" ht="45" customHeight="1">
      <c r="A20" s="21" t="s">
        <v>48</v>
      </c>
      <c r="B20" s="33" t="s">
        <v>49</v>
      </c>
      <c r="C20" s="34">
        <v>19.5</v>
      </c>
      <c r="D20" s="24">
        <v>305.5</v>
      </c>
      <c r="E20" s="25">
        <f t="shared" si="3"/>
        <v>5957.25</v>
      </c>
      <c r="F20" s="25">
        <f>C20*D6</f>
        <v>375.96000000000004</v>
      </c>
      <c r="G20" s="25">
        <f>C20*E6</f>
        <v>213.52499999999998</v>
      </c>
      <c r="H20" s="25"/>
      <c r="I20" s="25"/>
      <c r="J20" s="25">
        <v>0</v>
      </c>
      <c r="K20" s="25">
        <f t="shared" si="4"/>
        <v>6546.7349999999997</v>
      </c>
      <c r="L20" s="27">
        <f>IF('[2]Calculo ISR '!$BJ$34&lt;0,0,'[2]Calculo ISR '!$BJ$34)</f>
        <v>770.88836400000002</v>
      </c>
      <c r="M20" s="28">
        <f>E20*J6</f>
        <v>625.51125000000002</v>
      </c>
      <c r="N20" s="28">
        <f>'[2]HT-DOCENTE'!P19</f>
        <v>0</v>
      </c>
      <c r="O20" s="28">
        <f>E20*P6</f>
        <v>59.572499999999998</v>
      </c>
      <c r="P20" s="28">
        <f>'[2]HT-DOCENTE'!R19</f>
        <v>0</v>
      </c>
      <c r="Q20" s="28"/>
      <c r="R20" s="25">
        <f t="shared" si="0"/>
        <v>1455.9721139999999</v>
      </c>
      <c r="S20" s="28">
        <f>IF('[2]Calculo ISR '!$BJ$34&gt;0,0,('[2]Calculo ISR '!$BJ$34)*-1)</f>
        <v>0</v>
      </c>
      <c r="T20" s="25">
        <f t="shared" si="1"/>
        <v>4714.8028859999995</v>
      </c>
      <c r="U20" s="25">
        <f t="shared" si="2"/>
        <v>375.96000000000004</v>
      </c>
      <c r="V20" s="161"/>
      <c r="W20" s="162"/>
    </row>
    <row r="21" spans="1:23" s="2" customFormat="1" ht="45" customHeight="1">
      <c r="A21" s="21" t="s">
        <v>50</v>
      </c>
      <c r="B21" s="31" t="s">
        <v>51</v>
      </c>
      <c r="C21" s="34">
        <v>19.5</v>
      </c>
      <c r="D21" s="24">
        <v>305.5</v>
      </c>
      <c r="E21" s="25">
        <f t="shared" si="3"/>
        <v>5957.25</v>
      </c>
      <c r="F21" s="25">
        <f>C21*D6</f>
        <v>375.96000000000004</v>
      </c>
      <c r="G21" s="25">
        <f>C21*E6</f>
        <v>213.52499999999998</v>
      </c>
      <c r="H21" s="25"/>
      <c r="I21" s="25"/>
      <c r="J21" s="25">
        <v>0</v>
      </c>
      <c r="K21" s="25">
        <f>SUM(E21:J21)</f>
        <v>6546.7349999999997</v>
      </c>
      <c r="L21" s="27">
        <f>IF('[2]Calculo ISR '!$BK$34&lt;0,0,'[2]Calculo ISR '!$BK$34)</f>
        <v>770.88836400000002</v>
      </c>
      <c r="M21" s="28">
        <f>E21*J6</f>
        <v>625.51125000000002</v>
      </c>
      <c r="N21" s="28">
        <v>1279</v>
      </c>
      <c r="O21" s="28">
        <f>E21*P6</f>
        <v>59.572499999999998</v>
      </c>
      <c r="P21" s="28"/>
      <c r="Q21" s="28"/>
      <c r="R21" s="25">
        <f t="shared" si="0"/>
        <v>2734.9721140000001</v>
      </c>
      <c r="S21" s="28">
        <f>IF('[2]Calculo ISR '!$BK$34&gt;0,0,('[2]Calculo ISR '!$BK$34)*-1)</f>
        <v>0</v>
      </c>
      <c r="T21" s="25">
        <f t="shared" si="1"/>
        <v>3435.8028859999995</v>
      </c>
      <c r="U21" s="25">
        <f t="shared" si="2"/>
        <v>375.96000000000004</v>
      </c>
      <c r="V21" s="161"/>
      <c r="W21" s="162"/>
    </row>
    <row r="22" spans="1:23" s="35" customFormat="1" ht="45" customHeight="1">
      <c r="A22" s="21" t="s">
        <v>52</v>
      </c>
      <c r="B22" s="31" t="s">
        <v>53</v>
      </c>
      <c r="C22" s="34">
        <v>19.5</v>
      </c>
      <c r="D22" s="24">
        <v>305.5</v>
      </c>
      <c r="E22" s="25">
        <f t="shared" si="3"/>
        <v>5957.25</v>
      </c>
      <c r="F22" s="25">
        <f>C22*D6</f>
        <v>375.96000000000004</v>
      </c>
      <c r="G22" s="25">
        <f>C22*E6</f>
        <v>213.52499999999998</v>
      </c>
      <c r="H22" s="25"/>
      <c r="I22" s="25"/>
      <c r="J22" s="25">
        <v>0</v>
      </c>
      <c r="K22" s="25">
        <f t="shared" si="4"/>
        <v>6546.7349999999997</v>
      </c>
      <c r="L22" s="27">
        <f>IF('[2]Calculo ISR '!$BL$34&lt;0,0,'[2]Calculo ISR '!$BL$34)</f>
        <v>770.88836400000002</v>
      </c>
      <c r="M22" s="28">
        <f>E22*J6</f>
        <v>625.51125000000002</v>
      </c>
      <c r="N22" s="28">
        <f>'[2]HT-DOCENTE'!P21</f>
        <v>0</v>
      </c>
      <c r="O22" s="28">
        <f>E22*P6</f>
        <v>59.572499999999998</v>
      </c>
      <c r="P22" s="28"/>
      <c r="Q22" s="28"/>
      <c r="R22" s="25">
        <f t="shared" si="0"/>
        <v>1455.9721139999999</v>
      </c>
      <c r="S22" s="28">
        <f>IF('[2]Calculo ISR '!$BL$34&gt;0,0,('[2]Calculo ISR '!$BL$34)*-1)</f>
        <v>0</v>
      </c>
      <c r="T22" s="25">
        <f t="shared" si="1"/>
        <v>4714.8028859999995</v>
      </c>
      <c r="U22" s="25">
        <f t="shared" si="2"/>
        <v>375.96000000000004</v>
      </c>
      <c r="V22" s="161"/>
      <c r="W22" s="162"/>
    </row>
    <row r="23" spans="1:23" s="2" customFormat="1" ht="45" customHeight="1">
      <c r="A23" s="21" t="s">
        <v>54</v>
      </c>
      <c r="B23" s="31" t="s">
        <v>55</v>
      </c>
      <c r="C23" s="34">
        <v>19.5</v>
      </c>
      <c r="D23" s="24">
        <v>305.5</v>
      </c>
      <c r="E23" s="25">
        <f>C23*D23</f>
        <v>5957.25</v>
      </c>
      <c r="F23" s="25">
        <f>C23*D6</f>
        <v>375.96000000000004</v>
      </c>
      <c r="G23" s="25">
        <f>C23*E6</f>
        <v>213.52499999999998</v>
      </c>
      <c r="H23" s="25"/>
      <c r="I23" s="25"/>
      <c r="J23" s="25">
        <v>0</v>
      </c>
      <c r="K23" s="25">
        <f t="shared" si="4"/>
        <v>6546.7349999999997</v>
      </c>
      <c r="L23" s="27">
        <f>IF('[2]Calculo ISR '!$BM$34&lt;0,0,'[2]Calculo ISR '!$BM$34)</f>
        <v>770.88836400000002</v>
      </c>
      <c r="M23" s="28">
        <f>E23*J6</f>
        <v>625.51125000000002</v>
      </c>
      <c r="N23" s="28">
        <v>1324</v>
      </c>
      <c r="O23" s="28">
        <f>E23*P6</f>
        <v>59.572499999999998</v>
      </c>
      <c r="P23" s="28">
        <f>'[2]HT-DOCENTE'!R22</f>
        <v>0</v>
      </c>
      <c r="Q23" s="28"/>
      <c r="R23" s="25">
        <f t="shared" si="0"/>
        <v>2779.9721140000001</v>
      </c>
      <c r="S23" s="28">
        <f>IF('[2]Calculo ISR '!$BM$34&gt;0,0,('[2]Calculo ISR '!$BM$34)*-1)</f>
        <v>0</v>
      </c>
      <c r="T23" s="25">
        <f t="shared" si="1"/>
        <v>3390.8028859999995</v>
      </c>
      <c r="U23" s="25">
        <f t="shared" si="2"/>
        <v>375.96000000000004</v>
      </c>
      <c r="V23" s="161"/>
      <c r="W23" s="162"/>
    </row>
    <row r="24" spans="1:23" s="2" customFormat="1" ht="45" customHeight="1">
      <c r="A24" s="21" t="s">
        <v>56</v>
      </c>
      <c r="B24" s="31" t="s">
        <v>57</v>
      </c>
      <c r="C24" s="34">
        <v>19.5</v>
      </c>
      <c r="D24" s="24">
        <v>305.5</v>
      </c>
      <c r="E24" s="25">
        <f t="shared" si="3"/>
        <v>5957.25</v>
      </c>
      <c r="F24" s="25">
        <f>C24*D6</f>
        <v>375.96000000000004</v>
      </c>
      <c r="G24" s="25">
        <f>C24*E6</f>
        <v>213.52499999999998</v>
      </c>
      <c r="H24" s="25">
        <f>C24*D7</f>
        <v>434.85</v>
      </c>
      <c r="I24" s="25"/>
      <c r="J24" s="25">
        <v>0</v>
      </c>
      <c r="K24" s="25">
        <f t="shared" si="4"/>
        <v>6981.585</v>
      </c>
      <c r="L24" s="27">
        <f>IF('[2]Calculo ISR '!$BN$34&lt;0,0,'[2]Calculo ISR '!$BN$34)</f>
        <v>863.77232400000003</v>
      </c>
      <c r="M24" s="28">
        <f>E24*J6</f>
        <v>625.51125000000002</v>
      </c>
      <c r="N24" s="28">
        <f>'[2]HT-DOCENTE'!P23</f>
        <v>0</v>
      </c>
      <c r="O24" s="28">
        <f>E24*P6</f>
        <v>59.572499999999998</v>
      </c>
      <c r="P24" s="28">
        <f>'[2]HT-DOCENTE'!R23</f>
        <v>0</v>
      </c>
      <c r="Q24" s="28"/>
      <c r="R24" s="25">
        <f t="shared" si="0"/>
        <v>1548.856074</v>
      </c>
      <c r="S24" s="28">
        <f>IF('[2]Calculo ISR '!$BN$34&gt;0,0,('[2]Calculo ISR '!$BN$34)*-1)</f>
        <v>0</v>
      </c>
      <c r="T24" s="25">
        <f t="shared" si="1"/>
        <v>5056.7689259999997</v>
      </c>
      <c r="U24" s="25">
        <f t="shared" si="2"/>
        <v>375.96000000000004</v>
      </c>
      <c r="V24" s="161"/>
      <c r="W24" s="162"/>
    </row>
    <row r="25" spans="1:23" s="2" customFormat="1" ht="45" customHeight="1">
      <c r="A25" s="21" t="s">
        <v>58</v>
      </c>
      <c r="B25" s="31" t="s">
        <v>59</v>
      </c>
      <c r="C25" s="34">
        <v>11</v>
      </c>
      <c r="D25" s="24">
        <v>305.5</v>
      </c>
      <c r="E25" s="25">
        <f t="shared" si="3"/>
        <v>3360.5</v>
      </c>
      <c r="F25" s="25">
        <f>C25*D6</f>
        <v>212.08</v>
      </c>
      <c r="G25" s="25">
        <f>C25*E6</f>
        <v>120.44999999999999</v>
      </c>
      <c r="H25" s="25"/>
      <c r="I25" s="25"/>
      <c r="J25" s="25"/>
      <c r="K25" s="25">
        <f>SUM(E25:J25)</f>
        <v>3693.0299999999997</v>
      </c>
      <c r="L25" s="27">
        <f>IF('[2]Calculo ISR '!$BO$34&lt;0,0,'[2]Calculo ISR '!$BO$34)</f>
        <v>149.54427199999995</v>
      </c>
      <c r="M25" s="28">
        <f>E25*J6</f>
        <v>352.85249999999996</v>
      </c>
      <c r="N25" s="28">
        <v>707</v>
      </c>
      <c r="O25" s="28">
        <f>E25*P6</f>
        <v>33.605000000000004</v>
      </c>
      <c r="P25" s="28"/>
      <c r="Q25" s="28"/>
      <c r="R25" s="25">
        <f t="shared" si="0"/>
        <v>1243.0017720000001</v>
      </c>
      <c r="S25" s="28">
        <f>IF('[2]Calculo ISR '!$BO$34&gt;0,0,('[2]Calculo ISR '!$BO$34)*-1)</f>
        <v>0</v>
      </c>
      <c r="T25" s="25">
        <f t="shared" si="1"/>
        <v>2237.9482279999997</v>
      </c>
      <c r="U25" s="25">
        <f t="shared" si="2"/>
        <v>212.08</v>
      </c>
      <c r="V25" s="161"/>
      <c r="W25" s="162"/>
    </row>
    <row r="26" spans="1:23" s="2" customFormat="1" ht="45" customHeight="1">
      <c r="A26" s="21" t="s">
        <v>60</v>
      </c>
      <c r="B26" s="31" t="s">
        <v>61</v>
      </c>
      <c r="C26" s="34">
        <v>19.5</v>
      </c>
      <c r="D26" s="24">
        <v>305.5</v>
      </c>
      <c r="E26" s="25">
        <f t="shared" si="3"/>
        <v>5957.25</v>
      </c>
      <c r="F26" s="25">
        <f>C26*D6</f>
        <v>375.96000000000004</v>
      </c>
      <c r="G26" s="25">
        <f>C26*E6</f>
        <v>213.52499999999998</v>
      </c>
      <c r="H26" s="25"/>
      <c r="I26" s="25"/>
      <c r="J26" s="25"/>
      <c r="K26" s="25">
        <f t="shared" si="4"/>
        <v>6546.7349999999997</v>
      </c>
      <c r="L26" s="27">
        <f>IF('[2]Calculo ISR '!$BP$34&lt;0,0,'[2]Calculo ISR '!$BP$34)</f>
        <v>770.88836400000002</v>
      </c>
      <c r="M26" s="28">
        <f>E26*J6</f>
        <v>625.51125000000002</v>
      </c>
      <c r="N26" s="28"/>
      <c r="O26" s="28"/>
      <c r="P26" s="28"/>
      <c r="Q26" s="28"/>
      <c r="R26" s="25">
        <f t="shared" ref="R26:R32" si="5">L26+M26+N26+O26+P26+Q26</f>
        <v>1396.3996139999999</v>
      </c>
      <c r="S26" s="28">
        <f>IF('[2]Calculo ISR '!$BP$34&gt;0,0,('[2]Calculo ISR '!$BP$34)*-1)</f>
        <v>0</v>
      </c>
      <c r="T26" s="25">
        <f t="shared" si="1"/>
        <v>4774.3753859999997</v>
      </c>
      <c r="U26" s="25">
        <f t="shared" si="2"/>
        <v>375.96000000000004</v>
      </c>
      <c r="V26" s="161"/>
      <c r="W26" s="162"/>
    </row>
    <row r="27" spans="1:23" s="2" customFormat="1" ht="45" customHeight="1">
      <c r="A27" s="21" t="s">
        <v>62</v>
      </c>
      <c r="B27" s="31" t="s">
        <v>63</v>
      </c>
      <c r="C27" s="34">
        <v>17</v>
      </c>
      <c r="D27" s="24">
        <v>305.5</v>
      </c>
      <c r="E27" s="25">
        <f t="shared" si="3"/>
        <v>5193.5</v>
      </c>
      <c r="F27" s="25">
        <f>C27*D6</f>
        <v>327.76</v>
      </c>
      <c r="G27" s="25">
        <f>C27*E6</f>
        <v>186.14999999999998</v>
      </c>
      <c r="H27" s="25"/>
      <c r="I27" s="25"/>
      <c r="J27" s="25">
        <v>0</v>
      </c>
      <c r="K27" s="25">
        <f t="shared" si="4"/>
        <v>5707.41</v>
      </c>
      <c r="L27" s="27">
        <f>IF('[2]Calculo ISR '!$BQ$34&lt;0,0,'[2]Calculo ISR '!$BQ$34)</f>
        <v>601.90406400000006</v>
      </c>
      <c r="M27" s="28">
        <f>E27*J6</f>
        <v>545.3175</v>
      </c>
      <c r="N27" s="28"/>
      <c r="O27" s="28">
        <f>E27*P6</f>
        <v>51.935000000000002</v>
      </c>
      <c r="P27" s="28"/>
      <c r="Q27" s="28"/>
      <c r="R27" s="25">
        <f t="shared" si="5"/>
        <v>1199.1565639999999</v>
      </c>
      <c r="S27" s="28">
        <f>IF('[2]Calculo ISR '!$BQ$34&gt;0,0,('[2]Calculo ISR '!$BQ$34)*-1)</f>
        <v>0</v>
      </c>
      <c r="T27" s="25">
        <f t="shared" ref="T27:T32" si="6">K27-R27+S27-U27</f>
        <v>4180.4934359999997</v>
      </c>
      <c r="U27" s="25">
        <f t="shared" si="2"/>
        <v>327.76</v>
      </c>
      <c r="V27" s="161"/>
      <c r="W27" s="162"/>
    </row>
    <row r="28" spans="1:23" s="35" customFormat="1" ht="45" customHeight="1">
      <c r="A28" s="21" t="s">
        <v>64</v>
      </c>
      <c r="B28" s="31" t="s">
        <v>65</v>
      </c>
      <c r="C28" s="34">
        <v>9</v>
      </c>
      <c r="D28" s="24">
        <v>305.5</v>
      </c>
      <c r="E28" s="25">
        <f t="shared" si="3"/>
        <v>2749.5</v>
      </c>
      <c r="F28" s="25">
        <f>C28*D6</f>
        <v>173.52</v>
      </c>
      <c r="G28" s="25">
        <f>C28*E6</f>
        <v>98.55</v>
      </c>
      <c r="H28" s="25"/>
      <c r="I28" s="25"/>
      <c r="J28" s="25">
        <v>0</v>
      </c>
      <c r="K28" s="25">
        <f>SUM(E28:J28)</f>
        <v>3021.57</v>
      </c>
      <c r="L28" s="27">
        <f>IF('[2]Calculo ISR '!$BR$34&lt;0,0,'[2]Calculo ISR '!$BR$34)</f>
        <v>60.434752000000003</v>
      </c>
      <c r="M28" s="28">
        <f>E28*J6</f>
        <v>288.69749999999999</v>
      </c>
      <c r="N28" s="28"/>
      <c r="O28" s="28"/>
      <c r="P28" s="28"/>
      <c r="Q28" s="28"/>
      <c r="R28" s="25">
        <f t="shared" si="5"/>
        <v>349.13225199999999</v>
      </c>
      <c r="S28" s="28">
        <f>IF('[2]Calculo ISR '!$BR$34&gt;0,0,('[2]Calculo ISR '!$BR$34)*-1)</f>
        <v>0</v>
      </c>
      <c r="T28" s="25">
        <f t="shared" si="6"/>
        <v>2498.9177480000003</v>
      </c>
      <c r="U28" s="25">
        <f t="shared" si="2"/>
        <v>173.52</v>
      </c>
      <c r="V28" s="161"/>
      <c r="W28" s="162"/>
    </row>
    <row r="29" spans="1:23" s="35" customFormat="1" ht="45" customHeight="1">
      <c r="A29" s="21" t="s">
        <v>66</v>
      </c>
      <c r="B29" s="33" t="s">
        <v>67</v>
      </c>
      <c r="C29" s="34">
        <v>8</v>
      </c>
      <c r="D29" s="24">
        <v>305.5</v>
      </c>
      <c r="E29" s="25">
        <f t="shared" si="3"/>
        <v>2444</v>
      </c>
      <c r="F29" s="25">
        <f>C29*D6</f>
        <v>154.24</v>
      </c>
      <c r="G29" s="25">
        <f>C29*E6</f>
        <v>87.6</v>
      </c>
      <c r="H29" s="25"/>
      <c r="I29" s="25"/>
      <c r="J29" s="25">
        <v>0</v>
      </c>
      <c r="K29" s="25">
        <f t="shared" si="4"/>
        <v>2685.8399999999997</v>
      </c>
      <c r="L29" s="27">
        <f>IF('[2]Calculo ISR '!$BS$34&lt;0,0,'[2]Calculo ISR '!$BS$34)</f>
        <v>11.00499199999993</v>
      </c>
      <c r="M29" s="28">
        <f>E29*J6</f>
        <v>256.62</v>
      </c>
      <c r="N29" s="28"/>
      <c r="O29" s="28"/>
      <c r="P29" s="28"/>
      <c r="Q29" s="28"/>
      <c r="R29" s="25">
        <f t="shared" si="5"/>
        <v>267.62499199999991</v>
      </c>
      <c r="S29" s="28">
        <f>IF('[2]Calculo ISR '!$BS$34&gt;0,0,('[2]Calculo ISR '!$BS$34)*-1)</f>
        <v>0</v>
      </c>
      <c r="T29" s="25">
        <f t="shared" si="6"/>
        <v>2263.9750079999994</v>
      </c>
      <c r="U29" s="25">
        <f t="shared" si="2"/>
        <v>154.24</v>
      </c>
      <c r="V29" s="161"/>
      <c r="W29" s="162"/>
    </row>
    <row r="30" spans="1:23" s="35" customFormat="1" ht="45" customHeight="1">
      <c r="A30" s="21" t="s">
        <v>68</v>
      </c>
      <c r="B30" s="33" t="s">
        <v>69</v>
      </c>
      <c r="C30" s="34">
        <v>4.5</v>
      </c>
      <c r="D30" s="24">
        <v>305.5</v>
      </c>
      <c r="E30" s="25">
        <f t="shared" si="3"/>
        <v>1374.75</v>
      </c>
      <c r="F30" s="25">
        <f>C30*D6</f>
        <v>86.76</v>
      </c>
      <c r="G30" s="25">
        <f>C30*E6</f>
        <v>49.274999999999999</v>
      </c>
      <c r="H30" s="25"/>
      <c r="I30" s="25"/>
      <c r="J30" s="25">
        <v>0</v>
      </c>
      <c r="K30" s="25">
        <f t="shared" si="4"/>
        <v>1510.7850000000001</v>
      </c>
      <c r="L30" s="27">
        <f>IF('[2]Calculo ISR '!$BT$34&lt;0,0,'[2]Calculo ISR '!$BT$34)</f>
        <v>0</v>
      </c>
      <c r="M30" s="28">
        <f>E30*J6</f>
        <v>144.34875</v>
      </c>
      <c r="N30" s="28"/>
      <c r="O30" s="28"/>
      <c r="P30" s="28"/>
      <c r="Q30" s="28"/>
      <c r="R30" s="25">
        <f t="shared" si="5"/>
        <v>144.34875</v>
      </c>
      <c r="S30" s="28">
        <f>IF('[2]Calculo ISR '!$BT$34&gt;0,0,('[2]Calculo ISR '!$BT$34)*-1)</f>
        <v>120.58023999999997</v>
      </c>
      <c r="T30" s="25">
        <f t="shared" si="6"/>
        <v>1400.2564900000002</v>
      </c>
      <c r="U30" s="25">
        <f t="shared" si="2"/>
        <v>86.76</v>
      </c>
      <c r="V30" s="161"/>
      <c r="W30" s="162"/>
    </row>
    <row r="31" spans="1:23" s="35" customFormat="1" ht="45" customHeight="1">
      <c r="A31" s="21" t="s">
        <v>70</v>
      </c>
      <c r="B31" s="33" t="s">
        <v>71</v>
      </c>
      <c r="C31" s="34">
        <v>6.5</v>
      </c>
      <c r="D31" s="24">
        <v>305.5</v>
      </c>
      <c r="E31" s="25">
        <f t="shared" si="3"/>
        <v>1985.75</v>
      </c>
      <c r="F31" s="25">
        <f>C31*D6</f>
        <v>125.32000000000001</v>
      </c>
      <c r="G31" s="25">
        <f>C31*E6</f>
        <v>71.174999999999997</v>
      </c>
      <c r="H31" s="25"/>
      <c r="I31" s="25"/>
      <c r="J31" s="25">
        <v>0</v>
      </c>
      <c r="K31" s="25">
        <f>SUM(E31:J31)</f>
        <v>2182.2450000000003</v>
      </c>
      <c r="L31" s="27">
        <f>IF('[2]Calculo ISR '!$BU$34&lt;0,0,'[2]Calculo ISR '!$BU$34)</f>
        <v>0</v>
      </c>
      <c r="M31" s="28">
        <f>E31*J6</f>
        <v>208.50375</v>
      </c>
      <c r="N31" s="28"/>
      <c r="O31" s="28"/>
      <c r="P31" s="28"/>
      <c r="Q31" s="28"/>
      <c r="R31" s="25">
        <f t="shared" si="5"/>
        <v>208.50375</v>
      </c>
      <c r="S31" s="28">
        <f>IF('[2]Calculo ISR '!$BU$34&gt;0,0,('[2]Calculo ISR '!$BU$34)*-1)</f>
        <v>68.07463999999996</v>
      </c>
      <c r="T31" s="25">
        <f t="shared" si="6"/>
        <v>1916.4958900000004</v>
      </c>
      <c r="U31" s="25">
        <f t="shared" si="2"/>
        <v>125.32000000000001</v>
      </c>
      <c r="V31" s="161"/>
      <c r="W31" s="162"/>
    </row>
    <row r="32" spans="1:23" s="35" customFormat="1" ht="45" customHeight="1">
      <c r="A32" s="21" t="s">
        <v>72</v>
      </c>
      <c r="B32" s="31" t="s">
        <v>73</v>
      </c>
      <c r="C32" s="34">
        <v>7</v>
      </c>
      <c r="D32" s="24">
        <v>305.5</v>
      </c>
      <c r="E32" s="25">
        <f t="shared" si="3"/>
        <v>2138.5</v>
      </c>
      <c r="F32" s="25">
        <f>C32*D6</f>
        <v>134.96</v>
      </c>
      <c r="G32" s="25">
        <f>C32*E6</f>
        <v>76.649999999999991</v>
      </c>
      <c r="H32" s="25"/>
      <c r="I32" s="25"/>
      <c r="J32" s="25"/>
      <c r="K32" s="25">
        <f t="shared" si="4"/>
        <v>2350.11</v>
      </c>
      <c r="L32" s="27">
        <f>IF('[2]Calculo ISR '!$BV$34&lt;0,0,'[2]Calculo ISR '!$BV$34)</f>
        <v>0</v>
      </c>
      <c r="M32" s="28">
        <f>E32*J6</f>
        <v>224.54249999999999</v>
      </c>
      <c r="N32" s="28"/>
      <c r="O32" s="28"/>
      <c r="P32" s="28"/>
      <c r="Q32" s="28"/>
      <c r="R32" s="25">
        <f t="shared" si="5"/>
        <v>224.54249999999999</v>
      </c>
      <c r="S32" s="28">
        <f>IF('[2]Calculo ISR '!$BV$34&gt;0,0,('[2]Calculo ISR '!$BV$34)*-1)</f>
        <v>37.824768000000006</v>
      </c>
      <c r="T32" s="25">
        <f t="shared" si="6"/>
        <v>2028.432268</v>
      </c>
      <c r="U32" s="25">
        <f t="shared" si="2"/>
        <v>134.96</v>
      </c>
      <c r="V32" s="161"/>
      <c r="W32" s="162"/>
    </row>
    <row r="33" spans="1:27" s="2" customFormat="1" ht="30" customHeight="1" thickBot="1">
      <c r="A33" s="37"/>
      <c r="B33" s="38" t="s">
        <v>74</v>
      </c>
      <c r="C33" s="39">
        <f t="shared" ref="C33:U33" si="7">SUM(C10:C32)</f>
        <v>315</v>
      </c>
      <c r="D33" s="40">
        <f t="shared" si="7"/>
        <v>7026.5</v>
      </c>
      <c r="E33" s="40">
        <f t="shared" si="7"/>
        <v>96232.5</v>
      </c>
      <c r="F33" s="40">
        <f t="shared" si="7"/>
        <v>6073.2000000000007</v>
      </c>
      <c r="G33" s="40">
        <f t="shared" si="7"/>
        <v>3449.2500000000009</v>
      </c>
      <c r="H33" s="40">
        <f t="shared" si="7"/>
        <v>1605.6</v>
      </c>
      <c r="I33" s="40">
        <f t="shared" si="7"/>
        <v>534.625</v>
      </c>
      <c r="J33" s="40">
        <f t="shared" si="7"/>
        <v>0</v>
      </c>
      <c r="K33" s="40">
        <f t="shared" si="7"/>
        <v>107895.17500000002</v>
      </c>
      <c r="L33" s="40">
        <f t="shared" si="7"/>
        <v>10179.314488000002</v>
      </c>
      <c r="M33" s="40">
        <f t="shared" si="7"/>
        <v>10104.412499999997</v>
      </c>
      <c r="N33" s="40">
        <f t="shared" si="7"/>
        <v>10562.4</v>
      </c>
      <c r="O33" s="40">
        <f t="shared" si="7"/>
        <v>795.82749999999987</v>
      </c>
      <c r="P33" s="40">
        <f t="shared" si="7"/>
        <v>0</v>
      </c>
      <c r="Q33" s="40">
        <f t="shared" si="7"/>
        <v>0</v>
      </c>
      <c r="R33" s="40">
        <f t="shared" si="7"/>
        <v>31641.954488000003</v>
      </c>
      <c r="S33" s="40">
        <f t="shared" si="7"/>
        <v>499.26628799999986</v>
      </c>
      <c r="T33" s="40">
        <f t="shared" si="7"/>
        <v>70679.286800000002</v>
      </c>
      <c r="U33" s="40">
        <f t="shared" si="7"/>
        <v>6073.2000000000007</v>
      </c>
      <c r="V33" s="41"/>
      <c r="W33" s="3"/>
      <c r="Y33" s="42"/>
    </row>
    <row r="34" spans="1:27" s="2" customFormat="1" ht="7.5" customHeight="1">
      <c r="A34" s="43"/>
      <c r="B34" s="60">
        <v>23</v>
      </c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1"/>
      <c r="W34" s="3"/>
      <c r="X34" s="42"/>
    </row>
    <row r="35" spans="1:27" s="2" customFormat="1" ht="7.5" customHeight="1">
      <c r="A35" s="43"/>
      <c r="B35" s="44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1"/>
      <c r="W35" s="3"/>
      <c r="X35" s="42"/>
    </row>
    <row r="36" spans="1:27" s="2" customFormat="1" ht="15.75" customHeight="1">
      <c r="A36" s="1"/>
      <c r="B36" s="47" t="s">
        <v>75</v>
      </c>
      <c r="C36" s="1"/>
      <c r="D36" s="1"/>
      <c r="G36" s="66" t="s">
        <v>76</v>
      </c>
      <c r="H36" s="66"/>
      <c r="I36" s="66"/>
      <c r="J36" s="66"/>
      <c r="K36" s="66"/>
      <c r="L36" s="49"/>
      <c r="M36" s="50"/>
      <c r="N36" s="1"/>
      <c r="O36" s="1"/>
      <c r="P36" s="1"/>
      <c r="Q36" s="1"/>
      <c r="R36" s="1" t="s">
        <v>77</v>
      </c>
      <c r="S36" s="1"/>
      <c r="T36" s="1"/>
      <c r="U36" s="1"/>
      <c r="V36" s="1"/>
      <c r="X36" s="42"/>
      <c r="AA36" s="1"/>
    </row>
    <row r="37" spans="1:27" s="2" customFormat="1" hidden="1">
      <c r="A37" s="1"/>
      <c r="B37" s="1"/>
      <c r="C37" s="1"/>
      <c r="D37" s="1"/>
      <c r="G37" s="1"/>
      <c r="H37" s="1"/>
      <c r="I37" s="1"/>
      <c r="J37" s="1"/>
      <c r="K37" s="51"/>
      <c r="L37" s="51"/>
      <c r="M37" s="51"/>
      <c r="N37" s="1"/>
      <c r="O37" s="1"/>
      <c r="P37" s="1"/>
      <c r="Q37" s="1"/>
      <c r="R37" s="1"/>
      <c r="S37" s="1"/>
      <c r="T37" s="1"/>
      <c r="U37" s="1"/>
      <c r="V37" s="1"/>
      <c r="X37" s="42"/>
      <c r="AA37" s="1"/>
    </row>
    <row r="38" spans="1:27" s="2" customFormat="1" hidden="1">
      <c r="A38" s="1"/>
      <c r="B38" s="1"/>
      <c r="C38" s="1"/>
      <c r="D38" s="1"/>
      <c r="G38" s="1"/>
      <c r="H38" s="1"/>
      <c r="I38" s="1"/>
      <c r="J38" s="1"/>
      <c r="K38" s="51"/>
      <c r="L38" s="51"/>
      <c r="M38" s="51"/>
      <c r="N38" s="1"/>
      <c r="O38" s="1"/>
      <c r="P38" s="1"/>
      <c r="Q38" s="1"/>
      <c r="R38" s="1"/>
      <c r="S38" s="1"/>
      <c r="T38" s="1"/>
      <c r="U38" s="1"/>
      <c r="V38" s="1"/>
      <c r="X38" s="42"/>
      <c r="AA38" s="1"/>
    </row>
    <row r="39" spans="1:27" s="2" customFormat="1" hidden="1">
      <c r="A39" s="1"/>
      <c r="B39" s="1"/>
      <c r="C39" s="1"/>
      <c r="D39" s="1"/>
      <c r="G39" s="1"/>
      <c r="H39" s="1"/>
      <c r="I39" s="1"/>
      <c r="J39" s="1"/>
      <c r="K39" s="52"/>
      <c r="L39" s="52"/>
      <c r="M39" s="52"/>
      <c r="N39" s="1"/>
      <c r="O39" s="3"/>
      <c r="P39" s="1"/>
      <c r="Q39" s="1"/>
      <c r="R39" s="1"/>
      <c r="S39" s="1"/>
      <c r="T39" s="1"/>
      <c r="U39" s="1"/>
      <c r="V39" s="1"/>
      <c r="AA39" s="1"/>
    </row>
    <row r="40" spans="1:27" s="2" customFormat="1" ht="17.25" customHeight="1">
      <c r="A40" s="1"/>
      <c r="B40" s="47" t="s">
        <v>78</v>
      </c>
      <c r="C40" s="1"/>
      <c r="D40" s="1"/>
      <c r="E40" s="42"/>
      <c r="F40" s="53" t="s">
        <v>79</v>
      </c>
      <c r="H40" s="53"/>
      <c r="I40" s="53"/>
      <c r="J40" s="53"/>
      <c r="K40" s="53"/>
      <c r="L40" s="52"/>
      <c r="M40" s="49"/>
      <c r="N40" s="1"/>
      <c r="O40" s="1"/>
      <c r="P40" s="1"/>
      <c r="Q40" s="1"/>
      <c r="R40" s="53" t="s">
        <v>80</v>
      </c>
      <c r="S40" s="53"/>
      <c r="T40" s="53"/>
      <c r="U40" s="53"/>
      <c r="V40" s="1"/>
      <c r="AA40" s="1"/>
    </row>
    <row r="41" spans="1:27" ht="12.75" customHeight="1">
      <c r="B41" s="54" t="s">
        <v>81</v>
      </c>
      <c r="F41" s="53" t="s">
        <v>82</v>
      </c>
      <c r="G41" s="53"/>
      <c r="H41" s="53"/>
      <c r="I41" s="53"/>
      <c r="J41" s="53"/>
      <c r="K41" s="53"/>
      <c r="M41" s="52"/>
      <c r="R41" s="181" t="s">
        <v>83</v>
      </c>
      <c r="S41" s="181"/>
      <c r="T41" s="181"/>
      <c r="U41" s="55"/>
      <c r="W41" s="3"/>
    </row>
    <row r="42" spans="1:27">
      <c r="W42" s="3"/>
    </row>
    <row r="43" spans="1:27">
      <c r="N43" s="3"/>
      <c r="W43" s="3"/>
    </row>
    <row r="44" spans="1:27">
      <c r="W44" s="3"/>
    </row>
    <row r="45" spans="1:27">
      <c r="W45" s="3"/>
    </row>
    <row r="46" spans="1:27">
      <c r="K46" s="6"/>
      <c r="W46" s="3"/>
    </row>
    <row r="47" spans="1:27">
      <c r="W47" s="3"/>
    </row>
    <row r="48" spans="1:27">
      <c r="W48" s="3"/>
    </row>
    <row r="49" spans="1:22" s="56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s="56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57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s="57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57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s="57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s="57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57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s="57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s="57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s="57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s="57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2" spans="1:22">
      <c r="O62" s="3"/>
    </row>
  </sheetData>
  <mergeCells count="31">
    <mergeCell ref="V14:W14"/>
    <mergeCell ref="A8:A9"/>
    <mergeCell ref="B8:B9"/>
    <mergeCell ref="C8:E8"/>
    <mergeCell ref="F8:K8"/>
    <mergeCell ref="L8:R8"/>
    <mergeCell ref="S8:U8"/>
    <mergeCell ref="V9:W9"/>
    <mergeCell ref="V10:W10"/>
    <mergeCell ref="V11:W11"/>
    <mergeCell ref="V12:W12"/>
    <mergeCell ref="V13:W13"/>
    <mergeCell ref="V26:W26"/>
    <mergeCell ref="V15:W15"/>
    <mergeCell ref="V16:W16"/>
    <mergeCell ref="V17:W17"/>
    <mergeCell ref="V18:W18"/>
    <mergeCell ref="V19:W19"/>
    <mergeCell ref="V20:W20"/>
    <mergeCell ref="V21:W21"/>
    <mergeCell ref="V22:W22"/>
    <mergeCell ref="V23:W23"/>
    <mergeCell ref="V24:W24"/>
    <mergeCell ref="V25:W25"/>
    <mergeCell ref="R41:T41"/>
    <mergeCell ref="V27:W27"/>
    <mergeCell ref="V28:W28"/>
    <mergeCell ref="V29:W29"/>
    <mergeCell ref="V30:W30"/>
    <mergeCell ref="V31:W31"/>
    <mergeCell ref="V32:W32"/>
  </mergeCells>
  <pageMargins left="1.7716535433070868" right="0.31496062992125984" top="0.47" bottom="0.51181102362204722" header="0.31496062992125984" footer="0.31496062992125984"/>
  <pageSetup paperSize="5" scale="5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F67"/>
  <sheetViews>
    <sheetView topLeftCell="A3" zoomScale="80" zoomScaleNormal="80" zoomScaleSheetLayoutView="100" workbookViewId="0">
      <pane xSplit="2" ySplit="7" topLeftCell="C37" activePane="bottomRight" state="frozen"/>
      <selection activeCell="A3" sqref="A3"/>
      <selection pane="topRight" activeCell="C3" sqref="C3"/>
      <selection pane="bottomLeft" activeCell="A10" sqref="A10"/>
      <selection pane="bottomRight" activeCell="J52" sqref="J52"/>
    </sheetView>
  </sheetViews>
  <sheetFormatPr baseColWidth="10" defaultRowHeight="12.75"/>
  <cols>
    <col min="1" max="1" width="13" style="69" customWidth="1"/>
    <col min="2" max="2" width="25.28515625" style="1" customWidth="1"/>
    <col min="3" max="3" width="8" style="1" customWidth="1"/>
    <col min="4" max="4" width="7.140625" style="1" customWidth="1"/>
    <col min="5" max="6" width="11.28515625" style="1" customWidth="1"/>
    <col min="7" max="7" width="11.140625" style="1" customWidth="1"/>
    <col min="8" max="8" width="10.85546875" style="1" customWidth="1"/>
    <col min="9" max="9" width="12.5703125" style="1" customWidth="1"/>
    <col min="10" max="10" width="10.5703125" style="1" customWidth="1"/>
    <col min="11" max="11" width="10.7109375" style="1" customWidth="1"/>
    <col min="12" max="12" width="9.140625" style="1" customWidth="1"/>
    <col min="13" max="13" width="9.85546875" style="1" customWidth="1"/>
    <col min="14" max="14" width="8.5703125" style="1" customWidth="1"/>
    <col min="15" max="15" width="5.5703125" style="1" hidden="1" customWidth="1"/>
    <col min="16" max="16" width="13.7109375" style="1" customWidth="1"/>
    <col min="17" max="17" width="11" style="1" hidden="1" customWidth="1"/>
    <col min="18" max="18" width="11.140625" style="1" hidden="1" customWidth="1"/>
    <col min="19" max="19" width="9.85546875" style="1" hidden="1" customWidth="1"/>
    <col min="20" max="20" width="8.5703125" style="1" hidden="1" customWidth="1"/>
    <col min="21" max="21" width="4.140625" style="1" hidden="1" customWidth="1"/>
    <col min="22" max="22" width="8.7109375" style="1" hidden="1" customWidth="1"/>
    <col min="23" max="23" width="11.85546875" style="1" customWidth="1"/>
    <col min="24" max="24" width="9.140625" style="1" customWidth="1"/>
    <col min="25" max="25" width="12.42578125" style="1" customWidth="1"/>
    <col min="26" max="26" width="12" style="1" hidden="1" customWidth="1"/>
    <col min="27" max="27" width="24.140625" style="1" hidden="1" customWidth="1"/>
    <col min="28" max="28" width="12.28515625" style="1" hidden="1" customWidth="1"/>
    <col min="29" max="16384" width="11.42578125" style="1"/>
  </cols>
  <sheetData>
    <row r="2" spans="1:28">
      <c r="B2" s="2" t="s">
        <v>0</v>
      </c>
    </row>
    <row r="3" spans="1:28" s="91" customFormat="1">
      <c r="A3" s="92"/>
    </row>
    <row r="4" spans="1:28" s="91" customFormat="1">
      <c r="A4" s="92"/>
    </row>
    <row r="5" spans="1:28" s="91" customFormat="1">
      <c r="A5" s="92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90"/>
    </row>
    <row r="6" spans="1:28" s="91" customFormat="1">
      <c r="A6" s="92"/>
      <c r="E6" s="4">
        <v>19.28</v>
      </c>
      <c r="F6" s="4"/>
      <c r="G6" s="4"/>
      <c r="H6" s="4"/>
      <c r="I6" s="4">
        <v>12.05</v>
      </c>
      <c r="J6" s="4"/>
      <c r="K6" s="65"/>
      <c r="L6" s="65"/>
      <c r="M6" s="65"/>
      <c r="N6" s="65"/>
      <c r="O6" s="128">
        <v>0.105</v>
      </c>
      <c r="U6" s="238">
        <v>0.01</v>
      </c>
    </row>
    <row r="7" spans="1:28" ht="13.5" thickBot="1">
      <c r="A7" s="85" t="s">
        <v>0</v>
      </c>
      <c r="C7" s="2"/>
      <c r="D7" s="91"/>
      <c r="E7" s="4">
        <v>26.08</v>
      </c>
      <c r="F7" s="4"/>
      <c r="G7" s="4"/>
      <c r="H7" s="4"/>
      <c r="I7" s="7">
        <v>0.02</v>
      </c>
      <c r="J7" s="8">
        <v>0.04</v>
      </c>
      <c r="K7" s="129">
        <v>0.06</v>
      </c>
      <c r="L7" s="130">
        <v>13.15</v>
      </c>
      <c r="M7" s="6" t="s">
        <v>169</v>
      </c>
      <c r="N7" s="65"/>
      <c r="O7" s="65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</row>
    <row r="8" spans="1:28" ht="15.75" customHeight="1" thickBot="1">
      <c r="A8" s="199" t="s">
        <v>2</v>
      </c>
      <c r="B8" s="201" t="s">
        <v>3</v>
      </c>
      <c r="C8" s="203" t="s">
        <v>4</v>
      </c>
      <c r="D8" s="204"/>
      <c r="E8" s="204"/>
      <c r="F8" s="204"/>
      <c r="G8" s="204"/>
      <c r="H8" s="204"/>
      <c r="I8" s="205"/>
      <c r="J8" s="206" t="s">
        <v>5</v>
      </c>
      <c r="K8" s="207"/>
      <c r="L8" s="207"/>
      <c r="M8" s="208"/>
      <c r="N8" s="208"/>
      <c r="O8" s="208"/>
      <c r="P8" s="209"/>
      <c r="Q8" s="210" t="s">
        <v>6</v>
      </c>
      <c r="R8" s="211"/>
      <c r="S8" s="211"/>
      <c r="T8" s="211"/>
      <c r="U8" s="211"/>
      <c r="V8" s="211"/>
      <c r="W8" s="211"/>
      <c r="X8" s="198" t="s">
        <v>7</v>
      </c>
      <c r="Y8" s="198"/>
      <c r="Z8" s="198"/>
      <c r="AA8" s="95"/>
      <c r="AB8" s="95"/>
    </row>
    <row r="9" spans="1:28" s="20" customFormat="1" ht="75" customHeight="1">
      <c r="A9" s="200"/>
      <c r="B9" s="202"/>
      <c r="C9" s="96" t="s">
        <v>117</v>
      </c>
      <c r="D9" s="96" t="s">
        <v>118</v>
      </c>
      <c r="E9" s="96" t="s">
        <v>119</v>
      </c>
      <c r="F9" s="96" t="s">
        <v>120</v>
      </c>
      <c r="G9" s="96" t="s">
        <v>91</v>
      </c>
      <c r="H9" s="96" t="s">
        <v>92</v>
      </c>
      <c r="I9" s="96" t="s">
        <v>10</v>
      </c>
      <c r="J9" s="97" t="s">
        <v>11</v>
      </c>
      <c r="K9" s="97" t="s">
        <v>163</v>
      </c>
      <c r="L9" s="98" t="s">
        <v>164</v>
      </c>
      <c r="M9" s="99" t="s">
        <v>13</v>
      </c>
      <c r="N9" s="99" t="s">
        <v>14</v>
      </c>
      <c r="O9" s="100" t="s">
        <v>15</v>
      </c>
      <c r="P9" s="99" t="s">
        <v>16</v>
      </c>
      <c r="Q9" s="101" t="s">
        <v>17</v>
      </c>
      <c r="R9" s="102" t="s">
        <v>18</v>
      </c>
      <c r="S9" s="102" t="s">
        <v>19</v>
      </c>
      <c r="T9" s="102" t="s">
        <v>20</v>
      </c>
      <c r="U9" s="103" t="s">
        <v>21</v>
      </c>
      <c r="V9" s="103" t="s">
        <v>22</v>
      </c>
      <c r="W9" s="102" t="s">
        <v>23</v>
      </c>
      <c r="X9" s="104" t="s">
        <v>24</v>
      </c>
      <c r="Y9" s="105" t="s">
        <v>25</v>
      </c>
      <c r="Z9" s="106" t="s">
        <v>26</v>
      </c>
      <c r="AA9" s="214" t="s">
        <v>27</v>
      </c>
      <c r="AB9" s="214"/>
    </row>
    <row r="10" spans="1:28" s="111" customFormat="1" ht="45" customHeight="1">
      <c r="A10" s="21" t="s">
        <v>32</v>
      </c>
      <c r="B10" s="33" t="s">
        <v>99</v>
      </c>
      <c r="C10" s="107">
        <v>10</v>
      </c>
      <c r="D10" s="107">
        <v>0</v>
      </c>
      <c r="E10" s="108">
        <v>315.89999999999998</v>
      </c>
      <c r="F10" s="108">
        <v>360.15</v>
      </c>
      <c r="G10" s="108">
        <f t="shared" ref="G10:H30" si="0">C10*E10</f>
        <v>3159</v>
      </c>
      <c r="H10" s="108">
        <f t="shared" si="0"/>
        <v>0</v>
      </c>
      <c r="I10" s="26">
        <f t="shared" ref="I10:I37" si="1">G10+H10</f>
        <v>3159</v>
      </c>
      <c r="J10" s="26">
        <f>(C10+D10)*23.28</f>
        <v>232.8</v>
      </c>
      <c r="K10" s="26">
        <f>C10*I$6</f>
        <v>120.5</v>
      </c>
      <c r="L10" s="26">
        <f t="shared" ref="L10:L37" si="2">D10*L$7</f>
        <v>0</v>
      </c>
      <c r="M10" s="26"/>
      <c r="N10" s="26">
        <f>I10*J7</f>
        <v>126.36</v>
      </c>
      <c r="O10" s="26">
        <v>0</v>
      </c>
      <c r="P10" s="26">
        <f>SUM(I10:O10)</f>
        <v>3638.6600000000003</v>
      </c>
      <c r="Q10" s="109">
        <f>IF('[22]Calculo ISR '!$BF$34&lt;0,0,'[22]Calculo ISR '!$BF$34)</f>
        <v>141.37447999999998</v>
      </c>
      <c r="R10" s="110">
        <f>I10*O6</f>
        <v>331.69499999999999</v>
      </c>
      <c r="S10" s="110">
        <v>0</v>
      </c>
      <c r="T10" s="110">
        <f>I10*U6</f>
        <v>31.59</v>
      </c>
      <c r="U10" s="110">
        <f>'[22]HT-DOCENTE'!R11</f>
        <v>0</v>
      </c>
      <c r="V10" s="110"/>
      <c r="W10" s="26">
        <f>Q10+R10+S10+T10+V10+U10</f>
        <v>504.65947999999997</v>
      </c>
      <c r="X10" s="110">
        <f>IF('[22]Calculo ISR '!$BF$34&gt;0,0,('[22]Calculo ISR '!$BF$34)*-1)</f>
        <v>0</v>
      </c>
      <c r="Y10" s="26">
        <f>P10-W10-J10+X10</f>
        <v>2901.2005200000003</v>
      </c>
      <c r="Z10" s="26">
        <f>J10</f>
        <v>232.8</v>
      </c>
      <c r="AA10" s="212"/>
      <c r="AB10" s="213"/>
    </row>
    <row r="11" spans="1:28" s="111" customFormat="1" ht="45" customHeight="1">
      <c r="A11" s="21" t="s">
        <v>34</v>
      </c>
      <c r="B11" s="33" t="s">
        <v>35</v>
      </c>
      <c r="C11" s="107">
        <v>12</v>
      </c>
      <c r="D11" s="107">
        <v>7.5</v>
      </c>
      <c r="E11" s="108">
        <v>315.89999999999998</v>
      </c>
      <c r="F11" s="108">
        <v>360.15</v>
      </c>
      <c r="G11" s="108">
        <f t="shared" si="0"/>
        <v>3790.7999999999997</v>
      </c>
      <c r="H11" s="108">
        <f>D11*F11</f>
        <v>2701.125</v>
      </c>
      <c r="I11" s="26">
        <f t="shared" si="1"/>
        <v>6491.9249999999993</v>
      </c>
      <c r="J11" s="26">
        <f>(C11+D11)*23.28</f>
        <v>453.96000000000004</v>
      </c>
      <c r="K11" s="26">
        <f t="shared" ref="K11:K37" si="3">C11*I$6</f>
        <v>144.60000000000002</v>
      </c>
      <c r="L11" s="26">
        <f t="shared" si="2"/>
        <v>98.625</v>
      </c>
      <c r="M11" s="26"/>
      <c r="N11" s="26">
        <f>I11*I7</f>
        <v>129.83849999999998</v>
      </c>
      <c r="O11" s="26">
        <f>'[22]HT-DOCENTE'!J12</f>
        <v>0</v>
      </c>
      <c r="P11" s="26">
        <f t="shared" ref="P11:P37" si="4">SUM(I11:O11)</f>
        <v>7318.9484999999995</v>
      </c>
      <c r="Q11" s="109">
        <f>IF('[22]Calculo ISR '!$BG$34&lt;0,0,'[22]Calculo ISR '!$BG$34)</f>
        <v>919.17236759999992</v>
      </c>
      <c r="R11" s="110">
        <f>I11*O6</f>
        <v>681.65212499999984</v>
      </c>
      <c r="S11" s="110">
        <f>'[22]HT-DOCENTE'!P12</f>
        <v>0</v>
      </c>
      <c r="T11" s="110">
        <f>I11*U6</f>
        <v>64.919249999999991</v>
      </c>
      <c r="U11" s="110">
        <f>'[22]HT-DOCENTE'!R12</f>
        <v>0</v>
      </c>
      <c r="V11" s="110"/>
      <c r="W11" s="26">
        <f t="shared" ref="W11:W21" si="5">Q11+R11+S11+T11+V11+U11</f>
        <v>1665.7437425999997</v>
      </c>
      <c r="X11" s="110">
        <f>IF('[22]Calculo ISR '!$BG$34&gt;0,0,('[22]Calculo ISR '!$BG$34)*-1)</f>
        <v>0</v>
      </c>
      <c r="Y11" s="26">
        <f t="shared" ref="Y11:Y37" si="6">P11-W11-J11+X11</f>
        <v>5199.2447573999998</v>
      </c>
      <c r="Z11" s="26">
        <f t="shared" ref="Z11:Z37" si="7">J11</f>
        <v>453.96000000000004</v>
      </c>
      <c r="AA11" s="212"/>
      <c r="AB11" s="213"/>
    </row>
    <row r="12" spans="1:28" s="111" customFormat="1" ht="45" customHeight="1">
      <c r="A12" s="21" t="s">
        <v>36</v>
      </c>
      <c r="B12" s="33" t="s">
        <v>37</v>
      </c>
      <c r="C12" s="107">
        <v>6.5</v>
      </c>
      <c r="D12" s="107">
        <v>7.5</v>
      </c>
      <c r="E12" s="108">
        <v>315.89999999999998</v>
      </c>
      <c r="F12" s="108">
        <v>360.15</v>
      </c>
      <c r="G12" s="108">
        <f t="shared" si="0"/>
        <v>2053.35</v>
      </c>
      <c r="H12" s="108">
        <f t="shared" si="0"/>
        <v>2701.125</v>
      </c>
      <c r="I12" s="26">
        <f t="shared" si="1"/>
        <v>4754.4750000000004</v>
      </c>
      <c r="J12" s="26">
        <f>(C12+D12)*23.28</f>
        <v>325.92</v>
      </c>
      <c r="K12" s="26">
        <f t="shared" si="3"/>
        <v>78.325000000000003</v>
      </c>
      <c r="L12" s="26">
        <f t="shared" si="2"/>
        <v>98.625</v>
      </c>
      <c r="M12" s="26">
        <f>(C12+D12)*E7</f>
        <v>365.12</v>
      </c>
      <c r="N12" s="26">
        <f>I12*I7</f>
        <v>95.089500000000015</v>
      </c>
      <c r="O12" s="26">
        <f>'[22]HT-DOCENTE'!J13</f>
        <v>0</v>
      </c>
      <c r="P12" s="26">
        <f t="shared" si="4"/>
        <v>5717.5545000000002</v>
      </c>
      <c r="Q12" s="109">
        <f>IF('[22]Calculo ISR '!$BH$34&lt;0,0,'[22]Calculo ISR '!$BH$34)</f>
        <v>604.46395320000011</v>
      </c>
      <c r="R12" s="110">
        <f>I12*O6</f>
        <v>499.219875</v>
      </c>
      <c r="S12" s="110">
        <v>1431</v>
      </c>
      <c r="T12" s="110">
        <f>I12*U6</f>
        <v>47.544750000000008</v>
      </c>
      <c r="U12" s="110">
        <f>'[22]HT-DOCENTE'!R13</f>
        <v>0</v>
      </c>
      <c r="V12" s="110"/>
      <c r="W12" s="26">
        <f t="shared" si="5"/>
        <v>2582.2285781999999</v>
      </c>
      <c r="X12" s="110">
        <f>IF('[22]Calculo ISR '!$BH$34&gt;0,0,('[22]Calculo ISR '!$BH$34)*-1)</f>
        <v>0</v>
      </c>
      <c r="Y12" s="26">
        <f t="shared" si="6"/>
        <v>2809.4059218000002</v>
      </c>
      <c r="Z12" s="26">
        <f t="shared" si="7"/>
        <v>325.92</v>
      </c>
      <c r="AA12" s="212"/>
      <c r="AB12" s="213"/>
    </row>
    <row r="13" spans="1:28" s="111" customFormat="1" ht="45" customHeight="1">
      <c r="A13" s="21" t="s">
        <v>38</v>
      </c>
      <c r="B13" s="33" t="s">
        <v>39</v>
      </c>
      <c r="C13" s="107">
        <v>11.5</v>
      </c>
      <c r="D13" s="107">
        <v>7.5</v>
      </c>
      <c r="E13" s="108">
        <v>315.89999999999998</v>
      </c>
      <c r="F13" s="108">
        <v>360.15</v>
      </c>
      <c r="G13" s="108">
        <f t="shared" si="0"/>
        <v>3632.85</v>
      </c>
      <c r="H13" s="108">
        <f t="shared" si="0"/>
        <v>2701.125</v>
      </c>
      <c r="I13" s="26">
        <f t="shared" si="1"/>
        <v>6333.9750000000004</v>
      </c>
      <c r="J13" s="26">
        <f t="shared" ref="J13:J37" si="8">(C13+D13)*23.28</f>
        <v>442.32000000000005</v>
      </c>
      <c r="K13" s="26">
        <f t="shared" si="3"/>
        <v>138.57500000000002</v>
      </c>
      <c r="L13" s="26">
        <f t="shared" si="2"/>
        <v>98.625</v>
      </c>
      <c r="M13" s="26">
        <f>(C13+D13)*E7</f>
        <v>495.52</v>
      </c>
      <c r="N13" s="26"/>
      <c r="O13" s="26">
        <f>'[22]HT-DOCENTE'!J14</f>
        <v>0</v>
      </c>
      <c r="P13" s="26">
        <f t="shared" si="4"/>
        <v>7509.0149999999994</v>
      </c>
      <c r="Q13" s="109">
        <f>IF('[22]Calculo ISR '!$BI$34&lt;0,0,'[22]Calculo ISR '!$BI$34)</f>
        <v>962.25687600000003</v>
      </c>
      <c r="R13" s="110">
        <f>I13*O6</f>
        <v>665.06737499999997</v>
      </c>
      <c r="S13" s="110">
        <v>1655</v>
      </c>
      <c r="T13" s="110">
        <f>I13*U6</f>
        <v>63.339750000000002</v>
      </c>
      <c r="U13" s="110">
        <f>'[22]HT-DOCENTE'!R14</f>
        <v>0</v>
      </c>
      <c r="V13" s="110"/>
      <c r="W13" s="26">
        <f t="shared" si="5"/>
        <v>3345.6640010000001</v>
      </c>
      <c r="X13" s="110">
        <f>IF('[22]Calculo ISR '!$BI$34&gt;0,0,('[22]Calculo ISR '!$BI$34)*-1)</f>
        <v>0</v>
      </c>
      <c r="Y13" s="26">
        <f t="shared" si="6"/>
        <v>3721.0309989999992</v>
      </c>
      <c r="Z13" s="26">
        <f t="shared" si="7"/>
        <v>442.32000000000005</v>
      </c>
      <c r="AA13" s="212"/>
      <c r="AB13" s="213"/>
    </row>
    <row r="14" spans="1:28" s="111" customFormat="1" ht="45" customHeight="1">
      <c r="A14" s="21" t="s">
        <v>40</v>
      </c>
      <c r="B14" s="33" t="s">
        <v>41</v>
      </c>
      <c r="C14" s="107">
        <v>18.5</v>
      </c>
      <c r="D14" s="107">
        <v>0</v>
      </c>
      <c r="E14" s="108">
        <v>315.89999999999998</v>
      </c>
      <c r="F14" s="108">
        <v>360.15</v>
      </c>
      <c r="G14" s="108">
        <f t="shared" si="0"/>
        <v>5844.15</v>
      </c>
      <c r="H14" s="108">
        <f t="shared" si="0"/>
        <v>0</v>
      </c>
      <c r="I14" s="26">
        <f t="shared" si="1"/>
        <v>5844.15</v>
      </c>
      <c r="J14" s="26">
        <f t="shared" si="8"/>
        <v>430.68</v>
      </c>
      <c r="K14" s="26">
        <f t="shared" si="3"/>
        <v>222.92500000000001</v>
      </c>
      <c r="L14" s="26">
        <f t="shared" si="2"/>
        <v>0</v>
      </c>
      <c r="M14" s="26">
        <f>(C14+D14)*E7</f>
        <v>482.47999999999996</v>
      </c>
      <c r="N14" s="26"/>
      <c r="O14" s="26">
        <f>'[22]HT-DOCENTE'!J15</f>
        <v>0</v>
      </c>
      <c r="P14" s="26">
        <f t="shared" si="4"/>
        <v>6980.2349999999997</v>
      </c>
      <c r="Q14" s="109">
        <f>IF('[22]Calculo ISR '!$BJ$34&lt;0,0,'[22]Calculo ISR '!$BJ$34)</f>
        <v>851.79577199999994</v>
      </c>
      <c r="R14" s="110">
        <f>I14*O6</f>
        <v>613.63574999999992</v>
      </c>
      <c r="S14" s="110">
        <f>'[22]HT-DOCENTE'!P15</f>
        <v>0</v>
      </c>
      <c r="T14" s="110">
        <f>I14*U6</f>
        <v>58.441499999999998</v>
      </c>
      <c r="U14" s="110">
        <v>0</v>
      </c>
      <c r="V14" s="110"/>
      <c r="W14" s="26">
        <f t="shared" si="5"/>
        <v>1523.8730219999998</v>
      </c>
      <c r="X14" s="110">
        <f>IF('[22]Calculo ISR '!$BJ$34&gt;0,0,('[22]Calculo ISR '!$BJ$34)*-1)</f>
        <v>0</v>
      </c>
      <c r="Y14" s="26">
        <f t="shared" si="6"/>
        <v>5025.6819779999996</v>
      </c>
      <c r="Z14" s="26">
        <f t="shared" si="7"/>
        <v>430.68</v>
      </c>
      <c r="AA14" s="212"/>
      <c r="AB14" s="213"/>
    </row>
    <row r="15" spans="1:28" s="111" customFormat="1" ht="45" customHeight="1">
      <c r="A15" s="21" t="s">
        <v>44</v>
      </c>
      <c r="B15" s="33" t="s">
        <v>45</v>
      </c>
      <c r="C15" s="112">
        <v>9.5</v>
      </c>
      <c r="D15" s="112">
        <v>7.5</v>
      </c>
      <c r="E15" s="108">
        <v>315.89999999999998</v>
      </c>
      <c r="F15" s="108">
        <v>360.15</v>
      </c>
      <c r="G15" s="108">
        <f t="shared" si="0"/>
        <v>3001.0499999999997</v>
      </c>
      <c r="H15" s="108">
        <f t="shared" si="0"/>
        <v>2701.125</v>
      </c>
      <c r="I15" s="26">
        <f t="shared" si="1"/>
        <v>5702.1749999999993</v>
      </c>
      <c r="J15" s="26">
        <f t="shared" si="8"/>
        <v>395.76</v>
      </c>
      <c r="K15" s="26">
        <f t="shared" si="3"/>
        <v>114.47500000000001</v>
      </c>
      <c r="L15" s="26">
        <f t="shared" si="2"/>
        <v>98.625</v>
      </c>
      <c r="M15" s="26"/>
      <c r="N15" s="26"/>
      <c r="O15" s="26">
        <f>'[22]HT-DOCENTE'!J17</f>
        <v>0</v>
      </c>
      <c r="P15" s="26">
        <f t="shared" si="4"/>
        <v>6311.0349999999999</v>
      </c>
      <c r="Q15" s="109">
        <f>IF('[22]Calculo ISR '!$BL$34&lt;0,0,'[22]Calculo ISR '!$BL$34)</f>
        <v>716.31356400000004</v>
      </c>
      <c r="R15" s="110">
        <f>I15*O6</f>
        <v>598.72837499999991</v>
      </c>
      <c r="S15" s="110">
        <f>'[22]HT-DOCENTE'!P17</f>
        <v>0</v>
      </c>
      <c r="T15" s="110">
        <f>I15*U6</f>
        <v>57.021749999999997</v>
      </c>
      <c r="U15" s="110">
        <f>'[22]HT-DOCENTE'!R17</f>
        <v>0</v>
      </c>
      <c r="V15" s="110"/>
      <c r="W15" s="26">
        <f t="shared" si="5"/>
        <v>1372.0636890000001</v>
      </c>
      <c r="X15" s="110">
        <f>IF('[22]Calculo ISR '!$BL$34&gt;0,0,('[22]Calculo ISR '!$BL$34)*-1)</f>
        <v>0</v>
      </c>
      <c r="Y15" s="26">
        <f t="shared" si="6"/>
        <v>4543.2113109999991</v>
      </c>
      <c r="Z15" s="26">
        <f t="shared" si="7"/>
        <v>395.76</v>
      </c>
      <c r="AA15" s="212"/>
      <c r="AB15" s="213"/>
    </row>
    <row r="16" spans="1:28" s="111" customFormat="1" ht="45" customHeight="1">
      <c r="A16" s="21" t="s">
        <v>48</v>
      </c>
      <c r="B16" s="33" t="s">
        <v>49</v>
      </c>
      <c r="C16" s="112">
        <v>18</v>
      </c>
      <c r="D16" s="112">
        <v>0</v>
      </c>
      <c r="E16" s="108">
        <v>315.89999999999998</v>
      </c>
      <c r="F16" s="108">
        <v>360.15</v>
      </c>
      <c r="G16" s="108">
        <f t="shared" si="0"/>
        <v>5686.2</v>
      </c>
      <c r="H16" s="108">
        <f t="shared" si="0"/>
        <v>0</v>
      </c>
      <c r="I16" s="26">
        <f t="shared" si="1"/>
        <v>5686.2</v>
      </c>
      <c r="J16" s="26">
        <f t="shared" si="8"/>
        <v>419.04</v>
      </c>
      <c r="K16" s="26">
        <f t="shared" si="3"/>
        <v>216.9</v>
      </c>
      <c r="L16" s="26">
        <f t="shared" si="2"/>
        <v>0</v>
      </c>
      <c r="M16" s="26"/>
      <c r="N16" s="26"/>
      <c r="O16" s="26">
        <v>0</v>
      </c>
      <c r="P16" s="26">
        <f t="shared" si="4"/>
        <v>6322.1399999999994</v>
      </c>
      <c r="Q16" s="109">
        <f>IF('[22]Calculo ISR '!$BN$34&lt;0,0,'[22]Calculo ISR '!$BN$34)</f>
        <v>713.71298400000001</v>
      </c>
      <c r="R16" s="110">
        <f>I16*O6</f>
        <v>597.05099999999993</v>
      </c>
      <c r="S16" s="110">
        <f>'[22]HT-DOCENTE'!P19</f>
        <v>0</v>
      </c>
      <c r="T16" s="110">
        <f>I16*U6</f>
        <v>56.862000000000002</v>
      </c>
      <c r="U16" s="110">
        <f>'[22]HT-DOCENTE'!R19</f>
        <v>0</v>
      </c>
      <c r="V16" s="113">
        <f>[22]descuentos!D11</f>
        <v>78.974999999999994</v>
      </c>
      <c r="W16" s="26">
        <f>Q16+R16+S16+T16+V16+U16</f>
        <v>1446.6009839999999</v>
      </c>
      <c r="X16" s="110">
        <f>IF('[22]Calculo ISR '!$BN$34&gt;0,0,('[22]Calculo ISR '!$BN$34)*-1)</f>
        <v>0</v>
      </c>
      <c r="Y16" s="26">
        <f t="shared" si="6"/>
        <v>4456.4990159999998</v>
      </c>
      <c r="Z16" s="26">
        <f t="shared" si="7"/>
        <v>419.04</v>
      </c>
      <c r="AA16" s="212"/>
      <c r="AB16" s="213"/>
    </row>
    <row r="17" spans="1:29" s="111" customFormat="1" ht="45" customHeight="1">
      <c r="A17" s="21" t="s">
        <v>50</v>
      </c>
      <c r="B17" s="33" t="s">
        <v>51</v>
      </c>
      <c r="C17" s="112">
        <v>10.5</v>
      </c>
      <c r="D17" s="112">
        <v>7.5</v>
      </c>
      <c r="E17" s="108">
        <v>315.89999999999998</v>
      </c>
      <c r="F17" s="108">
        <v>360.15</v>
      </c>
      <c r="G17" s="108">
        <f t="shared" si="0"/>
        <v>3316.95</v>
      </c>
      <c r="H17" s="108">
        <f t="shared" si="0"/>
        <v>2701.125</v>
      </c>
      <c r="I17" s="26">
        <f t="shared" si="1"/>
        <v>6018.0749999999998</v>
      </c>
      <c r="J17" s="26">
        <f t="shared" si="8"/>
        <v>419.04</v>
      </c>
      <c r="K17" s="26">
        <f t="shared" si="3"/>
        <v>126.52500000000001</v>
      </c>
      <c r="L17" s="26">
        <f t="shared" si="2"/>
        <v>98.625</v>
      </c>
      <c r="M17" s="26"/>
      <c r="N17" s="26"/>
      <c r="O17" s="26">
        <v>0</v>
      </c>
      <c r="P17" s="26">
        <f t="shared" si="4"/>
        <v>6662.2649999999994</v>
      </c>
      <c r="Q17" s="109">
        <f>IF('[22]Calculo ISR '!$BO$34&lt;0,0,'[22]Calculo ISR '!$BO$34)</f>
        <v>786.36368399999992</v>
      </c>
      <c r="R17" s="110">
        <f>I17*O6</f>
        <v>631.897875</v>
      </c>
      <c r="S17" s="110">
        <v>1570</v>
      </c>
      <c r="T17" s="110">
        <f>I17*U6</f>
        <v>60.180749999999996</v>
      </c>
      <c r="U17" s="110"/>
      <c r="V17" s="110"/>
      <c r="W17" s="26">
        <f t="shared" si="5"/>
        <v>3048.442309</v>
      </c>
      <c r="X17" s="110">
        <f>IF('[22]Calculo ISR '!$BO$34&gt;0,0,('[22]Calculo ISR '!$BO$34)*-1)</f>
        <v>0</v>
      </c>
      <c r="Y17" s="26">
        <f t="shared" si="6"/>
        <v>3194.7826909999994</v>
      </c>
      <c r="Z17" s="26">
        <f t="shared" si="7"/>
        <v>419.04</v>
      </c>
      <c r="AA17" s="212"/>
      <c r="AB17" s="213"/>
    </row>
    <row r="18" spans="1:29" s="111" customFormat="1" ht="45" customHeight="1">
      <c r="A18" s="21" t="s">
        <v>52</v>
      </c>
      <c r="B18" s="33" t="s">
        <v>53</v>
      </c>
      <c r="C18" s="112">
        <v>12</v>
      </c>
      <c r="D18" s="112">
        <v>7.5</v>
      </c>
      <c r="E18" s="108">
        <v>315.89999999999998</v>
      </c>
      <c r="F18" s="108">
        <v>360.15</v>
      </c>
      <c r="G18" s="108">
        <f t="shared" si="0"/>
        <v>3790.7999999999997</v>
      </c>
      <c r="H18" s="108">
        <f t="shared" si="0"/>
        <v>2701.125</v>
      </c>
      <c r="I18" s="26">
        <f t="shared" si="1"/>
        <v>6491.9249999999993</v>
      </c>
      <c r="J18" s="26">
        <f t="shared" si="8"/>
        <v>453.96000000000004</v>
      </c>
      <c r="K18" s="26">
        <f t="shared" si="3"/>
        <v>144.60000000000002</v>
      </c>
      <c r="L18" s="26">
        <f t="shared" si="2"/>
        <v>98.625</v>
      </c>
      <c r="M18" s="26"/>
      <c r="N18" s="26"/>
      <c r="O18" s="26">
        <v>0</v>
      </c>
      <c r="P18" s="26">
        <f t="shared" si="4"/>
        <v>7189.11</v>
      </c>
      <c r="Q18" s="109">
        <f>IF('[22]Calculo ISR '!$BP$34&lt;0,0,'[22]Calculo ISR '!$BP$34)</f>
        <v>891.43886399999997</v>
      </c>
      <c r="R18" s="110">
        <f>I18*O6</f>
        <v>681.65212499999984</v>
      </c>
      <c r="S18" s="110">
        <f>'[22]HT-DOCENTE'!P21</f>
        <v>0</v>
      </c>
      <c r="T18" s="110">
        <f>I18*U6</f>
        <v>64.919249999999991</v>
      </c>
      <c r="U18" s="110"/>
      <c r="V18" s="110"/>
      <c r="W18" s="26">
        <f t="shared" si="5"/>
        <v>1638.0102389999997</v>
      </c>
      <c r="X18" s="110">
        <f>IF('[22]Calculo ISR '!$BP$34&gt;0,0,('[22]Calculo ISR '!$BP$34)*-1)</f>
        <v>0</v>
      </c>
      <c r="Y18" s="26">
        <f t="shared" si="6"/>
        <v>5097.1397609999995</v>
      </c>
      <c r="Z18" s="26">
        <f t="shared" si="7"/>
        <v>453.96000000000004</v>
      </c>
      <c r="AA18" s="212"/>
      <c r="AB18" s="213"/>
    </row>
    <row r="19" spans="1:29" s="111" customFormat="1" ht="45" customHeight="1">
      <c r="A19" s="21" t="s">
        <v>54</v>
      </c>
      <c r="B19" s="33" t="s">
        <v>55</v>
      </c>
      <c r="C19" s="112">
        <v>11</v>
      </c>
      <c r="D19" s="112">
        <v>7.5</v>
      </c>
      <c r="E19" s="108">
        <v>315.89999999999998</v>
      </c>
      <c r="F19" s="108">
        <v>360.15</v>
      </c>
      <c r="G19" s="108">
        <f t="shared" si="0"/>
        <v>3474.8999999999996</v>
      </c>
      <c r="H19" s="108">
        <f t="shared" si="0"/>
        <v>2701.125</v>
      </c>
      <c r="I19" s="26">
        <f t="shared" si="1"/>
        <v>6176.0249999999996</v>
      </c>
      <c r="J19" s="26">
        <f t="shared" si="8"/>
        <v>430.68</v>
      </c>
      <c r="K19" s="26">
        <f t="shared" si="3"/>
        <v>132.55000000000001</v>
      </c>
      <c r="L19" s="26">
        <f t="shared" si="2"/>
        <v>98.625</v>
      </c>
      <c r="M19" s="26"/>
      <c r="N19" s="26"/>
      <c r="O19" s="26">
        <v>0</v>
      </c>
      <c r="P19" s="26">
        <f t="shared" si="4"/>
        <v>6837.88</v>
      </c>
      <c r="Q19" s="109">
        <f>IF('[22]Calculo ISR '!$BQ$34&lt;0,0,'[22]Calculo ISR '!$BQ$34)</f>
        <v>821.38874400000009</v>
      </c>
      <c r="R19" s="110">
        <f>I19*O6</f>
        <v>648.48262499999998</v>
      </c>
      <c r="S19" s="110">
        <v>1324</v>
      </c>
      <c r="T19" s="110">
        <f>I19*U6</f>
        <v>61.760249999999999</v>
      </c>
      <c r="U19" s="110">
        <f>'[22]HT-DOCENTE'!R22</f>
        <v>0</v>
      </c>
      <c r="V19" s="110"/>
      <c r="W19" s="26">
        <f t="shared" si="5"/>
        <v>2855.6316189999998</v>
      </c>
      <c r="X19" s="110">
        <f>IF('[22]Calculo ISR '!$BQ$34&gt;0,0,('[22]Calculo ISR '!$BQ$34)*-1)</f>
        <v>0</v>
      </c>
      <c r="Y19" s="26">
        <f t="shared" si="6"/>
        <v>3551.5683810000005</v>
      </c>
      <c r="Z19" s="26">
        <f t="shared" si="7"/>
        <v>430.68</v>
      </c>
      <c r="AA19" s="212"/>
      <c r="AB19" s="213"/>
    </row>
    <row r="20" spans="1:29" s="111" customFormat="1" ht="45" customHeight="1">
      <c r="A20" s="21" t="s">
        <v>56</v>
      </c>
      <c r="B20" s="33" t="s">
        <v>57</v>
      </c>
      <c r="C20" s="112">
        <v>11.5</v>
      </c>
      <c r="D20" s="112">
        <v>7.5</v>
      </c>
      <c r="E20" s="108">
        <v>315.89999999999998</v>
      </c>
      <c r="F20" s="108">
        <v>360.15</v>
      </c>
      <c r="G20" s="108">
        <f t="shared" si="0"/>
        <v>3632.85</v>
      </c>
      <c r="H20" s="108">
        <f>D20*F20</f>
        <v>2701.125</v>
      </c>
      <c r="I20" s="26">
        <f t="shared" si="1"/>
        <v>6333.9750000000004</v>
      </c>
      <c r="J20" s="26">
        <f t="shared" si="8"/>
        <v>442.32000000000005</v>
      </c>
      <c r="K20" s="26">
        <f t="shared" si="3"/>
        <v>138.57500000000002</v>
      </c>
      <c r="L20" s="26">
        <f t="shared" si="2"/>
        <v>98.625</v>
      </c>
      <c r="M20" s="26">
        <f>(C20+D20)*E7</f>
        <v>495.52</v>
      </c>
      <c r="N20" s="26"/>
      <c r="O20" s="26">
        <v>0</v>
      </c>
      <c r="P20" s="26">
        <f t="shared" si="4"/>
        <v>7509.0149999999994</v>
      </c>
      <c r="Q20" s="109">
        <f>IF('[22]Calculo ISR '!$BR$34&lt;0,0,'[22]Calculo ISR '!$BR$34)</f>
        <v>962.25687600000003</v>
      </c>
      <c r="R20" s="110">
        <f>I20*O6</f>
        <v>665.06737499999997</v>
      </c>
      <c r="S20" s="110">
        <f>'[22]HT-DOCENTE'!P23</f>
        <v>0</v>
      </c>
      <c r="T20" s="110">
        <f>I20*U6</f>
        <v>63.339750000000002</v>
      </c>
      <c r="U20" s="110">
        <f>'[22]HT-DOCENTE'!R23</f>
        <v>0</v>
      </c>
      <c r="V20" s="113"/>
      <c r="W20" s="26">
        <f t="shared" si="5"/>
        <v>1690.6640010000001</v>
      </c>
      <c r="X20" s="110">
        <f>IF('[22]Calculo ISR '!$BR$34&gt;0,0,('[22]Calculo ISR '!$BR$34)*-1)</f>
        <v>0</v>
      </c>
      <c r="Y20" s="26">
        <f t="shared" si="6"/>
        <v>5376.0309989999996</v>
      </c>
      <c r="Z20" s="26">
        <f t="shared" si="7"/>
        <v>442.32000000000005</v>
      </c>
      <c r="AA20" s="212"/>
      <c r="AB20" s="213"/>
    </row>
    <row r="21" spans="1:29" s="111" customFormat="1" ht="45" customHeight="1">
      <c r="A21" s="21" t="s">
        <v>58</v>
      </c>
      <c r="B21" s="33" t="s">
        <v>59</v>
      </c>
      <c r="C21" s="112">
        <v>11</v>
      </c>
      <c r="D21" s="112">
        <v>0</v>
      </c>
      <c r="E21" s="108">
        <v>315.89999999999998</v>
      </c>
      <c r="F21" s="108">
        <v>360.15</v>
      </c>
      <c r="G21" s="108">
        <f t="shared" si="0"/>
        <v>3474.8999999999996</v>
      </c>
      <c r="H21" s="108">
        <f t="shared" si="0"/>
        <v>0</v>
      </c>
      <c r="I21" s="26">
        <f t="shared" si="1"/>
        <v>3474.8999999999996</v>
      </c>
      <c r="J21" s="26">
        <f t="shared" si="8"/>
        <v>256.08000000000004</v>
      </c>
      <c r="K21" s="26">
        <f t="shared" si="3"/>
        <v>132.55000000000001</v>
      </c>
      <c r="L21" s="26">
        <f t="shared" si="2"/>
        <v>0</v>
      </c>
      <c r="M21" s="26"/>
      <c r="N21" s="26"/>
      <c r="O21" s="26"/>
      <c r="P21" s="26">
        <f t="shared" si="4"/>
        <v>3863.5299999999997</v>
      </c>
      <c r="Q21" s="109">
        <f>IF('[22]Calculo ISR '!$BS$34&lt;0,0,'[22]Calculo ISR '!$BS$34)</f>
        <v>181.00747199999992</v>
      </c>
      <c r="R21" s="110">
        <f>I21*O6</f>
        <v>364.86449999999996</v>
      </c>
      <c r="S21" s="110">
        <v>0</v>
      </c>
      <c r="T21" s="110">
        <f>I21*U6</f>
        <v>34.748999999999995</v>
      </c>
      <c r="U21" s="110"/>
      <c r="V21" s="110"/>
      <c r="W21" s="26">
        <f t="shared" si="5"/>
        <v>580.62097199999994</v>
      </c>
      <c r="X21" s="110">
        <f>IF('[22]Calculo ISR '!$BS$34&gt;0,0,('[22]Calculo ISR '!$BS$34)*-1)</f>
        <v>0</v>
      </c>
      <c r="Y21" s="26">
        <f t="shared" si="6"/>
        <v>3026.8290280000001</v>
      </c>
      <c r="Z21" s="26">
        <f t="shared" si="7"/>
        <v>256.08000000000004</v>
      </c>
      <c r="AA21" s="212"/>
      <c r="AB21" s="213"/>
    </row>
    <row r="22" spans="1:29" s="111" customFormat="1" ht="45" customHeight="1">
      <c r="A22" s="21" t="s">
        <v>60</v>
      </c>
      <c r="B22" s="33" t="s">
        <v>100</v>
      </c>
      <c r="C22" s="112">
        <v>16</v>
      </c>
      <c r="D22" s="112">
        <v>0</v>
      </c>
      <c r="E22" s="108">
        <v>315.89999999999998</v>
      </c>
      <c r="F22" s="108">
        <v>360.15</v>
      </c>
      <c r="G22" s="108">
        <f t="shared" si="0"/>
        <v>5054.3999999999996</v>
      </c>
      <c r="H22" s="108">
        <f t="shared" si="0"/>
        <v>0</v>
      </c>
      <c r="I22" s="26">
        <f t="shared" si="1"/>
        <v>5054.3999999999996</v>
      </c>
      <c r="J22" s="26">
        <f t="shared" si="8"/>
        <v>372.48</v>
      </c>
      <c r="K22" s="26">
        <f t="shared" si="3"/>
        <v>192.8</v>
      </c>
      <c r="L22" s="26">
        <f t="shared" si="2"/>
        <v>0</v>
      </c>
      <c r="M22" s="26"/>
      <c r="N22" s="26"/>
      <c r="O22" s="26"/>
      <c r="P22" s="26">
        <f t="shared" si="4"/>
        <v>5619.6799999999994</v>
      </c>
      <c r="Q22" s="109">
        <f>IF('[22]Calculo ISR '!$BT$34&lt;0,0,'[22]Calculo ISR '!$BT$34)</f>
        <v>573.61274399999979</v>
      </c>
      <c r="R22" s="110">
        <f>I22*O6</f>
        <v>530.71199999999999</v>
      </c>
      <c r="S22" s="110"/>
      <c r="T22" s="110"/>
      <c r="U22" s="110"/>
      <c r="V22" s="110"/>
      <c r="W22" s="26">
        <f t="shared" ref="W22:W37" si="9">Q22+R22+S22+T22+U22+V22</f>
        <v>1104.3247439999998</v>
      </c>
      <c r="X22" s="110">
        <f>IF('[22]Calculo ISR '!$BT$34&gt;0,0,('[22]Calculo ISR '!$BT$34)*-1)</f>
        <v>0</v>
      </c>
      <c r="Y22" s="26">
        <f t="shared" si="6"/>
        <v>4142.8752559999994</v>
      </c>
      <c r="Z22" s="26">
        <f t="shared" si="7"/>
        <v>372.48</v>
      </c>
      <c r="AA22" s="212"/>
      <c r="AB22" s="213"/>
    </row>
    <row r="23" spans="1:29" s="111" customFormat="1" ht="45" customHeight="1">
      <c r="A23" s="21" t="s">
        <v>62</v>
      </c>
      <c r="B23" s="33" t="s">
        <v>63</v>
      </c>
      <c r="C23" s="112">
        <v>18</v>
      </c>
      <c r="D23" s="112">
        <v>0</v>
      </c>
      <c r="E23" s="108">
        <v>315.89999999999998</v>
      </c>
      <c r="F23" s="108">
        <v>360.15</v>
      </c>
      <c r="G23" s="108">
        <f t="shared" si="0"/>
        <v>5686.2</v>
      </c>
      <c r="H23" s="108">
        <f t="shared" si="0"/>
        <v>0</v>
      </c>
      <c r="I23" s="26">
        <f t="shared" si="1"/>
        <v>5686.2</v>
      </c>
      <c r="J23" s="26">
        <f t="shared" si="8"/>
        <v>419.04</v>
      </c>
      <c r="K23" s="26">
        <f t="shared" si="3"/>
        <v>216.9</v>
      </c>
      <c r="L23" s="26">
        <f t="shared" si="2"/>
        <v>0</v>
      </c>
      <c r="M23" s="26"/>
      <c r="N23" s="26"/>
      <c r="O23" s="26">
        <v>0</v>
      </c>
      <c r="P23" s="26">
        <f t="shared" si="4"/>
        <v>6322.1399999999994</v>
      </c>
      <c r="Q23" s="109">
        <f>IF('[22]Calculo ISR '!$BU$34&lt;0,0,'[22]Calculo ISR '!$BU$34)</f>
        <v>713.71298400000001</v>
      </c>
      <c r="R23" s="110">
        <f>I23*O6</f>
        <v>597.05099999999993</v>
      </c>
      <c r="S23" s="110"/>
      <c r="T23" s="110">
        <f>I23*U6</f>
        <v>56.862000000000002</v>
      </c>
      <c r="U23" s="110"/>
      <c r="V23" s="110"/>
      <c r="W23" s="26">
        <f t="shared" si="9"/>
        <v>1367.625984</v>
      </c>
      <c r="X23" s="110">
        <f>IF('[22]Calculo ISR '!$BU$34&gt;0,0,('[22]Calculo ISR '!$BU$34)*-1)</f>
        <v>0</v>
      </c>
      <c r="Y23" s="26">
        <f t="shared" si="6"/>
        <v>4535.4740159999992</v>
      </c>
      <c r="Z23" s="26">
        <f t="shared" si="7"/>
        <v>419.04</v>
      </c>
      <c r="AA23" s="212"/>
      <c r="AB23" s="213"/>
    </row>
    <row r="24" spans="1:29" s="111" customFormat="1" ht="45" customHeight="1">
      <c r="A24" s="21" t="s">
        <v>64</v>
      </c>
      <c r="B24" s="33" t="s">
        <v>65</v>
      </c>
      <c r="C24" s="112">
        <v>17.5</v>
      </c>
      <c r="D24" s="112">
        <v>0</v>
      </c>
      <c r="E24" s="108">
        <v>315.89999999999998</v>
      </c>
      <c r="F24" s="108">
        <v>360.15</v>
      </c>
      <c r="G24" s="108">
        <f t="shared" si="0"/>
        <v>5528.25</v>
      </c>
      <c r="H24" s="108">
        <f t="shared" si="0"/>
        <v>0</v>
      </c>
      <c r="I24" s="26">
        <f t="shared" si="1"/>
        <v>5528.25</v>
      </c>
      <c r="J24" s="26">
        <f t="shared" si="8"/>
        <v>407.40000000000003</v>
      </c>
      <c r="K24" s="26">
        <f t="shared" si="3"/>
        <v>210.875</v>
      </c>
      <c r="L24" s="26">
        <f t="shared" si="2"/>
        <v>0</v>
      </c>
      <c r="M24" s="26"/>
      <c r="N24" s="26"/>
      <c r="O24" s="26">
        <v>0</v>
      </c>
      <c r="P24" s="26">
        <f t="shared" si="4"/>
        <v>6146.5249999999996</v>
      </c>
      <c r="Q24" s="109">
        <f>IF('[22]Calculo ISR '!$BV$34&lt;0,0,'[22]Calculo ISR '!$BV$34)</f>
        <v>678.68792400000007</v>
      </c>
      <c r="R24" s="110">
        <f>I24*O6</f>
        <v>580.46624999999995</v>
      </c>
      <c r="S24" s="110"/>
      <c r="T24" s="110"/>
      <c r="U24" s="110"/>
      <c r="V24" s="110"/>
      <c r="W24" s="26">
        <f t="shared" si="9"/>
        <v>1259.154174</v>
      </c>
      <c r="X24" s="110">
        <f>IF('[22]Calculo ISR '!$BV$34&gt;0,0,('[22]Calculo ISR '!$BV$34)*-1)</f>
        <v>0</v>
      </c>
      <c r="Y24" s="26">
        <f t="shared" si="6"/>
        <v>4479.9708259999998</v>
      </c>
      <c r="Z24" s="26">
        <f t="shared" si="7"/>
        <v>407.40000000000003</v>
      </c>
      <c r="AA24" s="212"/>
      <c r="AB24" s="213"/>
    </row>
    <row r="25" spans="1:29" s="111" customFormat="1" ht="45" customHeight="1">
      <c r="A25" s="21" t="s">
        <v>66</v>
      </c>
      <c r="B25" s="33" t="s">
        <v>67</v>
      </c>
      <c r="C25" s="112">
        <v>10</v>
      </c>
      <c r="D25" s="112">
        <v>0</v>
      </c>
      <c r="E25" s="108">
        <v>315.89999999999998</v>
      </c>
      <c r="F25" s="108">
        <v>360.15</v>
      </c>
      <c r="G25" s="108">
        <f t="shared" si="0"/>
        <v>3159</v>
      </c>
      <c r="H25" s="108">
        <f t="shared" si="0"/>
        <v>0</v>
      </c>
      <c r="I25" s="26">
        <f t="shared" si="1"/>
        <v>3159</v>
      </c>
      <c r="J25" s="26">
        <f t="shared" si="8"/>
        <v>232.8</v>
      </c>
      <c r="K25" s="26">
        <f t="shared" si="3"/>
        <v>120.5</v>
      </c>
      <c r="L25" s="26">
        <f t="shared" si="2"/>
        <v>0</v>
      </c>
      <c r="M25" s="26"/>
      <c r="N25" s="26"/>
      <c r="O25" s="26">
        <v>0</v>
      </c>
      <c r="P25" s="26">
        <f t="shared" si="4"/>
        <v>3512.3</v>
      </c>
      <c r="Q25" s="109">
        <f>IF('[22]Calculo ISR '!$BW$34&lt;0,0,'[22]Calculo ISR '!$BW$34)</f>
        <v>127.62651199999996</v>
      </c>
      <c r="R25" s="110">
        <f>I25*O6</f>
        <v>331.69499999999999</v>
      </c>
      <c r="S25" s="110"/>
      <c r="T25" s="110"/>
      <c r="U25" s="110"/>
      <c r="V25" s="110"/>
      <c r="W25" s="26">
        <f t="shared" si="9"/>
        <v>459.32151199999998</v>
      </c>
      <c r="X25" s="110">
        <f>IF('[22]Calculo ISR '!$BW$34&gt;0,0,('[22]Calculo ISR '!$BW$34)*-1)</f>
        <v>0</v>
      </c>
      <c r="Y25" s="26">
        <f t="shared" si="6"/>
        <v>2820.178488</v>
      </c>
      <c r="Z25" s="26">
        <f t="shared" si="7"/>
        <v>232.8</v>
      </c>
      <c r="AA25" s="212"/>
      <c r="AB25" s="213"/>
    </row>
    <row r="26" spans="1:29" s="111" customFormat="1" ht="45" customHeight="1">
      <c r="A26" s="21" t="s">
        <v>68</v>
      </c>
      <c r="B26" s="33" t="s">
        <v>69</v>
      </c>
      <c r="C26" s="112">
        <v>4.5</v>
      </c>
      <c r="D26" s="112">
        <v>0</v>
      </c>
      <c r="E26" s="108">
        <v>315.89999999999998</v>
      </c>
      <c r="F26" s="108">
        <v>360.15</v>
      </c>
      <c r="G26" s="108">
        <f t="shared" si="0"/>
        <v>1421.55</v>
      </c>
      <c r="H26" s="108">
        <f t="shared" si="0"/>
        <v>0</v>
      </c>
      <c r="I26" s="26">
        <f t="shared" si="1"/>
        <v>1421.55</v>
      </c>
      <c r="J26" s="26">
        <f t="shared" si="8"/>
        <v>104.76</v>
      </c>
      <c r="K26" s="26">
        <f t="shared" si="3"/>
        <v>54.225000000000001</v>
      </c>
      <c r="L26" s="26">
        <f t="shared" si="2"/>
        <v>0</v>
      </c>
      <c r="M26" s="26"/>
      <c r="N26" s="26"/>
      <c r="O26" s="26">
        <v>0</v>
      </c>
      <c r="P26" s="26">
        <f t="shared" si="4"/>
        <v>1580.5349999999999</v>
      </c>
      <c r="Q26" s="109">
        <f>IF('[22]Calculo ISR '!$BX$34&lt;0,0,'[22]Calculo ISR '!$BX$34)</f>
        <v>0</v>
      </c>
      <c r="R26" s="110">
        <f>I26*O6</f>
        <v>149.26274999999998</v>
      </c>
      <c r="S26" s="110"/>
      <c r="T26" s="110"/>
      <c r="U26" s="110"/>
      <c r="V26" s="110"/>
      <c r="W26" s="26">
        <f t="shared" si="9"/>
        <v>149.26274999999998</v>
      </c>
      <c r="X26" s="110">
        <f>IF('[22]Calculo ISR '!$BX$34&gt;0,0,('[22]Calculo ISR '!$BX$34)*-1)</f>
        <v>117.26823999999999</v>
      </c>
      <c r="Y26" s="26">
        <f t="shared" si="6"/>
        <v>1443.7804900000001</v>
      </c>
      <c r="Z26" s="26">
        <f t="shared" si="7"/>
        <v>104.76</v>
      </c>
      <c r="AA26" s="212"/>
      <c r="AB26" s="213"/>
    </row>
    <row r="27" spans="1:29" s="111" customFormat="1" ht="45" customHeight="1">
      <c r="A27" s="21" t="s">
        <v>70</v>
      </c>
      <c r="B27" s="33" t="s">
        <v>71</v>
      </c>
      <c r="C27" s="112">
        <v>7</v>
      </c>
      <c r="D27" s="112">
        <v>0</v>
      </c>
      <c r="E27" s="108">
        <v>315.89999999999998</v>
      </c>
      <c r="F27" s="108">
        <v>360.15</v>
      </c>
      <c r="G27" s="108">
        <f t="shared" si="0"/>
        <v>2211.2999999999997</v>
      </c>
      <c r="H27" s="108">
        <f t="shared" si="0"/>
        <v>0</v>
      </c>
      <c r="I27" s="26">
        <f t="shared" si="1"/>
        <v>2211.2999999999997</v>
      </c>
      <c r="J27" s="26">
        <f t="shared" si="8"/>
        <v>162.96</v>
      </c>
      <c r="K27" s="26">
        <f t="shared" si="3"/>
        <v>84.350000000000009</v>
      </c>
      <c r="L27" s="26">
        <f t="shared" si="2"/>
        <v>0</v>
      </c>
      <c r="M27" s="26"/>
      <c r="N27" s="26"/>
      <c r="O27" s="26"/>
      <c r="P27" s="26">
        <f t="shared" si="4"/>
        <v>2458.6099999999997</v>
      </c>
      <c r="Q27" s="109">
        <f>IF('[22]Calculo ISR '!$BY$34&lt;0,0,'[22]Calculo ISR '!$BY$34)</f>
        <v>0</v>
      </c>
      <c r="R27" s="110">
        <f>I27*O6</f>
        <v>232.18649999999997</v>
      </c>
      <c r="S27" s="110"/>
      <c r="T27" s="110"/>
      <c r="U27" s="110"/>
      <c r="V27" s="113">
        <f>[22]descuentos!D10</f>
        <v>394.875</v>
      </c>
      <c r="W27" s="26">
        <f t="shared" si="9"/>
        <v>627.06150000000002</v>
      </c>
      <c r="X27" s="110">
        <f>IF('[22]Calculo ISR '!$BY$34&gt;0,0,('[22]Calculo ISR '!$BY$34)*-1)</f>
        <v>29.066368000000068</v>
      </c>
      <c r="Y27" s="26">
        <f t="shared" si="6"/>
        <v>1697.6548679999996</v>
      </c>
      <c r="Z27" s="26">
        <f t="shared" si="7"/>
        <v>162.96</v>
      </c>
      <c r="AA27" s="212"/>
      <c r="AB27" s="213"/>
    </row>
    <row r="28" spans="1:29" s="111" customFormat="1" ht="45" customHeight="1">
      <c r="A28" s="21" t="s">
        <v>72</v>
      </c>
      <c r="B28" s="33" t="s">
        <v>73</v>
      </c>
      <c r="C28" s="112">
        <v>7.5</v>
      </c>
      <c r="D28" s="112">
        <v>0</v>
      </c>
      <c r="E28" s="108">
        <v>315.89999999999998</v>
      </c>
      <c r="F28" s="108">
        <v>360.15</v>
      </c>
      <c r="G28" s="108">
        <f t="shared" si="0"/>
        <v>2369.25</v>
      </c>
      <c r="H28" s="108">
        <f t="shared" si="0"/>
        <v>0</v>
      </c>
      <c r="I28" s="26">
        <f t="shared" si="1"/>
        <v>2369.25</v>
      </c>
      <c r="J28" s="26">
        <f t="shared" si="8"/>
        <v>174.60000000000002</v>
      </c>
      <c r="K28" s="26">
        <f t="shared" si="3"/>
        <v>90.375</v>
      </c>
      <c r="L28" s="26">
        <f t="shared" si="2"/>
        <v>0</v>
      </c>
      <c r="M28" s="26"/>
      <c r="N28" s="26"/>
      <c r="O28" s="26"/>
      <c r="P28" s="26">
        <f t="shared" si="4"/>
        <v>2634.2249999999999</v>
      </c>
      <c r="Q28" s="109">
        <f>IF('[22]Calculo ISR '!$BZ$34&lt;0,0,'[22]Calculo ISR '!$BZ$34)</f>
        <v>3.1741119999999796</v>
      </c>
      <c r="R28" s="110">
        <f>I28*O6</f>
        <v>248.77124999999998</v>
      </c>
      <c r="S28" s="110"/>
      <c r="T28" s="110"/>
      <c r="U28" s="110"/>
      <c r="V28" s="113"/>
      <c r="W28" s="26">
        <f t="shared" si="9"/>
        <v>251.94536199999996</v>
      </c>
      <c r="X28" s="110">
        <f>IF('[22]Calculo ISR '!$BZ$34&gt;0,0,('[22]Calculo ISR '!$BZ$34)*-1)</f>
        <v>0</v>
      </c>
      <c r="Y28" s="26">
        <f t="shared" si="6"/>
        <v>2207.6796380000001</v>
      </c>
      <c r="Z28" s="26">
        <f t="shared" si="7"/>
        <v>174.60000000000002</v>
      </c>
      <c r="AA28" s="215"/>
      <c r="AB28" s="216"/>
      <c r="AC28" s="114"/>
    </row>
    <row r="29" spans="1:29" s="111" customFormat="1" ht="45" customHeight="1">
      <c r="A29" s="21" t="s">
        <v>94</v>
      </c>
      <c r="B29" s="33" t="s">
        <v>101</v>
      </c>
      <c r="C29" s="112">
        <v>10.5</v>
      </c>
      <c r="D29" s="112">
        <v>0</v>
      </c>
      <c r="E29" s="108">
        <v>315.89999999999998</v>
      </c>
      <c r="F29" s="108">
        <v>360.15</v>
      </c>
      <c r="G29" s="108">
        <f t="shared" si="0"/>
        <v>3316.95</v>
      </c>
      <c r="H29" s="108">
        <f t="shared" si="0"/>
        <v>0</v>
      </c>
      <c r="I29" s="26">
        <f t="shared" si="1"/>
        <v>3316.95</v>
      </c>
      <c r="J29" s="26">
        <f t="shared" si="8"/>
        <v>244.44</v>
      </c>
      <c r="K29" s="26">
        <f t="shared" si="3"/>
        <v>126.52500000000001</v>
      </c>
      <c r="L29" s="26">
        <f t="shared" si="2"/>
        <v>0</v>
      </c>
      <c r="M29" s="26"/>
      <c r="N29" s="26"/>
      <c r="O29" s="26"/>
      <c r="P29" s="26">
        <f t="shared" si="4"/>
        <v>3687.915</v>
      </c>
      <c r="Q29" s="109">
        <f>IF('[22]Calculo ISR '!$CA$34&lt;0,0,'[22]Calculo ISR '!$CA$34)</f>
        <v>145.46699199999998</v>
      </c>
      <c r="R29" s="110">
        <f>I29*10.5%</f>
        <v>348.27974999999998</v>
      </c>
      <c r="S29" s="110"/>
      <c r="T29" s="110"/>
      <c r="U29" s="110"/>
      <c r="V29" s="110"/>
      <c r="W29" s="26">
        <f t="shared" si="9"/>
        <v>493.74674199999993</v>
      </c>
      <c r="X29" s="110">
        <f>IF('[22]Calculo ISR '!$CA$34&gt;0,0,('[22]Calculo ISR '!$CA$34)*-1)</f>
        <v>0</v>
      </c>
      <c r="Y29" s="26">
        <f t="shared" si="6"/>
        <v>2949.7282580000001</v>
      </c>
      <c r="Z29" s="26">
        <f t="shared" si="7"/>
        <v>244.44</v>
      </c>
      <c r="AA29" s="141"/>
      <c r="AB29" s="116"/>
      <c r="AC29" s="114"/>
    </row>
    <row r="30" spans="1:29" s="111" customFormat="1" ht="45" customHeight="1">
      <c r="A30" s="21" t="s">
        <v>96</v>
      </c>
      <c r="B30" s="33" t="s">
        <v>102</v>
      </c>
      <c r="C30" s="112">
        <v>14</v>
      </c>
      <c r="D30" s="112">
        <v>0</v>
      </c>
      <c r="E30" s="108">
        <v>315.89999999999998</v>
      </c>
      <c r="F30" s="108">
        <v>360.15</v>
      </c>
      <c r="G30" s="108">
        <f t="shared" si="0"/>
        <v>4422.5999999999995</v>
      </c>
      <c r="H30" s="108">
        <f t="shared" si="0"/>
        <v>0</v>
      </c>
      <c r="I30" s="26">
        <f t="shared" si="1"/>
        <v>4422.5999999999995</v>
      </c>
      <c r="J30" s="26">
        <f t="shared" si="8"/>
        <v>325.92</v>
      </c>
      <c r="K30" s="26">
        <f t="shared" si="3"/>
        <v>168.70000000000002</v>
      </c>
      <c r="L30" s="26">
        <f t="shared" si="2"/>
        <v>0</v>
      </c>
      <c r="M30" s="26"/>
      <c r="N30" s="26"/>
      <c r="O30" s="26"/>
      <c r="P30" s="26">
        <f t="shared" si="4"/>
        <v>4917.2199999999993</v>
      </c>
      <c r="Q30" s="109">
        <f>IF('[22]Calculo ISR '!$CB$34&lt;0,0,'[22]Calculo ISR '!$CB$34)</f>
        <v>450.26644799999997</v>
      </c>
      <c r="R30" s="110">
        <f>I30*10.5%</f>
        <v>464.37299999999993</v>
      </c>
      <c r="S30" s="110"/>
      <c r="T30" s="110"/>
      <c r="U30" s="110"/>
      <c r="V30" s="110"/>
      <c r="W30" s="26">
        <f t="shared" si="9"/>
        <v>914.6394479999999</v>
      </c>
      <c r="X30" s="110">
        <f>IF('[22]Calculo ISR '!$CB$34&gt;0,0,('[22]Calculo ISR '!$CB$34)*-1)</f>
        <v>0</v>
      </c>
      <c r="Y30" s="26">
        <f t="shared" si="6"/>
        <v>3676.6605519999994</v>
      </c>
      <c r="Z30" s="26">
        <f t="shared" si="7"/>
        <v>325.92</v>
      </c>
      <c r="AA30" s="141"/>
      <c r="AB30" s="116"/>
      <c r="AC30" s="114"/>
    </row>
    <row r="31" spans="1:29" s="111" customFormat="1" ht="45" customHeight="1">
      <c r="A31" s="21" t="s">
        <v>103</v>
      </c>
      <c r="B31" s="33" t="s">
        <v>124</v>
      </c>
      <c r="C31" s="112">
        <v>4</v>
      </c>
      <c r="D31" s="112">
        <v>0</v>
      </c>
      <c r="E31" s="108">
        <v>315.89999999999998</v>
      </c>
      <c r="F31" s="108">
        <v>360.15</v>
      </c>
      <c r="G31" s="108">
        <f t="shared" ref="G31:H37" si="10">C31*E31</f>
        <v>1263.5999999999999</v>
      </c>
      <c r="H31" s="108">
        <f t="shared" si="10"/>
        <v>0</v>
      </c>
      <c r="I31" s="26">
        <f t="shared" si="1"/>
        <v>1263.5999999999999</v>
      </c>
      <c r="J31" s="26">
        <f t="shared" si="8"/>
        <v>93.12</v>
      </c>
      <c r="K31" s="26">
        <f t="shared" si="3"/>
        <v>48.2</v>
      </c>
      <c r="L31" s="26">
        <f t="shared" si="2"/>
        <v>0</v>
      </c>
      <c r="M31" s="26"/>
      <c r="N31" s="26"/>
      <c r="O31" s="26"/>
      <c r="P31" s="26">
        <f t="shared" si="4"/>
        <v>1404.9199999999998</v>
      </c>
      <c r="Q31" s="109">
        <f>IF('[22]Calculo ISR '!$CC$34&lt;0,0,'[22]Calculo ISR '!$CC$34)</f>
        <v>0</v>
      </c>
      <c r="R31" s="110">
        <f t="shared" ref="R31:R37" si="11">I31*10.5%</f>
        <v>132.678</v>
      </c>
      <c r="S31" s="110"/>
      <c r="T31" s="110"/>
      <c r="U31" s="110"/>
      <c r="V31" s="110"/>
      <c r="W31" s="26">
        <f t="shared" si="9"/>
        <v>132.678</v>
      </c>
      <c r="X31" s="110">
        <f>IF('[22]Calculo ISR '!$CC$34&gt;0,0,('[22]Calculo ISR '!$CC$34)*-1)</f>
        <v>127.76263999999999</v>
      </c>
      <c r="Y31" s="26">
        <f t="shared" si="6"/>
        <v>1306.8846399999998</v>
      </c>
      <c r="Z31" s="26">
        <f t="shared" si="7"/>
        <v>93.12</v>
      </c>
      <c r="AA31" s="141"/>
      <c r="AB31" s="116"/>
      <c r="AC31" s="114"/>
    </row>
    <row r="32" spans="1:29" s="111" customFormat="1" ht="45" customHeight="1">
      <c r="A32" s="21" t="s">
        <v>105</v>
      </c>
      <c r="B32" s="33" t="s">
        <v>106</v>
      </c>
      <c r="C32" s="112">
        <v>4</v>
      </c>
      <c r="D32" s="112">
        <v>0</v>
      </c>
      <c r="E32" s="108">
        <v>315.89999999999998</v>
      </c>
      <c r="F32" s="108">
        <v>360.15</v>
      </c>
      <c r="G32" s="108">
        <f t="shared" si="10"/>
        <v>1263.5999999999999</v>
      </c>
      <c r="H32" s="108">
        <f t="shared" si="10"/>
        <v>0</v>
      </c>
      <c r="I32" s="26">
        <f t="shared" si="1"/>
        <v>1263.5999999999999</v>
      </c>
      <c r="J32" s="26">
        <f t="shared" si="8"/>
        <v>93.12</v>
      </c>
      <c r="K32" s="26">
        <f t="shared" si="3"/>
        <v>48.2</v>
      </c>
      <c r="L32" s="26">
        <f t="shared" si="2"/>
        <v>0</v>
      </c>
      <c r="M32" s="26"/>
      <c r="N32" s="26"/>
      <c r="O32" s="26"/>
      <c r="P32" s="26">
        <f t="shared" si="4"/>
        <v>1404.9199999999998</v>
      </c>
      <c r="Q32" s="109">
        <f>IF('[22]Calculo ISR '!$CD$34&lt;0,0,'[22]Calculo ISR '!$CD$34)</f>
        <v>0</v>
      </c>
      <c r="R32" s="110">
        <f t="shared" si="11"/>
        <v>132.678</v>
      </c>
      <c r="S32" s="110"/>
      <c r="T32" s="110"/>
      <c r="U32" s="110"/>
      <c r="V32" s="110"/>
      <c r="W32" s="26">
        <f t="shared" si="9"/>
        <v>132.678</v>
      </c>
      <c r="X32" s="110">
        <f>IF('[22]Calculo ISR '!$CD$34&gt;0,0,('[22]Calculo ISR '!$CD$34)*-1)</f>
        <v>127.76263999999999</v>
      </c>
      <c r="Y32" s="26">
        <f t="shared" si="6"/>
        <v>1306.8846399999998</v>
      </c>
      <c r="Z32" s="26">
        <f t="shared" si="7"/>
        <v>93.12</v>
      </c>
      <c r="AA32" s="141"/>
      <c r="AB32" s="116"/>
      <c r="AC32" s="114"/>
    </row>
    <row r="33" spans="1:32" s="111" customFormat="1" ht="45" customHeight="1">
      <c r="A33" s="21" t="s">
        <v>112</v>
      </c>
      <c r="B33" s="33" t="s">
        <v>113</v>
      </c>
      <c r="C33" s="112">
        <v>5</v>
      </c>
      <c r="D33" s="112">
        <v>0</v>
      </c>
      <c r="E33" s="108">
        <v>315.89999999999998</v>
      </c>
      <c r="F33" s="108">
        <v>360.15</v>
      </c>
      <c r="G33" s="108">
        <f t="shared" si="10"/>
        <v>1579.5</v>
      </c>
      <c r="H33" s="108">
        <f t="shared" si="10"/>
        <v>0</v>
      </c>
      <c r="I33" s="26">
        <f t="shared" si="1"/>
        <v>1579.5</v>
      </c>
      <c r="J33" s="26">
        <f t="shared" si="8"/>
        <v>116.4</v>
      </c>
      <c r="K33" s="26">
        <f t="shared" si="3"/>
        <v>60.25</v>
      </c>
      <c r="L33" s="26">
        <f t="shared" si="2"/>
        <v>0</v>
      </c>
      <c r="M33" s="26"/>
      <c r="N33" s="26"/>
      <c r="O33" s="26"/>
      <c r="P33" s="26">
        <f t="shared" si="4"/>
        <v>1756.15</v>
      </c>
      <c r="Q33" s="109">
        <f>IF('[22]Calculo ISR '!$CE$34&lt;0,0,'[22]Calculo ISR '!$CE$34)</f>
        <v>0</v>
      </c>
      <c r="R33" s="110">
        <f t="shared" si="11"/>
        <v>165.8475</v>
      </c>
      <c r="S33" s="110"/>
      <c r="T33" s="110"/>
      <c r="U33" s="110"/>
      <c r="V33" s="110"/>
      <c r="W33" s="26">
        <f t="shared" si="9"/>
        <v>165.8475</v>
      </c>
      <c r="X33" s="110">
        <f>IF('[22]Calculo ISR '!$CE$34&gt;0,0,('[22]Calculo ISR '!$CE$34)*-1)</f>
        <v>106.77383999999998</v>
      </c>
      <c r="Y33" s="26">
        <f t="shared" si="6"/>
        <v>1580.67634</v>
      </c>
      <c r="Z33" s="26">
        <f t="shared" si="7"/>
        <v>116.4</v>
      </c>
      <c r="AA33" s="141"/>
      <c r="AB33" s="116"/>
      <c r="AC33" s="114"/>
    </row>
    <row r="34" spans="1:32" s="111" customFormat="1" ht="45" customHeight="1">
      <c r="A34" s="21" t="s">
        <v>125</v>
      </c>
      <c r="B34" s="33" t="s">
        <v>126</v>
      </c>
      <c r="C34" s="112">
        <v>15</v>
      </c>
      <c r="D34" s="112">
        <v>0</v>
      </c>
      <c r="E34" s="108">
        <v>315.89999999999998</v>
      </c>
      <c r="F34" s="108">
        <v>360.15</v>
      </c>
      <c r="G34" s="108">
        <f t="shared" si="10"/>
        <v>4738.5</v>
      </c>
      <c r="H34" s="108">
        <f t="shared" si="10"/>
        <v>0</v>
      </c>
      <c r="I34" s="26">
        <f t="shared" si="1"/>
        <v>4738.5</v>
      </c>
      <c r="J34" s="26">
        <f t="shared" si="8"/>
        <v>349.20000000000005</v>
      </c>
      <c r="K34" s="26">
        <f t="shared" si="3"/>
        <v>180.75</v>
      </c>
      <c r="L34" s="26">
        <f t="shared" si="2"/>
        <v>0</v>
      </c>
      <c r="M34" s="26"/>
      <c r="N34" s="26"/>
      <c r="O34" s="26"/>
      <c r="P34" s="26">
        <f t="shared" si="4"/>
        <v>5268.45</v>
      </c>
      <c r="Q34" s="109">
        <f>IF('[22]Calculo ISR '!$CF$34&lt;0,0,'[22]Calculo ISR '!$CF$34)</f>
        <v>509.03508800000009</v>
      </c>
      <c r="R34" s="110">
        <f t="shared" si="11"/>
        <v>497.54249999999996</v>
      </c>
      <c r="S34" s="110"/>
      <c r="T34" s="110"/>
      <c r="U34" s="110"/>
      <c r="V34" s="110"/>
      <c r="W34" s="26">
        <f t="shared" si="9"/>
        <v>1006.5775880000001</v>
      </c>
      <c r="X34" s="110">
        <f>IF('[22]Calculo ISR '!$CF$34&gt;0,0,('[22]Calculo ISR '!$CF$34)*-1)</f>
        <v>0</v>
      </c>
      <c r="Y34" s="26">
        <f t="shared" si="6"/>
        <v>3912.6724119999999</v>
      </c>
      <c r="Z34" s="26">
        <f t="shared" si="7"/>
        <v>349.20000000000005</v>
      </c>
      <c r="AA34" s="141"/>
      <c r="AB34" s="116"/>
      <c r="AC34" s="114"/>
    </row>
    <row r="35" spans="1:32" s="111" customFormat="1" ht="45" customHeight="1">
      <c r="A35" s="21" t="s">
        <v>127</v>
      </c>
      <c r="B35" s="33" t="s">
        <v>128</v>
      </c>
      <c r="C35" s="112">
        <v>5</v>
      </c>
      <c r="D35" s="112">
        <v>0</v>
      </c>
      <c r="E35" s="108">
        <v>315.89999999999998</v>
      </c>
      <c r="F35" s="108">
        <v>360.15</v>
      </c>
      <c r="G35" s="108">
        <f t="shared" si="10"/>
        <v>1579.5</v>
      </c>
      <c r="H35" s="108">
        <f t="shared" si="10"/>
        <v>0</v>
      </c>
      <c r="I35" s="26">
        <f t="shared" si="1"/>
        <v>1579.5</v>
      </c>
      <c r="J35" s="26">
        <f t="shared" si="8"/>
        <v>116.4</v>
      </c>
      <c r="K35" s="26">
        <f t="shared" si="3"/>
        <v>60.25</v>
      </c>
      <c r="L35" s="26">
        <f t="shared" si="2"/>
        <v>0</v>
      </c>
      <c r="M35" s="26"/>
      <c r="N35" s="26"/>
      <c r="O35" s="26"/>
      <c r="P35" s="26">
        <f t="shared" si="4"/>
        <v>1756.15</v>
      </c>
      <c r="Q35" s="109">
        <f>IF('[22]Calculo ISR '!$CG$34&lt;0,0,'[22]Calculo ISR '!$CG$34)</f>
        <v>0</v>
      </c>
      <c r="R35" s="110">
        <f t="shared" si="11"/>
        <v>165.8475</v>
      </c>
      <c r="S35" s="110"/>
      <c r="T35" s="110"/>
      <c r="U35" s="110"/>
      <c r="V35" s="110"/>
      <c r="W35" s="26">
        <f t="shared" si="9"/>
        <v>165.8475</v>
      </c>
      <c r="X35" s="110">
        <f>IF('[22]Calculo ISR '!$CG$34&gt;0,0,('[22]Calculo ISR '!$CG$34)*-1)</f>
        <v>106.77383999999998</v>
      </c>
      <c r="Y35" s="26">
        <f t="shared" si="6"/>
        <v>1580.67634</v>
      </c>
      <c r="Z35" s="26">
        <f t="shared" si="7"/>
        <v>116.4</v>
      </c>
      <c r="AA35" s="141"/>
      <c r="AB35" s="116"/>
      <c r="AC35" s="114"/>
    </row>
    <row r="36" spans="1:32" s="111" customFormat="1" ht="45" customHeight="1">
      <c r="A36" s="21" t="s">
        <v>129</v>
      </c>
      <c r="B36" s="33" t="s">
        <v>130</v>
      </c>
      <c r="C36" s="112">
        <v>10</v>
      </c>
      <c r="D36" s="112">
        <v>0</v>
      </c>
      <c r="E36" s="108">
        <v>315.89999999999998</v>
      </c>
      <c r="F36" s="108">
        <v>360.15</v>
      </c>
      <c r="G36" s="108">
        <f t="shared" si="10"/>
        <v>3159</v>
      </c>
      <c r="H36" s="108">
        <f t="shared" si="10"/>
        <v>0</v>
      </c>
      <c r="I36" s="26">
        <f t="shared" si="1"/>
        <v>3159</v>
      </c>
      <c r="J36" s="26">
        <f t="shared" si="8"/>
        <v>232.8</v>
      </c>
      <c r="K36" s="26">
        <f t="shared" si="3"/>
        <v>120.5</v>
      </c>
      <c r="L36" s="26">
        <f t="shared" si="2"/>
        <v>0</v>
      </c>
      <c r="M36" s="26"/>
      <c r="N36" s="26"/>
      <c r="O36" s="26"/>
      <c r="P36" s="26">
        <f t="shared" si="4"/>
        <v>3512.3</v>
      </c>
      <c r="Q36" s="109">
        <f>IF('[22]Calculo ISR '!$CH$34&lt;0,0,'[22]Calculo ISR '!$CH$34)</f>
        <v>127.62651199999996</v>
      </c>
      <c r="R36" s="110">
        <f t="shared" si="11"/>
        <v>331.69499999999999</v>
      </c>
      <c r="S36" s="110"/>
      <c r="T36" s="110"/>
      <c r="U36" s="110"/>
      <c r="V36" s="110"/>
      <c r="W36" s="26">
        <f t="shared" si="9"/>
        <v>459.32151199999998</v>
      </c>
      <c r="X36" s="110">
        <f>IF('[22]Calculo ISR '!$CH$34&gt;0,0,('[22]Calculo ISR '!$CH$34)*-1)</f>
        <v>0</v>
      </c>
      <c r="Y36" s="26">
        <f t="shared" si="6"/>
        <v>2820.178488</v>
      </c>
      <c r="Z36" s="26">
        <f t="shared" si="7"/>
        <v>232.8</v>
      </c>
      <c r="AA36" s="141"/>
      <c r="AB36" s="116"/>
      <c r="AC36" s="114"/>
    </row>
    <row r="37" spans="1:32" s="111" customFormat="1" ht="45" customHeight="1">
      <c r="A37" s="33" t="s">
        <v>131</v>
      </c>
      <c r="B37" s="33" t="s">
        <v>132</v>
      </c>
      <c r="C37" s="112">
        <v>14</v>
      </c>
      <c r="D37" s="112">
        <v>0</v>
      </c>
      <c r="E37" s="108">
        <v>315.89999999999998</v>
      </c>
      <c r="F37" s="108">
        <v>360.15</v>
      </c>
      <c r="G37" s="108">
        <f t="shared" si="10"/>
        <v>4422.5999999999995</v>
      </c>
      <c r="H37" s="108">
        <f t="shared" si="10"/>
        <v>0</v>
      </c>
      <c r="I37" s="26">
        <f t="shared" si="1"/>
        <v>4422.5999999999995</v>
      </c>
      <c r="J37" s="26">
        <f t="shared" si="8"/>
        <v>325.92</v>
      </c>
      <c r="K37" s="26">
        <f t="shared" si="3"/>
        <v>168.70000000000002</v>
      </c>
      <c r="L37" s="26">
        <f t="shared" si="2"/>
        <v>0</v>
      </c>
      <c r="M37" s="26"/>
      <c r="N37" s="26"/>
      <c r="O37" s="26"/>
      <c r="P37" s="26">
        <f t="shared" si="4"/>
        <v>4917.2199999999993</v>
      </c>
      <c r="Q37" s="109">
        <f>IF('[22]Calculo ISR '!$CI$34&lt;0,0,'[22]Calculo ISR '!$CI$34)</f>
        <v>450.26644799999997</v>
      </c>
      <c r="R37" s="110">
        <f t="shared" si="11"/>
        <v>464.37299999999993</v>
      </c>
      <c r="S37" s="110"/>
      <c r="T37" s="110"/>
      <c r="U37" s="110"/>
      <c r="V37" s="110"/>
      <c r="W37" s="26">
        <f t="shared" si="9"/>
        <v>914.6394479999999</v>
      </c>
      <c r="X37" s="110">
        <f>IF('[22]Calculo ISR '!$CI$34&gt;0,0,('[22]Calculo ISR '!$CI$34)*-1)</f>
        <v>0</v>
      </c>
      <c r="Y37" s="26">
        <f t="shared" si="6"/>
        <v>3676.6605519999994</v>
      </c>
      <c r="Z37" s="26">
        <f t="shared" si="7"/>
        <v>325.92</v>
      </c>
      <c r="AA37" s="141"/>
      <c r="AB37" s="116"/>
      <c r="AC37" s="114"/>
    </row>
    <row r="38" spans="1:32" s="57" customFormat="1" ht="30" customHeight="1" thickBot="1">
      <c r="A38" s="86"/>
      <c r="B38" s="38" t="s">
        <v>74</v>
      </c>
      <c r="C38" s="39">
        <f t="shared" ref="C38:Y38" si="12">SUM(C10:C37)</f>
        <v>304</v>
      </c>
      <c r="D38" s="39">
        <f t="shared" si="12"/>
        <v>60</v>
      </c>
      <c r="E38" s="40">
        <f t="shared" si="12"/>
        <v>8845.1999999999953</v>
      </c>
      <c r="F38" s="117">
        <f t="shared" si="12"/>
        <v>10084.199999999995</v>
      </c>
      <c r="G38" s="40">
        <f t="shared" si="12"/>
        <v>96033.60000000002</v>
      </c>
      <c r="H38" s="40">
        <f t="shared" si="12"/>
        <v>21609</v>
      </c>
      <c r="I38" s="40">
        <f t="shared" si="12"/>
        <v>117642.6</v>
      </c>
      <c r="J38" s="40">
        <f t="shared" si="12"/>
        <v>8473.9199999999983</v>
      </c>
      <c r="K38" s="40">
        <f t="shared" si="12"/>
        <v>3663.1999999999994</v>
      </c>
      <c r="L38" s="40">
        <f t="shared" si="12"/>
        <v>789</v>
      </c>
      <c r="M38" s="40">
        <f t="shared" si="12"/>
        <v>1838.6399999999999</v>
      </c>
      <c r="N38" s="40">
        <f t="shared" si="12"/>
        <v>351.28800000000001</v>
      </c>
      <c r="O38" s="40">
        <f t="shared" si="12"/>
        <v>0</v>
      </c>
      <c r="P38" s="40">
        <f t="shared" si="12"/>
        <v>132758.64799999999</v>
      </c>
      <c r="Q38" s="40">
        <f t="shared" si="12"/>
        <v>12331.0214008</v>
      </c>
      <c r="R38" s="40">
        <f t="shared" si="12"/>
        <v>12352.472999999994</v>
      </c>
      <c r="S38" s="40">
        <f t="shared" si="12"/>
        <v>5980</v>
      </c>
      <c r="T38" s="40">
        <f t="shared" si="12"/>
        <v>721.53</v>
      </c>
      <c r="U38" s="40">
        <f t="shared" si="12"/>
        <v>0</v>
      </c>
      <c r="V38" s="118">
        <f t="shared" si="12"/>
        <v>473.85</v>
      </c>
      <c r="W38" s="40">
        <f t="shared" si="12"/>
        <v>31858.874400799992</v>
      </c>
      <c r="X38" s="40">
        <f t="shared" si="12"/>
        <v>615.40756799999997</v>
      </c>
      <c r="Y38" s="40">
        <f t="shared" si="12"/>
        <v>93041.26116720002</v>
      </c>
      <c r="Z38" s="40">
        <f>SUM(Z9:Z37)</f>
        <v>8473.9199999999983</v>
      </c>
      <c r="AA38" s="41"/>
      <c r="AB38" s="42"/>
      <c r="AC38" s="119"/>
      <c r="AD38" s="120"/>
    </row>
    <row r="39" spans="1:32" s="91" customFormat="1" ht="9" customHeight="1">
      <c r="A39" s="121"/>
      <c r="B39" s="60">
        <v>28</v>
      </c>
      <c r="C39" s="123"/>
      <c r="D39" s="123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124"/>
      <c r="AB39" s="90"/>
      <c r="AC39" s="125"/>
    </row>
    <row r="40" spans="1:32" s="91" customFormat="1" ht="9" customHeight="1">
      <c r="A40" s="121"/>
      <c r="B40" s="122"/>
      <c r="C40" s="123"/>
      <c r="D40" s="123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124"/>
      <c r="AB40" s="90"/>
      <c r="AC40" s="90"/>
    </row>
    <row r="41" spans="1:32" s="2" customFormat="1" ht="15" customHeight="1">
      <c r="A41" s="69"/>
      <c r="C41" s="140" t="s">
        <v>75</v>
      </c>
      <c r="D41" s="1"/>
      <c r="E41" s="1"/>
      <c r="F41" s="1"/>
      <c r="G41" s="1"/>
      <c r="H41" s="1"/>
      <c r="I41" s="66" t="s">
        <v>76</v>
      </c>
      <c r="L41" s="66"/>
      <c r="M41" s="66"/>
      <c r="N41" s="66"/>
      <c r="O41" s="66"/>
      <c r="P41" s="66"/>
      <c r="Q41" s="49"/>
      <c r="R41" s="50"/>
      <c r="S41" s="1"/>
      <c r="T41" s="1"/>
      <c r="U41" s="1"/>
      <c r="V41" s="1"/>
      <c r="W41" s="1" t="s">
        <v>136</v>
      </c>
      <c r="X41" s="1"/>
      <c r="Y41" s="1"/>
      <c r="Z41" s="1"/>
      <c r="AA41" s="1"/>
      <c r="AC41" s="42"/>
      <c r="AF41" s="1"/>
    </row>
    <row r="42" spans="1:32" s="2" customFormat="1" hidden="1">
      <c r="A42" s="69"/>
      <c r="B42" s="1"/>
      <c r="C42" s="1"/>
      <c r="D42" s="1"/>
      <c r="E42" s="1"/>
      <c r="F42" s="1"/>
      <c r="G42" s="126"/>
      <c r="H42" s="1"/>
      <c r="K42" s="1"/>
      <c r="L42" s="1"/>
      <c r="M42" s="1"/>
      <c r="N42" s="1"/>
      <c r="O42" s="1"/>
      <c r="P42" s="51"/>
      <c r="Q42" s="51"/>
      <c r="R42" s="51"/>
      <c r="S42" s="1"/>
      <c r="T42" s="1"/>
      <c r="U42" s="1"/>
      <c r="V42" s="1"/>
      <c r="W42" s="1"/>
      <c r="X42" s="1"/>
      <c r="Y42" s="1"/>
      <c r="Z42" s="1"/>
      <c r="AA42" s="1"/>
      <c r="AC42" s="42"/>
      <c r="AF42" s="1"/>
    </row>
    <row r="43" spans="1:32" s="2" customFormat="1" hidden="1">
      <c r="A43" s="69"/>
      <c r="B43" s="1"/>
      <c r="C43" s="1"/>
      <c r="D43" s="1"/>
      <c r="E43" s="1"/>
      <c r="F43" s="1"/>
      <c r="G43" s="1"/>
      <c r="H43" s="1"/>
      <c r="K43" s="1"/>
      <c r="L43" s="1"/>
      <c r="M43" s="1"/>
      <c r="N43" s="1"/>
      <c r="O43" s="1"/>
      <c r="P43" s="51"/>
      <c r="Q43" s="51"/>
      <c r="R43" s="51"/>
      <c r="S43" s="1"/>
      <c r="T43" s="1"/>
      <c r="U43" s="1"/>
      <c r="V43" s="1"/>
      <c r="W43" s="1"/>
      <c r="X43" s="1"/>
      <c r="Y43" s="1"/>
      <c r="Z43" s="1"/>
      <c r="AA43" s="1"/>
      <c r="AC43" s="42"/>
      <c r="AF43" s="1"/>
    </row>
    <row r="44" spans="1:32" s="2" customFormat="1" hidden="1">
      <c r="A44" s="69"/>
      <c r="B44" s="1"/>
      <c r="C44" s="1"/>
      <c r="D44" s="1"/>
      <c r="E44" s="1"/>
      <c r="F44" s="1"/>
      <c r="G44" s="1"/>
      <c r="H44" s="1"/>
      <c r="K44" s="1"/>
      <c r="L44" s="1"/>
      <c r="M44" s="1"/>
      <c r="N44" s="1"/>
      <c r="O44" s="1"/>
      <c r="P44" s="52"/>
      <c r="Q44" s="52"/>
      <c r="R44" s="52"/>
      <c r="S44" s="1"/>
      <c r="T44" s="3"/>
      <c r="U44" s="1"/>
      <c r="V44" s="1"/>
      <c r="W44" s="1"/>
      <c r="X44" s="1"/>
      <c r="Y44" s="1"/>
      <c r="Z44" s="1"/>
      <c r="AA44" s="1"/>
      <c r="AF44" s="1"/>
    </row>
    <row r="45" spans="1:32" s="2" customFormat="1">
      <c r="A45" s="69"/>
      <c r="B45" s="140" t="s">
        <v>133</v>
      </c>
      <c r="C45" s="1"/>
      <c r="D45" s="1"/>
      <c r="E45" s="1"/>
      <c r="F45" s="1"/>
      <c r="G45" s="1"/>
      <c r="H45" s="1"/>
      <c r="I45" s="53" t="s">
        <v>79</v>
      </c>
      <c r="L45" s="53"/>
      <c r="M45" s="53"/>
      <c r="N45" s="53"/>
      <c r="O45" s="53"/>
      <c r="P45" s="53"/>
      <c r="Q45" s="52"/>
      <c r="R45" s="49"/>
      <c r="S45" s="1"/>
      <c r="T45" s="1"/>
      <c r="U45" s="1"/>
      <c r="W45" s="127" t="s">
        <v>134</v>
      </c>
      <c r="Y45" s="53"/>
      <c r="Z45" s="53"/>
      <c r="AA45" s="1"/>
      <c r="AF45" s="1"/>
    </row>
    <row r="46" spans="1:32" ht="12.75" customHeight="1">
      <c r="B46" s="54" t="s">
        <v>135</v>
      </c>
      <c r="I46" s="53" t="s">
        <v>82</v>
      </c>
      <c r="L46" s="53"/>
      <c r="M46" s="53"/>
      <c r="N46" s="53"/>
      <c r="O46" s="53"/>
      <c r="P46" s="53"/>
      <c r="Q46" s="53"/>
      <c r="R46" s="52"/>
      <c r="W46" s="53" t="s">
        <v>83</v>
      </c>
      <c r="Y46" s="53"/>
      <c r="Z46" s="53"/>
      <c r="AB46" s="3"/>
    </row>
    <row r="47" spans="1:32">
      <c r="AB47" s="3"/>
    </row>
    <row r="48" spans="1:32">
      <c r="S48" s="3"/>
      <c r="AB48" s="3"/>
    </row>
    <row r="49" spans="1:28">
      <c r="AB49" s="3"/>
    </row>
    <row r="50" spans="1:28">
      <c r="AB50" s="3"/>
    </row>
    <row r="51" spans="1:28">
      <c r="P51" s="6"/>
      <c r="AB51" s="3"/>
    </row>
    <row r="52" spans="1:28">
      <c r="AB52" s="3"/>
    </row>
    <row r="53" spans="1:28">
      <c r="AB53" s="3"/>
    </row>
    <row r="54" spans="1:28" s="56" customFormat="1">
      <c r="A54" s="6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8" s="56" customFormat="1">
      <c r="A55" s="6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8" s="57" customFormat="1">
      <c r="A56" s="6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8" s="57" customFormat="1">
      <c r="A57" s="6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8" s="57" customFormat="1">
      <c r="A58" s="6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8" s="57" customFormat="1">
      <c r="A59" s="6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8" s="57" customFormat="1">
      <c r="A60" s="6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8" s="57" customFormat="1">
      <c r="A61" s="6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6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8" s="57" customFormat="1">
      <c r="A62" s="6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8" s="57" customFormat="1">
      <c r="A63" s="6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8" s="57" customFormat="1">
      <c r="A64" s="6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s="57" customFormat="1">
      <c r="A65" s="6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7" spans="1:27">
      <c r="T67" s="3"/>
    </row>
  </sheetData>
  <mergeCells count="26">
    <mergeCell ref="AA27:AB27"/>
    <mergeCell ref="AA28:AB28"/>
    <mergeCell ref="AA21:AB21"/>
    <mergeCell ref="AA22:AB22"/>
    <mergeCell ref="AA23:AB23"/>
    <mergeCell ref="AA24:AB24"/>
    <mergeCell ref="AA25:AB25"/>
    <mergeCell ref="AA26:AB26"/>
    <mergeCell ref="AA15:AB15"/>
    <mergeCell ref="AA16:AB16"/>
    <mergeCell ref="AA17:AB17"/>
    <mergeCell ref="AA18:AB18"/>
    <mergeCell ref="AA19:AB19"/>
    <mergeCell ref="AA20:AB20"/>
    <mergeCell ref="AA9:AB9"/>
    <mergeCell ref="AA10:AB10"/>
    <mergeCell ref="AA11:AB11"/>
    <mergeCell ref="AA12:AB12"/>
    <mergeCell ref="AA13:AB13"/>
    <mergeCell ref="AA14:AB14"/>
    <mergeCell ref="A8:A9"/>
    <mergeCell ref="B8:B9"/>
    <mergeCell ref="C8:I8"/>
    <mergeCell ref="J8:P8"/>
    <mergeCell ref="Q8:W8"/>
    <mergeCell ref="X8:Z8"/>
  </mergeCells>
  <pageMargins left="0.8" right="0.17" top="0.47244094488188981" bottom="0.51181102362204722" header="0.31496062992125984" footer="0.31496062992125984"/>
  <pageSetup paperSize="5" scale="5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F67"/>
  <sheetViews>
    <sheetView topLeftCell="A3" zoomScale="80" zoomScaleNormal="80" zoomScaleSheetLayoutView="100" workbookViewId="0">
      <pane xSplit="2" ySplit="7" topLeftCell="C37" activePane="bottomRight" state="frozen"/>
      <selection activeCell="A3" sqref="A3"/>
      <selection pane="topRight" activeCell="C3" sqref="C3"/>
      <selection pane="bottomLeft" activeCell="A10" sqref="A10"/>
      <selection pane="bottomRight" activeCell="M53" sqref="M53"/>
    </sheetView>
  </sheetViews>
  <sheetFormatPr baseColWidth="10" defaultRowHeight="12.75"/>
  <cols>
    <col min="1" max="1" width="13" style="69" customWidth="1"/>
    <col min="2" max="2" width="22" style="1" customWidth="1"/>
    <col min="3" max="3" width="8" style="1" customWidth="1"/>
    <col min="4" max="4" width="7.140625" style="1" customWidth="1"/>
    <col min="5" max="6" width="11.28515625" style="1" customWidth="1"/>
    <col min="7" max="7" width="11.140625" style="1" customWidth="1"/>
    <col min="8" max="8" width="10.85546875" style="1" customWidth="1"/>
    <col min="9" max="9" width="12.5703125" style="1" customWidth="1"/>
    <col min="10" max="10" width="10.5703125" style="1" customWidth="1"/>
    <col min="11" max="11" width="10.7109375" style="1" customWidth="1"/>
    <col min="12" max="12" width="10.42578125" style="1" customWidth="1"/>
    <col min="13" max="13" width="9.85546875" style="1" customWidth="1"/>
    <col min="14" max="14" width="8.5703125" style="1" customWidth="1"/>
    <col min="15" max="15" width="5.5703125" style="1" customWidth="1"/>
    <col min="16" max="16" width="13.7109375" style="1" customWidth="1"/>
    <col min="17" max="17" width="11" style="1" hidden="1" customWidth="1"/>
    <col min="18" max="18" width="11.140625" style="1" hidden="1" customWidth="1"/>
    <col min="19" max="19" width="9.85546875" style="1" hidden="1" customWidth="1"/>
    <col min="20" max="20" width="8.5703125" style="1" hidden="1" customWidth="1"/>
    <col min="21" max="21" width="4.140625" style="1" hidden="1" customWidth="1"/>
    <col min="22" max="22" width="8.7109375" style="1" hidden="1" customWidth="1"/>
    <col min="23" max="23" width="11.85546875" style="1" customWidth="1"/>
    <col min="24" max="24" width="9.140625" style="1" customWidth="1"/>
    <col min="25" max="25" width="12.42578125" style="1" customWidth="1"/>
    <col min="26" max="26" width="12" style="1" hidden="1" customWidth="1"/>
    <col min="27" max="27" width="24.140625" style="1" hidden="1" customWidth="1"/>
    <col min="28" max="28" width="12.28515625" style="1" hidden="1" customWidth="1"/>
    <col min="29" max="16384" width="11.42578125" style="1"/>
  </cols>
  <sheetData>
    <row r="2" spans="1:28">
      <c r="B2" s="2" t="s">
        <v>0</v>
      </c>
    </row>
    <row r="3" spans="1:28" s="91" customFormat="1">
      <c r="A3" s="92"/>
    </row>
    <row r="4" spans="1:28" s="91" customFormat="1">
      <c r="A4" s="92"/>
      <c r="T4" s="65"/>
      <c r="U4" s="65"/>
      <c r="V4" s="65"/>
    </row>
    <row r="5" spans="1:28" s="91" customFormat="1">
      <c r="A5" s="92"/>
      <c r="P5" s="90"/>
      <c r="T5" s="65"/>
      <c r="U5" s="65"/>
      <c r="V5" s="65"/>
    </row>
    <row r="6" spans="1:28" s="91" customFormat="1">
      <c r="A6" s="92"/>
      <c r="E6" s="4">
        <v>26.08</v>
      </c>
      <c r="F6" s="4"/>
      <c r="G6" s="4"/>
      <c r="H6" s="4"/>
      <c r="I6" s="4">
        <v>12.05</v>
      </c>
      <c r="J6" s="4"/>
      <c r="K6" s="65"/>
      <c r="L6" s="65"/>
      <c r="M6" s="65"/>
      <c r="N6" s="65"/>
      <c r="O6" s="128">
        <v>0.105</v>
      </c>
      <c r="T6" s="65"/>
      <c r="U6" s="5">
        <v>0.01</v>
      </c>
      <c r="V6" s="65"/>
    </row>
    <row r="7" spans="1:28" ht="13.5" thickBot="1">
      <c r="A7" s="85" t="s">
        <v>0</v>
      </c>
      <c r="C7" s="2"/>
      <c r="D7" s="91"/>
      <c r="E7" s="4">
        <v>26.08</v>
      </c>
      <c r="F7" s="92"/>
      <c r="G7" s="92"/>
      <c r="H7" s="4"/>
      <c r="I7" s="7">
        <v>0.02</v>
      </c>
      <c r="J7" s="8">
        <v>0.04</v>
      </c>
      <c r="K7" s="129">
        <v>0.06</v>
      </c>
      <c r="L7" s="130">
        <v>13.15</v>
      </c>
      <c r="M7" s="6" t="s">
        <v>116</v>
      </c>
      <c r="N7" s="91"/>
      <c r="O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</row>
    <row r="8" spans="1:28" ht="15.75" customHeight="1" thickBot="1">
      <c r="A8" s="199" t="s">
        <v>2</v>
      </c>
      <c r="B8" s="201" t="s">
        <v>3</v>
      </c>
      <c r="C8" s="203" t="s">
        <v>4</v>
      </c>
      <c r="D8" s="204"/>
      <c r="E8" s="204"/>
      <c r="F8" s="204"/>
      <c r="G8" s="204"/>
      <c r="H8" s="204"/>
      <c r="I8" s="205"/>
      <c r="J8" s="206" t="s">
        <v>5</v>
      </c>
      <c r="K8" s="207"/>
      <c r="L8" s="207"/>
      <c r="M8" s="208"/>
      <c r="N8" s="208"/>
      <c r="O8" s="208"/>
      <c r="P8" s="209"/>
      <c r="Q8" s="210" t="s">
        <v>6</v>
      </c>
      <c r="R8" s="211"/>
      <c r="S8" s="211"/>
      <c r="T8" s="211"/>
      <c r="U8" s="211"/>
      <c r="V8" s="211"/>
      <c r="W8" s="211"/>
      <c r="X8" s="198" t="s">
        <v>7</v>
      </c>
      <c r="Y8" s="198"/>
      <c r="Z8" s="198"/>
      <c r="AA8" s="95"/>
      <c r="AB8" s="95"/>
    </row>
    <row r="9" spans="1:28" s="20" customFormat="1" ht="75" customHeight="1">
      <c r="A9" s="200"/>
      <c r="B9" s="202"/>
      <c r="C9" s="96" t="s">
        <v>117</v>
      </c>
      <c r="D9" s="96" t="s">
        <v>118</v>
      </c>
      <c r="E9" s="96" t="s">
        <v>119</v>
      </c>
      <c r="F9" s="96" t="s">
        <v>120</v>
      </c>
      <c r="G9" s="96" t="s">
        <v>91</v>
      </c>
      <c r="H9" s="96" t="s">
        <v>92</v>
      </c>
      <c r="I9" s="96" t="s">
        <v>10</v>
      </c>
      <c r="J9" s="97" t="s">
        <v>121</v>
      </c>
      <c r="K9" s="97" t="s">
        <v>122</v>
      </c>
      <c r="L9" s="98" t="s">
        <v>123</v>
      </c>
      <c r="M9" s="99" t="s">
        <v>13</v>
      </c>
      <c r="N9" s="99" t="s">
        <v>14</v>
      </c>
      <c r="O9" s="100" t="s">
        <v>15</v>
      </c>
      <c r="P9" s="99" t="s">
        <v>16</v>
      </c>
      <c r="Q9" s="101" t="s">
        <v>17</v>
      </c>
      <c r="R9" s="102" t="s">
        <v>18</v>
      </c>
      <c r="S9" s="102" t="s">
        <v>19</v>
      </c>
      <c r="T9" s="102" t="s">
        <v>20</v>
      </c>
      <c r="U9" s="103" t="s">
        <v>21</v>
      </c>
      <c r="V9" s="103" t="s">
        <v>22</v>
      </c>
      <c r="W9" s="102" t="s">
        <v>23</v>
      </c>
      <c r="X9" s="104" t="s">
        <v>24</v>
      </c>
      <c r="Y9" s="105" t="s">
        <v>25</v>
      </c>
      <c r="Z9" s="106" t="s">
        <v>26</v>
      </c>
      <c r="AA9" s="214" t="s">
        <v>27</v>
      </c>
      <c r="AB9" s="214"/>
    </row>
    <row r="10" spans="1:28" s="111" customFormat="1" ht="45" customHeight="1">
      <c r="A10" s="21" t="s">
        <v>32</v>
      </c>
      <c r="B10" s="33" t="s">
        <v>99</v>
      </c>
      <c r="C10" s="107">
        <v>10</v>
      </c>
      <c r="D10" s="107">
        <v>0</v>
      </c>
      <c r="E10" s="108">
        <v>315.89999999999998</v>
      </c>
      <c r="F10" s="108">
        <v>360.15</v>
      </c>
      <c r="G10" s="108">
        <f t="shared" ref="G10:H30" si="0">C10*E10</f>
        <v>3159</v>
      </c>
      <c r="H10" s="108">
        <f t="shared" si="0"/>
        <v>0</v>
      </c>
      <c r="I10" s="26">
        <f t="shared" ref="I10:I37" si="1">G10+H10</f>
        <v>3159</v>
      </c>
      <c r="J10" s="26">
        <f>(C10+D10)*23.28</f>
        <v>232.8</v>
      </c>
      <c r="K10" s="26">
        <f>C10*I$6</f>
        <v>120.5</v>
      </c>
      <c r="L10" s="26">
        <f t="shared" ref="L10:L37" si="2">D10*L$7</f>
        <v>0</v>
      </c>
      <c r="M10" s="26"/>
      <c r="N10" s="26">
        <f>I10*J7</f>
        <v>126.36</v>
      </c>
      <c r="O10" s="26">
        <v>0</v>
      </c>
      <c r="P10" s="26">
        <f>SUM(I10:O10)</f>
        <v>3638.6600000000003</v>
      </c>
      <c r="Q10" s="109">
        <f>IF('[18]Calculo ISR '!$BF$34&lt;0,0,'[18]Calculo ISR '!$BF$34)</f>
        <v>141.37447999999998</v>
      </c>
      <c r="R10" s="110">
        <f>I10*O6</f>
        <v>331.69499999999999</v>
      </c>
      <c r="S10" s="110">
        <v>0</v>
      </c>
      <c r="T10" s="110">
        <f>I10*U6</f>
        <v>31.59</v>
      </c>
      <c r="U10" s="110">
        <f>'[18]HT-DOCENTE'!R11</f>
        <v>0</v>
      </c>
      <c r="V10" s="110"/>
      <c r="W10" s="26">
        <f>Q10+R10+S10+T10+V10+U10</f>
        <v>504.65947999999997</v>
      </c>
      <c r="X10" s="110">
        <f>IF('[18]Calculo ISR '!$BF$34&gt;0,0,('[18]Calculo ISR '!$BF$34)*-1)</f>
        <v>0</v>
      </c>
      <c r="Y10" s="26">
        <f>P10-W10-J10+X10</f>
        <v>2901.2005200000003</v>
      </c>
      <c r="Z10" s="26">
        <f>J10</f>
        <v>232.8</v>
      </c>
      <c r="AA10" s="212"/>
      <c r="AB10" s="213"/>
    </row>
    <row r="11" spans="1:28" s="111" customFormat="1" ht="45" customHeight="1">
      <c r="A11" s="21" t="s">
        <v>34</v>
      </c>
      <c r="B11" s="33" t="s">
        <v>35</v>
      </c>
      <c r="C11" s="107">
        <v>12</v>
      </c>
      <c r="D11" s="107">
        <v>7.5</v>
      </c>
      <c r="E11" s="108">
        <v>315.89999999999998</v>
      </c>
      <c r="F11" s="108">
        <v>360.15</v>
      </c>
      <c r="G11" s="108">
        <f t="shared" si="0"/>
        <v>3790.7999999999997</v>
      </c>
      <c r="H11" s="108">
        <f>D11*F11</f>
        <v>2701.125</v>
      </c>
      <c r="I11" s="26">
        <f t="shared" si="1"/>
        <v>6491.9249999999993</v>
      </c>
      <c r="J11" s="26">
        <f>(C11+D11)*23.28</f>
        <v>453.96000000000004</v>
      </c>
      <c r="K11" s="26">
        <f t="shared" ref="K11:K37" si="3">C11*I$6</f>
        <v>144.60000000000002</v>
      </c>
      <c r="L11" s="26">
        <f t="shared" si="2"/>
        <v>98.625</v>
      </c>
      <c r="M11" s="26"/>
      <c r="N11" s="26">
        <f>I11*I7</f>
        <v>129.83849999999998</v>
      </c>
      <c r="O11" s="26">
        <f>'[18]HT-DOCENTE'!J12</f>
        <v>0</v>
      </c>
      <c r="P11" s="26">
        <f t="shared" ref="P11:P37" si="4">SUM(I11:O11)</f>
        <v>7318.9484999999995</v>
      </c>
      <c r="Q11" s="109">
        <f>IF('[18]Calculo ISR '!$BG$34&lt;0,0,'[18]Calculo ISR '!$BG$34)</f>
        <v>919.17236759999992</v>
      </c>
      <c r="R11" s="110">
        <f>I11*O6</f>
        <v>681.65212499999984</v>
      </c>
      <c r="S11" s="110">
        <f>'[18]HT-DOCENTE'!P12</f>
        <v>0</v>
      </c>
      <c r="T11" s="110">
        <f>I11*U6</f>
        <v>64.919249999999991</v>
      </c>
      <c r="U11" s="110">
        <f>'[18]HT-DOCENTE'!R12</f>
        <v>0</v>
      </c>
      <c r="V11" s="110"/>
      <c r="W11" s="26">
        <f t="shared" ref="W11:W21" si="5">Q11+R11+S11+T11+V11+U11</f>
        <v>1665.7437425999997</v>
      </c>
      <c r="X11" s="110">
        <f>IF('[18]Calculo ISR '!$BG$34&gt;0,0,('[18]Calculo ISR '!$BG$34)*-1)</f>
        <v>0</v>
      </c>
      <c r="Y11" s="26">
        <f t="shared" ref="Y11:Y37" si="6">P11-W11-J11+X11</f>
        <v>5199.2447573999998</v>
      </c>
      <c r="Z11" s="26">
        <f t="shared" ref="Z11:Z37" si="7">J11</f>
        <v>453.96000000000004</v>
      </c>
      <c r="AA11" s="212"/>
      <c r="AB11" s="213"/>
    </row>
    <row r="12" spans="1:28" s="111" customFormat="1" ht="45" customHeight="1">
      <c r="A12" s="21" t="s">
        <v>36</v>
      </c>
      <c r="B12" s="33" t="s">
        <v>37</v>
      </c>
      <c r="C12" s="107">
        <v>6.5</v>
      </c>
      <c r="D12" s="107">
        <v>7.5</v>
      </c>
      <c r="E12" s="108">
        <v>315.89999999999998</v>
      </c>
      <c r="F12" s="108">
        <v>360.15</v>
      </c>
      <c r="G12" s="108">
        <f t="shared" si="0"/>
        <v>2053.35</v>
      </c>
      <c r="H12" s="108">
        <f t="shared" si="0"/>
        <v>2701.125</v>
      </c>
      <c r="I12" s="26">
        <f t="shared" si="1"/>
        <v>4754.4750000000004</v>
      </c>
      <c r="J12" s="26">
        <f>(C12+D12)*23.28</f>
        <v>325.92</v>
      </c>
      <c r="K12" s="26">
        <f t="shared" si="3"/>
        <v>78.325000000000003</v>
      </c>
      <c r="L12" s="26">
        <f t="shared" si="2"/>
        <v>98.625</v>
      </c>
      <c r="M12" s="26">
        <f>(C12+D12)*E7</f>
        <v>365.12</v>
      </c>
      <c r="N12" s="26">
        <f>I12*I7</f>
        <v>95.089500000000015</v>
      </c>
      <c r="O12" s="26">
        <f>'[18]HT-DOCENTE'!J13</f>
        <v>0</v>
      </c>
      <c r="P12" s="26">
        <f t="shared" si="4"/>
        <v>5717.5545000000002</v>
      </c>
      <c r="Q12" s="109">
        <f>IF('[18]Calculo ISR '!$BH$34&lt;0,0,'[18]Calculo ISR '!$BH$34)</f>
        <v>604.46395320000011</v>
      </c>
      <c r="R12" s="110">
        <f>I12*O6</f>
        <v>499.219875</v>
      </c>
      <c r="S12" s="110">
        <v>1431</v>
      </c>
      <c r="T12" s="110">
        <f>I12*U6</f>
        <v>47.544750000000008</v>
      </c>
      <c r="U12" s="110">
        <f>'[18]HT-DOCENTE'!R13</f>
        <v>0</v>
      </c>
      <c r="V12" s="110"/>
      <c r="W12" s="26">
        <f t="shared" si="5"/>
        <v>2582.2285781999999</v>
      </c>
      <c r="X12" s="110">
        <f>IF('[18]Calculo ISR '!$BH$34&gt;0,0,('[18]Calculo ISR '!$BH$34)*-1)</f>
        <v>0</v>
      </c>
      <c r="Y12" s="26">
        <f t="shared" si="6"/>
        <v>2809.4059218000002</v>
      </c>
      <c r="Z12" s="26">
        <f t="shared" si="7"/>
        <v>325.92</v>
      </c>
      <c r="AA12" s="212"/>
      <c r="AB12" s="213"/>
    </row>
    <row r="13" spans="1:28" s="111" customFormat="1" ht="45" customHeight="1">
      <c r="A13" s="21" t="s">
        <v>38</v>
      </c>
      <c r="B13" s="33" t="s">
        <v>39</v>
      </c>
      <c r="C13" s="107">
        <v>11.5</v>
      </c>
      <c r="D13" s="107">
        <v>7.5</v>
      </c>
      <c r="E13" s="108">
        <v>315.89999999999998</v>
      </c>
      <c r="F13" s="108">
        <v>360.15</v>
      </c>
      <c r="G13" s="108">
        <f t="shared" si="0"/>
        <v>3632.85</v>
      </c>
      <c r="H13" s="108">
        <f t="shared" si="0"/>
        <v>2701.125</v>
      </c>
      <c r="I13" s="26">
        <f t="shared" si="1"/>
        <v>6333.9750000000004</v>
      </c>
      <c r="J13" s="26">
        <f t="shared" ref="J13:J37" si="8">(C13+D13)*23.28</f>
        <v>442.32000000000005</v>
      </c>
      <c r="K13" s="26">
        <f t="shared" si="3"/>
        <v>138.57500000000002</v>
      </c>
      <c r="L13" s="26">
        <f t="shared" si="2"/>
        <v>98.625</v>
      </c>
      <c r="M13" s="26">
        <f>(C13+D13)*E7</f>
        <v>495.52</v>
      </c>
      <c r="N13" s="26"/>
      <c r="O13" s="26">
        <f>'[18]HT-DOCENTE'!J14</f>
        <v>0</v>
      </c>
      <c r="P13" s="26">
        <f t="shared" si="4"/>
        <v>7509.0149999999994</v>
      </c>
      <c r="Q13" s="109">
        <f>IF('[18]Calculo ISR '!$BI$34&lt;0,0,'[18]Calculo ISR '!$BI$34)</f>
        <v>962.25687600000003</v>
      </c>
      <c r="R13" s="110">
        <f>I13*O6</f>
        <v>665.06737499999997</v>
      </c>
      <c r="S13" s="110">
        <v>1655</v>
      </c>
      <c r="T13" s="110">
        <f>I13*U6</f>
        <v>63.339750000000002</v>
      </c>
      <c r="U13" s="110">
        <f>'[18]HT-DOCENTE'!R14</f>
        <v>0</v>
      </c>
      <c r="V13" s="110"/>
      <c r="W13" s="26">
        <f t="shared" si="5"/>
        <v>3345.6640010000001</v>
      </c>
      <c r="X13" s="110">
        <f>IF('[18]Calculo ISR '!$BI$34&gt;0,0,('[18]Calculo ISR '!$BI$34)*-1)</f>
        <v>0</v>
      </c>
      <c r="Y13" s="26">
        <f t="shared" si="6"/>
        <v>3721.0309989999992</v>
      </c>
      <c r="Z13" s="26">
        <f t="shared" si="7"/>
        <v>442.32000000000005</v>
      </c>
      <c r="AA13" s="212"/>
      <c r="AB13" s="213"/>
    </row>
    <row r="14" spans="1:28" s="111" customFormat="1" ht="45" customHeight="1">
      <c r="A14" s="21" t="s">
        <v>40</v>
      </c>
      <c r="B14" s="33" t="s">
        <v>41</v>
      </c>
      <c r="C14" s="107">
        <v>18.5</v>
      </c>
      <c r="D14" s="107">
        <v>0</v>
      </c>
      <c r="E14" s="108">
        <v>315.89999999999998</v>
      </c>
      <c r="F14" s="108">
        <v>360.15</v>
      </c>
      <c r="G14" s="108">
        <f t="shared" si="0"/>
        <v>5844.15</v>
      </c>
      <c r="H14" s="108">
        <f t="shared" si="0"/>
        <v>0</v>
      </c>
      <c r="I14" s="26">
        <f t="shared" si="1"/>
        <v>5844.15</v>
      </c>
      <c r="J14" s="26">
        <f t="shared" si="8"/>
        <v>430.68</v>
      </c>
      <c r="K14" s="26">
        <f t="shared" si="3"/>
        <v>222.92500000000001</v>
      </c>
      <c r="L14" s="26">
        <f t="shared" si="2"/>
        <v>0</v>
      </c>
      <c r="M14" s="26">
        <f>(C14+D14)*E7</f>
        <v>482.47999999999996</v>
      </c>
      <c r="N14" s="26"/>
      <c r="O14" s="26">
        <f>'[18]HT-DOCENTE'!J15</f>
        <v>0</v>
      </c>
      <c r="P14" s="26">
        <f t="shared" si="4"/>
        <v>6980.2349999999997</v>
      </c>
      <c r="Q14" s="109">
        <f>IF('[18]Calculo ISR '!$BJ$34&lt;0,0,'[18]Calculo ISR '!$BJ$34)</f>
        <v>851.79577199999994</v>
      </c>
      <c r="R14" s="110">
        <f>I14*O6</f>
        <v>613.63574999999992</v>
      </c>
      <c r="S14" s="110">
        <f>'[18]HT-DOCENTE'!P15</f>
        <v>0</v>
      </c>
      <c r="T14" s="110">
        <f>I14*U6</f>
        <v>58.441499999999998</v>
      </c>
      <c r="U14" s="110">
        <v>0</v>
      </c>
      <c r="V14" s="110"/>
      <c r="W14" s="26">
        <f t="shared" si="5"/>
        <v>1523.8730219999998</v>
      </c>
      <c r="X14" s="110">
        <f>IF('[18]Calculo ISR '!$BJ$34&gt;0,0,('[18]Calculo ISR '!$BJ$34)*-1)</f>
        <v>0</v>
      </c>
      <c r="Y14" s="26">
        <f t="shared" si="6"/>
        <v>5025.6819779999996</v>
      </c>
      <c r="Z14" s="26">
        <f t="shared" si="7"/>
        <v>430.68</v>
      </c>
      <c r="AA14" s="212"/>
      <c r="AB14" s="213"/>
    </row>
    <row r="15" spans="1:28" s="111" customFormat="1" ht="45" customHeight="1">
      <c r="A15" s="21" t="s">
        <v>44</v>
      </c>
      <c r="B15" s="33" t="s">
        <v>45</v>
      </c>
      <c r="C15" s="112">
        <v>9.5</v>
      </c>
      <c r="D15" s="112">
        <v>7.5</v>
      </c>
      <c r="E15" s="108">
        <v>315.89999999999998</v>
      </c>
      <c r="F15" s="108">
        <v>360.15</v>
      </c>
      <c r="G15" s="108">
        <f t="shared" si="0"/>
        <v>3001.0499999999997</v>
      </c>
      <c r="H15" s="108">
        <f t="shared" si="0"/>
        <v>2701.125</v>
      </c>
      <c r="I15" s="26">
        <f t="shared" si="1"/>
        <v>5702.1749999999993</v>
      </c>
      <c r="J15" s="26">
        <f t="shared" si="8"/>
        <v>395.76</v>
      </c>
      <c r="K15" s="26">
        <f t="shared" si="3"/>
        <v>114.47500000000001</v>
      </c>
      <c r="L15" s="26">
        <f t="shared" si="2"/>
        <v>98.625</v>
      </c>
      <c r="M15" s="26"/>
      <c r="N15" s="26"/>
      <c r="O15" s="26">
        <f>'[18]HT-DOCENTE'!J17</f>
        <v>0</v>
      </c>
      <c r="P15" s="26">
        <f t="shared" si="4"/>
        <v>6311.0349999999999</v>
      </c>
      <c r="Q15" s="109">
        <f>IF('[18]Calculo ISR '!$BL$34&lt;0,0,'[18]Calculo ISR '!$BL$34)</f>
        <v>716.31356400000004</v>
      </c>
      <c r="R15" s="110">
        <f>I15*O6</f>
        <v>598.72837499999991</v>
      </c>
      <c r="S15" s="110">
        <f>'[18]HT-DOCENTE'!P17</f>
        <v>0</v>
      </c>
      <c r="T15" s="110">
        <f>I15*U6</f>
        <v>57.021749999999997</v>
      </c>
      <c r="U15" s="110">
        <f>'[18]HT-DOCENTE'!R17</f>
        <v>0</v>
      </c>
      <c r="V15" s="110"/>
      <c r="W15" s="26">
        <f t="shared" si="5"/>
        <v>1372.0636890000001</v>
      </c>
      <c r="X15" s="110">
        <f>IF('[18]Calculo ISR '!$BL$34&gt;0,0,('[18]Calculo ISR '!$BL$34)*-1)</f>
        <v>0</v>
      </c>
      <c r="Y15" s="26">
        <f t="shared" si="6"/>
        <v>4543.2113109999991</v>
      </c>
      <c r="Z15" s="26">
        <f t="shared" si="7"/>
        <v>395.76</v>
      </c>
      <c r="AA15" s="212"/>
      <c r="AB15" s="213"/>
    </row>
    <row r="16" spans="1:28" s="111" customFormat="1" ht="45" customHeight="1">
      <c r="A16" s="21" t="s">
        <v>48</v>
      </c>
      <c r="B16" s="33" t="s">
        <v>49</v>
      </c>
      <c r="C16" s="112">
        <v>18</v>
      </c>
      <c r="D16" s="112">
        <v>0</v>
      </c>
      <c r="E16" s="108">
        <v>315.89999999999998</v>
      </c>
      <c r="F16" s="108">
        <v>360.15</v>
      </c>
      <c r="G16" s="108">
        <f t="shared" si="0"/>
        <v>5686.2</v>
      </c>
      <c r="H16" s="108">
        <f t="shared" si="0"/>
        <v>0</v>
      </c>
      <c r="I16" s="26">
        <f t="shared" si="1"/>
        <v>5686.2</v>
      </c>
      <c r="J16" s="26">
        <f t="shared" si="8"/>
        <v>419.04</v>
      </c>
      <c r="K16" s="26">
        <f t="shared" si="3"/>
        <v>216.9</v>
      </c>
      <c r="L16" s="26">
        <f t="shared" si="2"/>
        <v>0</v>
      </c>
      <c r="M16" s="26"/>
      <c r="N16" s="26"/>
      <c r="O16" s="26">
        <v>0</v>
      </c>
      <c r="P16" s="26">
        <f t="shared" si="4"/>
        <v>6322.1399999999994</v>
      </c>
      <c r="Q16" s="109">
        <f>IF('[18]Calculo ISR '!$BN$34&lt;0,0,'[18]Calculo ISR '!$BN$34)</f>
        <v>713.71298400000001</v>
      </c>
      <c r="R16" s="110">
        <f>I16*O6</f>
        <v>597.05099999999993</v>
      </c>
      <c r="S16" s="110">
        <f>'[18]HT-DOCENTE'!P19</f>
        <v>0</v>
      </c>
      <c r="T16" s="110">
        <f>I16*U6</f>
        <v>56.862000000000002</v>
      </c>
      <c r="U16" s="110">
        <f>'[18]HT-DOCENTE'!R19</f>
        <v>0</v>
      </c>
      <c r="V16" s="113">
        <f>[18]descuentos!D11</f>
        <v>0</v>
      </c>
      <c r="W16" s="26">
        <f>Q16+R16+S16+T16+V16+U16</f>
        <v>1367.625984</v>
      </c>
      <c r="X16" s="110">
        <f>IF('[18]Calculo ISR '!$BN$34&gt;0,0,('[18]Calculo ISR '!$BN$34)*-1)</f>
        <v>0</v>
      </c>
      <c r="Y16" s="26">
        <f t="shared" si="6"/>
        <v>4535.4740159999992</v>
      </c>
      <c r="Z16" s="26">
        <f t="shared" si="7"/>
        <v>419.04</v>
      </c>
      <c r="AA16" s="212"/>
      <c r="AB16" s="213"/>
    </row>
    <row r="17" spans="1:29" s="111" customFormat="1" ht="45" customHeight="1">
      <c r="A17" s="21" t="s">
        <v>50</v>
      </c>
      <c r="B17" s="33" t="s">
        <v>51</v>
      </c>
      <c r="C17" s="112">
        <v>10.5</v>
      </c>
      <c r="D17" s="112">
        <v>7.5</v>
      </c>
      <c r="E17" s="108">
        <v>315.89999999999998</v>
      </c>
      <c r="F17" s="108">
        <v>360.15</v>
      </c>
      <c r="G17" s="108">
        <f t="shared" si="0"/>
        <v>3316.95</v>
      </c>
      <c r="H17" s="108">
        <f t="shared" si="0"/>
        <v>2701.125</v>
      </c>
      <c r="I17" s="26">
        <f t="shared" si="1"/>
        <v>6018.0749999999998</v>
      </c>
      <c r="J17" s="26">
        <f t="shared" si="8"/>
        <v>419.04</v>
      </c>
      <c r="K17" s="26">
        <f t="shared" si="3"/>
        <v>126.52500000000001</v>
      </c>
      <c r="L17" s="26">
        <f t="shared" si="2"/>
        <v>98.625</v>
      </c>
      <c r="M17" s="26"/>
      <c r="N17" s="26"/>
      <c r="O17" s="26">
        <v>0</v>
      </c>
      <c r="P17" s="26">
        <f t="shared" si="4"/>
        <v>6662.2649999999994</v>
      </c>
      <c r="Q17" s="109">
        <f>IF('[18]Calculo ISR '!$BO$34&lt;0,0,'[18]Calculo ISR '!$BO$34)</f>
        <v>786.36368399999992</v>
      </c>
      <c r="R17" s="110">
        <f>I17*O6</f>
        <v>631.897875</v>
      </c>
      <c r="S17" s="110">
        <v>1570</v>
      </c>
      <c r="T17" s="110">
        <f>I17*U6</f>
        <v>60.180749999999996</v>
      </c>
      <c r="U17" s="110"/>
      <c r="V17" s="110"/>
      <c r="W17" s="26">
        <f t="shared" si="5"/>
        <v>3048.442309</v>
      </c>
      <c r="X17" s="110">
        <f>IF('[18]Calculo ISR '!$BO$34&gt;0,0,('[18]Calculo ISR '!$BO$34)*-1)</f>
        <v>0</v>
      </c>
      <c r="Y17" s="26">
        <f t="shared" si="6"/>
        <v>3194.7826909999994</v>
      </c>
      <c r="Z17" s="26">
        <f t="shared" si="7"/>
        <v>419.04</v>
      </c>
      <c r="AA17" s="212"/>
      <c r="AB17" s="213"/>
    </row>
    <row r="18" spans="1:29" s="111" customFormat="1" ht="45" customHeight="1">
      <c r="A18" s="21" t="s">
        <v>52</v>
      </c>
      <c r="B18" s="33" t="s">
        <v>53</v>
      </c>
      <c r="C18" s="112">
        <v>12</v>
      </c>
      <c r="D18" s="112">
        <v>7.5</v>
      </c>
      <c r="E18" s="108">
        <v>315.89999999999998</v>
      </c>
      <c r="F18" s="108">
        <v>360.15</v>
      </c>
      <c r="G18" s="108">
        <f t="shared" si="0"/>
        <v>3790.7999999999997</v>
      </c>
      <c r="H18" s="108">
        <f t="shared" si="0"/>
        <v>2701.125</v>
      </c>
      <c r="I18" s="26">
        <f t="shared" si="1"/>
        <v>6491.9249999999993</v>
      </c>
      <c r="J18" s="26">
        <f t="shared" si="8"/>
        <v>453.96000000000004</v>
      </c>
      <c r="K18" s="26">
        <f t="shared" si="3"/>
        <v>144.60000000000002</v>
      </c>
      <c r="L18" s="26">
        <f t="shared" si="2"/>
        <v>98.625</v>
      </c>
      <c r="M18" s="26"/>
      <c r="N18" s="26"/>
      <c r="O18" s="26">
        <v>0</v>
      </c>
      <c r="P18" s="26">
        <f t="shared" si="4"/>
        <v>7189.11</v>
      </c>
      <c r="Q18" s="109">
        <f>IF('[18]Calculo ISR '!$BP$34&lt;0,0,'[18]Calculo ISR '!$BP$34)</f>
        <v>891.43886399999997</v>
      </c>
      <c r="R18" s="110">
        <f>I18*O6</f>
        <v>681.65212499999984</v>
      </c>
      <c r="S18" s="110">
        <f>'[18]HT-DOCENTE'!P21</f>
        <v>0</v>
      </c>
      <c r="T18" s="110">
        <f>I18*U6</f>
        <v>64.919249999999991</v>
      </c>
      <c r="U18" s="110"/>
      <c r="V18" s="110"/>
      <c r="W18" s="26">
        <f t="shared" si="5"/>
        <v>1638.0102389999997</v>
      </c>
      <c r="X18" s="110">
        <f>IF('[18]Calculo ISR '!$BP$34&gt;0,0,('[18]Calculo ISR '!$BP$34)*-1)</f>
        <v>0</v>
      </c>
      <c r="Y18" s="26">
        <f t="shared" si="6"/>
        <v>5097.1397609999995</v>
      </c>
      <c r="Z18" s="26">
        <f t="shared" si="7"/>
        <v>453.96000000000004</v>
      </c>
      <c r="AA18" s="212"/>
      <c r="AB18" s="213"/>
    </row>
    <row r="19" spans="1:29" s="111" customFormat="1" ht="45" customHeight="1">
      <c r="A19" s="21" t="s">
        <v>54</v>
      </c>
      <c r="B19" s="33" t="s">
        <v>55</v>
      </c>
      <c r="C19" s="112">
        <v>11</v>
      </c>
      <c r="D19" s="112">
        <v>7.5</v>
      </c>
      <c r="E19" s="108">
        <v>315.89999999999998</v>
      </c>
      <c r="F19" s="108">
        <v>360.15</v>
      </c>
      <c r="G19" s="108">
        <f t="shared" si="0"/>
        <v>3474.8999999999996</v>
      </c>
      <c r="H19" s="108">
        <f t="shared" si="0"/>
        <v>2701.125</v>
      </c>
      <c r="I19" s="26">
        <f t="shared" si="1"/>
        <v>6176.0249999999996</v>
      </c>
      <c r="J19" s="26">
        <f t="shared" si="8"/>
        <v>430.68</v>
      </c>
      <c r="K19" s="26">
        <f t="shared" si="3"/>
        <v>132.55000000000001</v>
      </c>
      <c r="L19" s="26">
        <f t="shared" si="2"/>
        <v>98.625</v>
      </c>
      <c r="M19" s="26"/>
      <c r="N19" s="26"/>
      <c r="O19" s="26">
        <v>0</v>
      </c>
      <c r="P19" s="26">
        <f t="shared" si="4"/>
        <v>6837.88</v>
      </c>
      <c r="Q19" s="109">
        <f>IF('[18]Calculo ISR '!$BQ$34&lt;0,0,'[18]Calculo ISR '!$BQ$34)</f>
        <v>821.38874400000009</v>
      </c>
      <c r="R19" s="110">
        <f>I19*O6</f>
        <v>648.48262499999998</v>
      </c>
      <c r="S19" s="110">
        <v>1324</v>
      </c>
      <c r="T19" s="110">
        <f>I19*U6</f>
        <v>61.760249999999999</v>
      </c>
      <c r="U19" s="110">
        <f>'[18]HT-DOCENTE'!R22</f>
        <v>0</v>
      </c>
      <c r="V19" s="110"/>
      <c r="W19" s="26">
        <f t="shared" si="5"/>
        <v>2855.6316189999998</v>
      </c>
      <c r="X19" s="110">
        <f>IF('[18]Calculo ISR '!$BQ$34&gt;0,0,('[18]Calculo ISR '!$BQ$34)*-1)</f>
        <v>0</v>
      </c>
      <c r="Y19" s="26">
        <f t="shared" si="6"/>
        <v>3551.5683810000005</v>
      </c>
      <c r="Z19" s="26">
        <f t="shared" si="7"/>
        <v>430.68</v>
      </c>
      <c r="AA19" s="212"/>
      <c r="AB19" s="213"/>
    </row>
    <row r="20" spans="1:29" s="111" customFormat="1" ht="45" customHeight="1">
      <c r="A20" s="21" t="s">
        <v>56</v>
      </c>
      <c r="B20" s="33" t="s">
        <v>57</v>
      </c>
      <c r="C20" s="112">
        <v>11.5</v>
      </c>
      <c r="D20" s="112">
        <v>7.5</v>
      </c>
      <c r="E20" s="108">
        <v>315.89999999999998</v>
      </c>
      <c r="F20" s="108">
        <v>360.15</v>
      </c>
      <c r="G20" s="108">
        <f t="shared" si="0"/>
        <v>3632.85</v>
      </c>
      <c r="H20" s="108">
        <f>D20*F20</f>
        <v>2701.125</v>
      </c>
      <c r="I20" s="26">
        <f t="shared" si="1"/>
        <v>6333.9750000000004</v>
      </c>
      <c r="J20" s="26">
        <f t="shared" si="8"/>
        <v>442.32000000000005</v>
      </c>
      <c r="K20" s="26">
        <f t="shared" si="3"/>
        <v>138.57500000000002</v>
      </c>
      <c r="L20" s="26">
        <f t="shared" si="2"/>
        <v>98.625</v>
      </c>
      <c r="M20" s="26">
        <f>(C20+D20)*E7</f>
        <v>495.52</v>
      </c>
      <c r="N20" s="26"/>
      <c r="O20" s="26">
        <v>0</v>
      </c>
      <c r="P20" s="26">
        <f t="shared" si="4"/>
        <v>7509.0149999999994</v>
      </c>
      <c r="Q20" s="109">
        <f>IF('[18]Calculo ISR '!$BR$34&lt;0,0,'[18]Calculo ISR '!$BR$34)</f>
        <v>962.25687600000003</v>
      </c>
      <c r="R20" s="110">
        <f>I20*O6</f>
        <v>665.06737499999997</v>
      </c>
      <c r="S20" s="110">
        <f>'[18]HT-DOCENTE'!P23</f>
        <v>0</v>
      </c>
      <c r="T20" s="110">
        <f>I20*U6</f>
        <v>63.339750000000002</v>
      </c>
      <c r="U20" s="110">
        <f>'[18]HT-DOCENTE'!R23</f>
        <v>0</v>
      </c>
      <c r="V20" s="113"/>
      <c r="W20" s="26">
        <f t="shared" si="5"/>
        <v>1690.6640010000001</v>
      </c>
      <c r="X20" s="110">
        <f>IF('[18]Calculo ISR '!$BR$34&gt;0,0,('[18]Calculo ISR '!$BR$34)*-1)</f>
        <v>0</v>
      </c>
      <c r="Y20" s="26">
        <f t="shared" si="6"/>
        <v>5376.0309989999996</v>
      </c>
      <c r="Z20" s="26">
        <f t="shared" si="7"/>
        <v>442.32000000000005</v>
      </c>
      <c r="AA20" s="212"/>
      <c r="AB20" s="213"/>
    </row>
    <row r="21" spans="1:29" s="111" customFormat="1" ht="45" customHeight="1">
      <c r="A21" s="21" t="s">
        <v>58</v>
      </c>
      <c r="B21" s="33" t="s">
        <v>59</v>
      </c>
      <c r="C21" s="112">
        <v>11</v>
      </c>
      <c r="D21" s="112">
        <v>0</v>
      </c>
      <c r="E21" s="108">
        <v>315.89999999999998</v>
      </c>
      <c r="F21" s="108">
        <v>360.15</v>
      </c>
      <c r="G21" s="108">
        <f t="shared" si="0"/>
        <v>3474.8999999999996</v>
      </c>
      <c r="H21" s="108">
        <f t="shared" si="0"/>
        <v>0</v>
      </c>
      <c r="I21" s="26">
        <f t="shared" si="1"/>
        <v>3474.8999999999996</v>
      </c>
      <c r="J21" s="26">
        <f t="shared" si="8"/>
        <v>256.08000000000004</v>
      </c>
      <c r="K21" s="26">
        <f t="shared" si="3"/>
        <v>132.55000000000001</v>
      </c>
      <c r="L21" s="26">
        <f t="shared" si="2"/>
        <v>0</v>
      </c>
      <c r="M21" s="26"/>
      <c r="N21" s="26"/>
      <c r="O21" s="26"/>
      <c r="P21" s="26">
        <f t="shared" si="4"/>
        <v>3863.5299999999997</v>
      </c>
      <c r="Q21" s="109">
        <f>IF('[18]Calculo ISR '!$BS$34&lt;0,0,'[18]Calculo ISR '!$BS$34)</f>
        <v>181.00747199999992</v>
      </c>
      <c r="R21" s="110">
        <f>I21*O6</f>
        <v>364.86449999999996</v>
      </c>
      <c r="S21" s="110">
        <v>786</v>
      </c>
      <c r="T21" s="110">
        <f>I21*U6</f>
        <v>34.748999999999995</v>
      </c>
      <c r="U21" s="110"/>
      <c r="V21" s="110"/>
      <c r="W21" s="26">
        <f t="shared" si="5"/>
        <v>1366.6209719999999</v>
      </c>
      <c r="X21" s="110">
        <f>IF('[18]Calculo ISR '!$BS$34&gt;0,0,('[18]Calculo ISR '!$BS$34)*-1)</f>
        <v>0</v>
      </c>
      <c r="Y21" s="26">
        <f t="shared" si="6"/>
        <v>2240.8290280000001</v>
      </c>
      <c r="Z21" s="26">
        <f t="shared" si="7"/>
        <v>256.08000000000004</v>
      </c>
      <c r="AA21" s="212"/>
      <c r="AB21" s="213"/>
    </row>
    <row r="22" spans="1:29" s="111" customFormat="1" ht="45" customHeight="1">
      <c r="A22" s="21" t="s">
        <v>60</v>
      </c>
      <c r="B22" s="33" t="s">
        <v>100</v>
      </c>
      <c r="C22" s="112">
        <v>16</v>
      </c>
      <c r="D22" s="112">
        <v>0</v>
      </c>
      <c r="E22" s="108">
        <v>315.89999999999998</v>
      </c>
      <c r="F22" s="108">
        <v>360.15</v>
      </c>
      <c r="G22" s="108">
        <f t="shared" si="0"/>
        <v>5054.3999999999996</v>
      </c>
      <c r="H22" s="108">
        <f t="shared" si="0"/>
        <v>0</v>
      </c>
      <c r="I22" s="26">
        <f t="shared" si="1"/>
        <v>5054.3999999999996</v>
      </c>
      <c r="J22" s="26">
        <f t="shared" si="8"/>
        <v>372.48</v>
      </c>
      <c r="K22" s="26">
        <f t="shared" si="3"/>
        <v>192.8</v>
      </c>
      <c r="L22" s="26">
        <f t="shared" si="2"/>
        <v>0</v>
      </c>
      <c r="M22" s="26"/>
      <c r="N22" s="26"/>
      <c r="O22" s="26"/>
      <c r="P22" s="26">
        <f t="shared" si="4"/>
        <v>5619.6799999999994</v>
      </c>
      <c r="Q22" s="109">
        <f>IF('[18]Calculo ISR '!$BT$34&lt;0,0,'[18]Calculo ISR '!$BT$34)</f>
        <v>573.61274399999979</v>
      </c>
      <c r="R22" s="110">
        <f>I22*O6</f>
        <v>530.71199999999999</v>
      </c>
      <c r="S22" s="110"/>
      <c r="T22" s="110"/>
      <c r="U22" s="110"/>
      <c r="V22" s="110"/>
      <c r="W22" s="26">
        <f t="shared" ref="W22:W37" si="9">Q22+R22+S22+T22+U22+V22</f>
        <v>1104.3247439999998</v>
      </c>
      <c r="X22" s="110">
        <f>IF('[18]Calculo ISR '!$BT$34&gt;0,0,('[18]Calculo ISR '!$BT$34)*-1)</f>
        <v>0</v>
      </c>
      <c r="Y22" s="26">
        <f t="shared" si="6"/>
        <v>4142.8752559999994</v>
      </c>
      <c r="Z22" s="26">
        <f t="shared" si="7"/>
        <v>372.48</v>
      </c>
      <c r="AA22" s="212"/>
      <c r="AB22" s="213"/>
    </row>
    <row r="23" spans="1:29" s="111" customFormat="1" ht="45" customHeight="1">
      <c r="A23" s="21" t="s">
        <v>62</v>
      </c>
      <c r="B23" s="33" t="s">
        <v>63</v>
      </c>
      <c r="C23" s="112">
        <v>18</v>
      </c>
      <c r="D23" s="112">
        <v>0</v>
      </c>
      <c r="E23" s="108">
        <v>315.89999999999998</v>
      </c>
      <c r="F23" s="108">
        <v>360.15</v>
      </c>
      <c r="G23" s="108">
        <f t="shared" si="0"/>
        <v>5686.2</v>
      </c>
      <c r="H23" s="108">
        <f t="shared" si="0"/>
        <v>0</v>
      </c>
      <c r="I23" s="26">
        <f t="shared" si="1"/>
        <v>5686.2</v>
      </c>
      <c r="J23" s="26">
        <f t="shared" si="8"/>
        <v>419.04</v>
      </c>
      <c r="K23" s="26">
        <f t="shared" si="3"/>
        <v>216.9</v>
      </c>
      <c r="L23" s="26">
        <f t="shared" si="2"/>
        <v>0</v>
      </c>
      <c r="M23" s="26"/>
      <c r="N23" s="26"/>
      <c r="O23" s="26">
        <v>0</v>
      </c>
      <c r="P23" s="26">
        <f t="shared" si="4"/>
        <v>6322.1399999999994</v>
      </c>
      <c r="Q23" s="109">
        <f>IF('[18]Calculo ISR '!$BU$34&lt;0,0,'[18]Calculo ISR '!$BU$34)</f>
        <v>713.71298400000001</v>
      </c>
      <c r="R23" s="110">
        <f>I23*O6</f>
        <v>597.05099999999993</v>
      </c>
      <c r="S23" s="110"/>
      <c r="T23" s="110">
        <f>I23*U6</f>
        <v>56.862000000000002</v>
      </c>
      <c r="U23" s="110"/>
      <c r="V23" s="110"/>
      <c r="W23" s="26">
        <f t="shared" si="9"/>
        <v>1367.625984</v>
      </c>
      <c r="X23" s="110">
        <f>IF('[18]Calculo ISR '!$BU$34&gt;0,0,('[18]Calculo ISR '!$BU$34)*-1)</f>
        <v>0</v>
      </c>
      <c r="Y23" s="26">
        <f t="shared" si="6"/>
        <v>4535.4740159999992</v>
      </c>
      <c r="Z23" s="26">
        <f t="shared" si="7"/>
        <v>419.04</v>
      </c>
      <c r="AA23" s="212"/>
      <c r="AB23" s="213"/>
    </row>
    <row r="24" spans="1:29" s="111" customFormat="1" ht="45" customHeight="1">
      <c r="A24" s="21" t="s">
        <v>64</v>
      </c>
      <c r="B24" s="33" t="s">
        <v>65</v>
      </c>
      <c r="C24" s="112">
        <v>17.5</v>
      </c>
      <c r="D24" s="112">
        <v>0</v>
      </c>
      <c r="E24" s="108">
        <v>315.89999999999998</v>
      </c>
      <c r="F24" s="108">
        <v>360.15</v>
      </c>
      <c r="G24" s="108">
        <f t="shared" si="0"/>
        <v>5528.25</v>
      </c>
      <c r="H24" s="108">
        <f t="shared" si="0"/>
        <v>0</v>
      </c>
      <c r="I24" s="26">
        <f t="shared" si="1"/>
        <v>5528.25</v>
      </c>
      <c r="J24" s="26">
        <f t="shared" si="8"/>
        <v>407.40000000000003</v>
      </c>
      <c r="K24" s="26">
        <f t="shared" si="3"/>
        <v>210.875</v>
      </c>
      <c r="L24" s="26">
        <f t="shared" si="2"/>
        <v>0</v>
      </c>
      <c r="M24" s="26"/>
      <c r="N24" s="26"/>
      <c r="O24" s="26">
        <v>0</v>
      </c>
      <c r="P24" s="26">
        <f t="shared" si="4"/>
        <v>6146.5249999999996</v>
      </c>
      <c r="Q24" s="109">
        <f>IF('[18]Calculo ISR '!$BV$34&lt;0,0,'[18]Calculo ISR '!$BV$34)</f>
        <v>678.68792400000007</v>
      </c>
      <c r="R24" s="110">
        <f>I24*O6</f>
        <v>580.46624999999995</v>
      </c>
      <c r="S24" s="110"/>
      <c r="T24" s="110">
        <f>I24*U6</f>
        <v>55.282499999999999</v>
      </c>
      <c r="U24" s="110"/>
      <c r="V24" s="110"/>
      <c r="W24" s="26">
        <f t="shared" si="9"/>
        <v>1314.436674</v>
      </c>
      <c r="X24" s="110">
        <f>IF('[18]Calculo ISR '!$BV$34&gt;0,0,('[18]Calculo ISR '!$BV$34)*-1)</f>
        <v>0</v>
      </c>
      <c r="Y24" s="26">
        <f t="shared" si="6"/>
        <v>4424.6883259999995</v>
      </c>
      <c r="Z24" s="26">
        <f t="shared" si="7"/>
        <v>407.40000000000003</v>
      </c>
      <c r="AA24" s="212"/>
      <c r="AB24" s="213"/>
    </row>
    <row r="25" spans="1:29" s="111" customFormat="1" ht="45" customHeight="1">
      <c r="A25" s="21" t="s">
        <v>66</v>
      </c>
      <c r="B25" s="33" t="s">
        <v>67</v>
      </c>
      <c r="C25" s="112">
        <v>10</v>
      </c>
      <c r="D25" s="112">
        <v>0</v>
      </c>
      <c r="E25" s="108">
        <v>315.89999999999998</v>
      </c>
      <c r="F25" s="108">
        <v>360.15</v>
      </c>
      <c r="G25" s="108">
        <f t="shared" si="0"/>
        <v>3159</v>
      </c>
      <c r="H25" s="108">
        <f t="shared" si="0"/>
        <v>0</v>
      </c>
      <c r="I25" s="26">
        <f t="shared" si="1"/>
        <v>3159</v>
      </c>
      <c r="J25" s="26">
        <f t="shared" si="8"/>
        <v>232.8</v>
      </c>
      <c r="K25" s="26">
        <f t="shared" si="3"/>
        <v>120.5</v>
      </c>
      <c r="L25" s="26">
        <f t="shared" si="2"/>
        <v>0</v>
      </c>
      <c r="M25" s="26"/>
      <c r="N25" s="26"/>
      <c r="O25" s="26">
        <v>0</v>
      </c>
      <c r="P25" s="26">
        <f t="shared" si="4"/>
        <v>3512.3</v>
      </c>
      <c r="Q25" s="109">
        <f>IF('[18]Calculo ISR '!$BW$34&lt;0,0,'[18]Calculo ISR '!$BW$34)</f>
        <v>127.62651199999996</v>
      </c>
      <c r="R25" s="110">
        <f>I25*O6</f>
        <v>331.69499999999999</v>
      </c>
      <c r="S25" s="110"/>
      <c r="T25" s="110"/>
      <c r="U25" s="110"/>
      <c r="V25" s="110"/>
      <c r="W25" s="26">
        <f t="shared" si="9"/>
        <v>459.32151199999998</v>
      </c>
      <c r="X25" s="110">
        <f>IF('[18]Calculo ISR '!$BW$34&gt;0,0,('[18]Calculo ISR '!$BW$34)*-1)</f>
        <v>0</v>
      </c>
      <c r="Y25" s="26">
        <f t="shared" si="6"/>
        <v>2820.178488</v>
      </c>
      <c r="Z25" s="26">
        <f t="shared" si="7"/>
        <v>232.8</v>
      </c>
      <c r="AA25" s="212"/>
      <c r="AB25" s="213"/>
    </row>
    <row r="26" spans="1:29" s="111" customFormat="1" ht="45" customHeight="1">
      <c r="A26" s="21" t="s">
        <v>68</v>
      </c>
      <c r="B26" s="33" t="s">
        <v>69</v>
      </c>
      <c r="C26" s="112">
        <v>4.5</v>
      </c>
      <c r="D26" s="112">
        <v>0</v>
      </c>
      <c r="E26" s="108">
        <v>315.89999999999998</v>
      </c>
      <c r="F26" s="108">
        <v>360.15</v>
      </c>
      <c r="G26" s="108">
        <f t="shared" si="0"/>
        <v>1421.55</v>
      </c>
      <c r="H26" s="108">
        <f t="shared" si="0"/>
        <v>0</v>
      </c>
      <c r="I26" s="26">
        <f t="shared" si="1"/>
        <v>1421.55</v>
      </c>
      <c r="J26" s="26">
        <f t="shared" si="8"/>
        <v>104.76</v>
      </c>
      <c r="K26" s="26">
        <f t="shared" si="3"/>
        <v>54.225000000000001</v>
      </c>
      <c r="L26" s="26">
        <f t="shared" si="2"/>
        <v>0</v>
      </c>
      <c r="M26" s="26"/>
      <c r="N26" s="26"/>
      <c r="O26" s="26">
        <v>0</v>
      </c>
      <c r="P26" s="26">
        <f t="shared" si="4"/>
        <v>1580.5349999999999</v>
      </c>
      <c r="Q26" s="109">
        <f>IF('[18]Calculo ISR '!$BX$34&lt;0,0,'[18]Calculo ISR '!$BX$34)</f>
        <v>0</v>
      </c>
      <c r="R26" s="110">
        <f>I26*O6</f>
        <v>149.26274999999998</v>
      </c>
      <c r="S26" s="110"/>
      <c r="T26" s="110">
        <f>I26*U6</f>
        <v>14.2155</v>
      </c>
      <c r="U26" s="110"/>
      <c r="V26" s="110"/>
      <c r="W26" s="26">
        <f t="shared" si="9"/>
        <v>163.47824999999997</v>
      </c>
      <c r="X26" s="110">
        <f>IF('[18]Calculo ISR '!$BX$34&gt;0,0,('[18]Calculo ISR '!$BX$34)*-1)</f>
        <v>117.26823999999999</v>
      </c>
      <c r="Y26" s="26">
        <f t="shared" si="6"/>
        <v>1429.5649899999999</v>
      </c>
      <c r="Z26" s="26">
        <f t="shared" si="7"/>
        <v>104.76</v>
      </c>
      <c r="AA26" s="212"/>
      <c r="AB26" s="213"/>
    </row>
    <row r="27" spans="1:29" s="111" customFormat="1" ht="45" customHeight="1">
      <c r="A27" s="21" t="s">
        <v>70</v>
      </c>
      <c r="B27" s="33" t="s">
        <v>71</v>
      </c>
      <c r="C27" s="112">
        <v>7</v>
      </c>
      <c r="D27" s="112">
        <v>0</v>
      </c>
      <c r="E27" s="108">
        <v>315.89999999999998</v>
      </c>
      <c r="F27" s="108">
        <v>360.15</v>
      </c>
      <c r="G27" s="108">
        <f t="shared" si="0"/>
        <v>2211.2999999999997</v>
      </c>
      <c r="H27" s="108">
        <f t="shared" si="0"/>
        <v>0</v>
      </c>
      <c r="I27" s="26">
        <f t="shared" si="1"/>
        <v>2211.2999999999997</v>
      </c>
      <c r="J27" s="26">
        <f t="shared" si="8"/>
        <v>162.96</v>
      </c>
      <c r="K27" s="26">
        <f t="shared" si="3"/>
        <v>84.350000000000009</v>
      </c>
      <c r="L27" s="26">
        <f t="shared" si="2"/>
        <v>0</v>
      </c>
      <c r="M27" s="26"/>
      <c r="N27" s="26"/>
      <c r="O27" s="26"/>
      <c r="P27" s="26">
        <f t="shared" si="4"/>
        <v>2458.6099999999997</v>
      </c>
      <c r="Q27" s="109">
        <f>IF('[18]Calculo ISR '!$BY$34&lt;0,0,'[18]Calculo ISR '!$BY$34)</f>
        <v>0</v>
      </c>
      <c r="R27" s="110">
        <f>I27*O6</f>
        <v>232.18649999999997</v>
      </c>
      <c r="S27" s="110"/>
      <c r="T27" s="110">
        <f>I27*U6</f>
        <v>22.112999999999996</v>
      </c>
      <c r="U27" s="110"/>
      <c r="V27" s="113">
        <f>[18]descuentos!D10</f>
        <v>0</v>
      </c>
      <c r="W27" s="26">
        <f t="shared" si="9"/>
        <v>254.29949999999997</v>
      </c>
      <c r="X27" s="110">
        <f>IF('[18]Calculo ISR '!$BY$34&gt;0,0,('[18]Calculo ISR '!$BY$34)*-1)</f>
        <v>29.066368000000068</v>
      </c>
      <c r="Y27" s="26">
        <f t="shared" si="6"/>
        <v>2070.4168679999998</v>
      </c>
      <c r="Z27" s="26">
        <f t="shared" si="7"/>
        <v>162.96</v>
      </c>
      <c r="AA27" s="212"/>
      <c r="AB27" s="213"/>
    </row>
    <row r="28" spans="1:29" s="111" customFormat="1" ht="45" customHeight="1">
      <c r="A28" s="21" t="s">
        <v>72</v>
      </c>
      <c r="B28" s="33" t="s">
        <v>73</v>
      </c>
      <c r="C28" s="112">
        <v>7.5</v>
      </c>
      <c r="D28" s="112">
        <v>0</v>
      </c>
      <c r="E28" s="108">
        <v>315.89999999999998</v>
      </c>
      <c r="F28" s="108">
        <v>360.15</v>
      </c>
      <c r="G28" s="108">
        <f t="shared" si="0"/>
        <v>2369.25</v>
      </c>
      <c r="H28" s="108">
        <f t="shared" si="0"/>
        <v>0</v>
      </c>
      <c r="I28" s="26">
        <f t="shared" si="1"/>
        <v>2369.25</v>
      </c>
      <c r="J28" s="26">
        <f t="shared" si="8"/>
        <v>174.60000000000002</v>
      </c>
      <c r="K28" s="26">
        <f t="shared" si="3"/>
        <v>90.375</v>
      </c>
      <c r="L28" s="26">
        <f t="shared" si="2"/>
        <v>0</v>
      </c>
      <c r="M28" s="26"/>
      <c r="N28" s="26"/>
      <c r="O28" s="26"/>
      <c r="P28" s="26">
        <f t="shared" si="4"/>
        <v>2634.2249999999999</v>
      </c>
      <c r="Q28" s="109">
        <f>IF('[18]Calculo ISR '!$BZ$34&lt;0,0,'[18]Calculo ISR '!$BZ$34)</f>
        <v>3.1741119999999796</v>
      </c>
      <c r="R28" s="110">
        <f>I28*O6</f>
        <v>248.77124999999998</v>
      </c>
      <c r="S28" s="110"/>
      <c r="T28" s="110"/>
      <c r="U28" s="110"/>
      <c r="V28" s="113"/>
      <c r="W28" s="26">
        <f t="shared" si="9"/>
        <v>251.94536199999996</v>
      </c>
      <c r="X28" s="110">
        <f>IF('[18]Calculo ISR '!$BZ$34&gt;0,0,('[18]Calculo ISR '!$BZ$34)*-1)</f>
        <v>0</v>
      </c>
      <c r="Y28" s="26">
        <f t="shared" si="6"/>
        <v>2207.6796380000001</v>
      </c>
      <c r="Z28" s="26">
        <f t="shared" si="7"/>
        <v>174.60000000000002</v>
      </c>
      <c r="AA28" s="215"/>
      <c r="AB28" s="216"/>
      <c r="AC28" s="114"/>
    </row>
    <row r="29" spans="1:29" s="111" customFormat="1" ht="45" customHeight="1">
      <c r="A29" s="21" t="s">
        <v>94</v>
      </c>
      <c r="B29" s="33" t="s">
        <v>101</v>
      </c>
      <c r="C29" s="112">
        <v>10.5</v>
      </c>
      <c r="D29" s="112">
        <v>0</v>
      </c>
      <c r="E29" s="108">
        <v>315.89999999999998</v>
      </c>
      <c r="F29" s="108">
        <v>360.15</v>
      </c>
      <c r="G29" s="108">
        <f t="shared" si="0"/>
        <v>3316.95</v>
      </c>
      <c r="H29" s="108">
        <f t="shared" si="0"/>
        <v>0</v>
      </c>
      <c r="I29" s="26">
        <f t="shared" si="1"/>
        <v>3316.95</v>
      </c>
      <c r="J29" s="26">
        <f t="shared" si="8"/>
        <v>244.44</v>
      </c>
      <c r="K29" s="26">
        <f t="shared" si="3"/>
        <v>126.52500000000001</v>
      </c>
      <c r="L29" s="26">
        <f t="shared" si="2"/>
        <v>0</v>
      </c>
      <c r="M29" s="26"/>
      <c r="N29" s="26"/>
      <c r="O29" s="26"/>
      <c r="P29" s="26">
        <f t="shared" si="4"/>
        <v>3687.915</v>
      </c>
      <c r="Q29" s="109">
        <f>IF('[18]Calculo ISR '!$CA$34&lt;0,0,'[18]Calculo ISR '!$CA$34)</f>
        <v>145.46699199999998</v>
      </c>
      <c r="R29" s="110">
        <f>I29*10.5%</f>
        <v>348.27974999999998</v>
      </c>
      <c r="S29" s="110"/>
      <c r="T29" s="110"/>
      <c r="U29" s="110"/>
      <c r="V29" s="110"/>
      <c r="W29" s="26">
        <f t="shared" si="9"/>
        <v>493.74674199999993</v>
      </c>
      <c r="X29" s="110">
        <f>IF('[18]Calculo ISR '!$CA$34&gt;0,0,('[18]Calculo ISR '!$CA$34)*-1)</f>
        <v>0</v>
      </c>
      <c r="Y29" s="26">
        <f t="shared" si="6"/>
        <v>2949.7282580000001</v>
      </c>
      <c r="Z29" s="26">
        <f t="shared" si="7"/>
        <v>244.44</v>
      </c>
      <c r="AA29" s="115"/>
      <c r="AB29" s="116"/>
      <c r="AC29" s="114"/>
    </row>
    <row r="30" spans="1:29" s="111" customFormat="1" ht="45" customHeight="1">
      <c r="A30" s="21" t="s">
        <v>96</v>
      </c>
      <c r="B30" s="33" t="s">
        <v>102</v>
      </c>
      <c r="C30" s="112">
        <v>14</v>
      </c>
      <c r="D30" s="112">
        <v>0</v>
      </c>
      <c r="E30" s="108">
        <v>315.89999999999998</v>
      </c>
      <c r="F30" s="108">
        <v>360.15</v>
      </c>
      <c r="G30" s="108">
        <f t="shared" si="0"/>
        <v>4422.5999999999995</v>
      </c>
      <c r="H30" s="108">
        <f t="shared" si="0"/>
        <v>0</v>
      </c>
      <c r="I30" s="26">
        <f t="shared" si="1"/>
        <v>4422.5999999999995</v>
      </c>
      <c r="J30" s="26">
        <f t="shared" si="8"/>
        <v>325.92</v>
      </c>
      <c r="K30" s="26">
        <f t="shared" si="3"/>
        <v>168.70000000000002</v>
      </c>
      <c r="L30" s="26">
        <f t="shared" si="2"/>
        <v>0</v>
      </c>
      <c r="M30" s="26"/>
      <c r="N30" s="26"/>
      <c r="O30" s="26"/>
      <c r="P30" s="26">
        <f t="shared" si="4"/>
        <v>4917.2199999999993</v>
      </c>
      <c r="Q30" s="109">
        <f>IF('[18]Calculo ISR '!$CB$34&lt;0,0,'[18]Calculo ISR '!$CB$34)</f>
        <v>450.26644799999997</v>
      </c>
      <c r="R30" s="110">
        <f>I30*10.5%</f>
        <v>464.37299999999993</v>
      </c>
      <c r="S30" s="110"/>
      <c r="T30" s="110"/>
      <c r="U30" s="110"/>
      <c r="V30" s="110"/>
      <c r="W30" s="26">
        <f t="shared" si="9"/>
        <v>914.6394479999999</v>
      </c>
      <c r="X30" s="110">
        <f>IF('[18]Calculo ISR '!$CB$34&gt;0,0,('[18]Calculo ISR '!$CB$34)*-1)</f>
        <v>0</v>
      </c>
      <c r="Y30" s="26">
        <f t="shared" si="6"/>
        <v>3676.6605519999994</v>
      </c>
      <c r="Z30" s="26">
        <f t="shared" si="7"/>
        <v>325.92</v>
      </c>
      <c r="AA30" s="115"/>
      <c r="AB30" s="116"/>
      <c r="AC30" s="114"/>
    </row>
    <row r="31" spans="1:29" s="111" customFormat="1" ht="45" customHeight="1">
      <c r="A31" s="21" t="s">
        <v>103</v>
      </c>
      <c r="B31" s="33" t="s">
        <v>124</v>
      </c>
      <c r="C31" s="112">
        <v>4</v>
      </c>
      <c r="D31" s="112">
        <v>0</v>
      </c>
      <c r="E31" s="108">
        <v>315.89999999999998</v>
      </c>
      <c r="F31" s="108">
        <v>360.15</v>
      </c>
      <c r="G31" s="108">
        <f t="shared" ref="G31:H37" si="10">C31*E31</f>
        <v>1263.5999999999999</v>
      </c>
      <c r="H31" s="108">
        <f t="shared" si="10"/>
        <v>0</v>
      </c>
      <c r="I31" s="26">
        <f t="shared" si="1"/>
        <v>1263.5999999999999</v>
      </c>
      <c r="J31" s="26">
        <f t="shared" si="8"/>
        <v>93.12</v>
      </c>
      <c r="K31" s="26">
        <f t="shared" si="3"/>
        <v>48.2</v>
      </c>
      <c r="L31" s="26">
        <f t="shared" si="2"/>
        <v>0</v>
      </c>
      <c r="M31" s="26"/>
      <c r="N31" s="26"/>
      <c r="O31" s="26"/>
      <c r="P31" s="26">
        <f t="shared" si="4"/>
        <v>1404.9199999999998</v>
      </c>
      <c r="Q31" s="109">
        <f>IF('[18]Calculo ISR '!$CC$34&lt;0,0,'[18]Calculo ISR '!$CC$34)</f>
        <v>0</v>
      </c>
      <c r="R31" s="110">
        <f t="shared" ref="R31:R37" si="11">I31*10.5%</f>
        <v>132.678</v>
      </c>
      <c r="S31" s="110"/>
      <c r="T31" s="110"/>
      <c r="U31" s="110"/>
      <c r="V31" s="110"/>
      <c r="W31" s="26">
        <f t="shared" si="9"/>
        <v>132.678</v>
      </c>
      <c r="X31" s="110">
        <f>IF('[18]Calculo ISR '!$CC$34&gt;0,0,('[18]Calculo ISR '!$CC$34)*-1)</f>
        <v>127.76263999999999</v>
      </c>
      <c r="Y31" s="26">
        <f t="shared" si="6"/>
        <v>1306.8846399999998</v>
      </c>
      <c r="Z31" s="26">
        <f t="shared" si="7"/>
        <v>93.12</v>
      </c>
      <c r="AA31" s="115"/>
      <c r="AB31" s="116"/>
      <c r="AC31" s="114"/>
    </row>
    <row r="32" spans="1:29" s="111" customFormat="1" ht="45" customHeight="1">
      <c r="A32" s="21" t="s">
        <v>105</v>
      </c>
      <c r="B32" s="33" t="s">
        <v>106</v>
      </c>
      <c r="C32" s="112">
        <v>4</v>
      </c>
      <c r="D32" s="112">
        <v>0</v>
      </c>
      <c r="E32" s="108">
        <v>315.89999999999998</v>
      </c>
      <c r="F32" s="108">
        <v>360.15</v>
      </c>
      <c r="G32" s="108">
        <f t="shared" si="10"/>
        <v>1263.5999999999999</v>
      </c>
      <c r="H32" s="108">
        <f t="shared" si="10"/>
        <v>0</v>
      </c>
      <c r="I32" s="26">
        <f t="shared" si="1"/>
        <v>1263.5999999999999</v>
      </c>
      <c r="J32" s="26">
        <f t="shared" si="8"/>
        <v>93.12</v>
      </c>
      <c r="K32" s="26">
        <f t="shared" si="3"/>
        <v>48.2</v>
      </c>
      <c r="L32" s="26">
        <f t="shared" si="2"/>
        <v>0</v>
      </c>
      <c r="M32" s="26"/>
      <c r="N32" s="26"/>
      <c r="O32" s="26"/>
      <c r="P32" s="26">
        <f t="shared" si="4"/>
        <v>1404.9199999999998</v>
      </c>
      <c r="Q32" s="109">
        <f>IF('[18]Calculo ISR '!$CD$34&lt;0,0,'[18]Calculo ISR '!$CD$34)</f>
        <v>0</v>
      </c>
      <c r="R32" s="110">
        <f t="shared" si="11"/>
        <v>132.678</v>
      </c>
      <c r="S32" s="110"/>
      <c r="T32" s="110"/>
      <c r="U32" s="110"/>
      <c r="V32" s="110"/>
      <c r="W32" s="26">
        <f t="shared" si="9"/>
        <v>132.678</v>
      </c>
      <c r="X32" s="110">
        <f>IF('[18]Calculo ISR '!$CD$34&gt;0,0,('[18]Calculo ISR '!$CD$34)*-1)</f>
        <v>127.76263999999999</v>
      </c>
      <c r="Y32" s="26">
        <f t="shared" si="6"/>
        <v>1306.8846399999998</v>
      </c>
      <c r="Z32" s="26">
        <f t="shared" si="7"/>
        <v>93.12</v>
      </c>
      <c r="AA32" s="115"/>
      <c r="AB32" s="116"/>
      <c r="AC32" s="114"/>
    </row>
    <row r="33" spans="1:32" s="111" customFormat="1" ht="45" customHeight="1">
      <c r="A33" s="21" t="s">
        <v>112</v>
      </c>
      <c r="B33" s="33" t="s">
        <v>113</v>
      </c>
      <c r="C33" s="112">
        <v>5</v>
      </c>
      <c r="D33" s="112">
        <v>0</v>
      </c>
      <c r="E33" s="108">
        <v>315.89999999999998</v>
      </c>
      <c r="F33" s="108">
        <v>360.15</v>
      </c>
      <c r="G33" s="108">
        <f t="shared" si="10"/>
        <v>1579.5</v>
      </c>
      <c r="H33" s="108">
        <f t="shared" si="10"/>
        <v>0</v>
      </c>
      <c r="I33" s="26">
        <f t="shared" si="1"/>
        <v>1579.5</v>
      </c>
      <c r="J33" s="26">
        <f t="shared" si="8"/>
        <v>116.4</v>
      </c>
      <c r="K33" s="26">
        <f t="shared" si="3"/>
        <v>60.25</v>
      </c>
      <c r="L33" s="26">
        <f t="shared" si="2"/>
        <v>0</v>
      </c>
      <c r="M33" s="26"/>
      <c r="N33" s="26"/>
      <c r="O33" s="26"/>
      <c r="P33" s="26">
        <f t="shared" si="4"/>
        <v>1756.15</v>
      </c>
      <c r="Q33" s="109">
        <f>IF('[18]Calculo ISR '!$CE$34&lt;0,0,'[18]Calculo ISR '!$CE$34)</f>
        <v>0</v>
      </c>
      <c r="R33" s="110">
        <f t="shared" si="11"/>
        <v>165.8475</v>
      </c>
      <c r="S33" s="110"/>
      <c r="T33" s="110"/>
      <c r="U33" s="110"/>
      <c r="V33" s="110"/>
      <c r="W33" s="26">
        <f t="shared" si="9"/>
        <v>165.8475</v>
      </c>
      <c r="X33" s="110">
        <f>IF('[18]Calculo ISR '!$CE$34&gt;0,0,('[18]Calculo ISR '!$CE$34)*-1)</f>
        <v>106.77383999999998</v>
      </c>
      <c r="Y33" s="26">
        <f t="shared" si="6"/>
        <v>1580.67634</v>
      </c>
      <c r="Z33" s="26">
        <f t="shared" si="7"/>
        <v>116.4</v>
      </c>
      <c r="AA33" s="115"/>
      <c r="AB33" s="116"/>
      <c r="AC33" s="114"/>
    </row>
    <row r="34" spans="1:32" s="111" customFormat="1" ht="45" customHeight="1">
      <c r="A34" s="21" t="s">
        <v>125</v>
      </c>
      <c r="B34" s="33" t="s">
        <v>126</v>
      </c>
      <c r="C34" s="112">
        <v>15</v>
      </c>
      <c r="D34" s="112">
        <v>0</v>
      </c>
      <c r="E34" s="108">
        <v>315.89999999999998</v>
      </c>
      <c r="F34" s="108">
        <v>360.15</v>
      </c>
      <c r="G34" s="108">
        <f t="shared" si="10"/>
        <v>4738.5</v>
      </c>
      <c r="H34" s="108">
        <f t="shared" si="10"/>
        <v>0</v>
      </c>
      <c r="I34" s="26">
        <f t="shared" si="1"/>
        <v>4738.5</v>
      </c>
      <c r="J34" s="26">
        <f t="shared" si="8"/>
        <v>349.20000000000005</v>
      </c>
      <c r="K34" s="26">
        <f t="shared" si="3"/>
        <v>180.75</v>
      </c>
      <c r="L34" s="26">
        <f t="shared" si="2"/>
        <v>0</v>
      </c>
      <c r="M34" s="26"/>
      <c r="N34" s="26"/>
      <c r="O34" s="26"/>
      <c r="P34" s="26">
        <f t="shared" si="4"/>
        <v>5268.45</v>
      </c>
      <c r="Q34" s="109">
        <f>IF('[18]Calculo ISR '!$CF$34&lt;0,0,'[18]Calculo ISR '!$CF$34)</f>
        <v>509.03508800000009</v>
      </c>
      <c r="R34" s="110">
        <f t="shared" si="11"/>
        <v>497.54249999999996</v>
      </c>
      <c r="S34" s="110"/>
      <c r="T34" s="110"/>
      <c r="U34" s="110"/>
      <c r="V34" s="113">
        <f>[18]descuentos!D12</f>
        <v>315.89999999999998</v>
      </c>
      <c r="W34" s="26">
        <f t="shared" si="9"/>
        <v>1322.4775880000002</v>
      </c>
      <c r="X34" s="110">
        <f>IF('[18]Calculo ISR '!$CF$34&gt;0,0,('[18]Calculo ISR '!$CF$34)*-1)</f>
        <v>0</v>
      </c>
      <c r="Y34" s="26">
        <f t="shared" si="6"/>
        <v>3596.7724119999993</v>
      </c>
      <c r="Z34" s="26">
        <f t="shared" si="7"/>
        <v>349.20000000000005</v>
      </c>
      <c r="AA34" s="115"/>
      <c r="AB34" s="116"/>
      <c r="AC34" s="114"/>
    </row>
    <row r="35" spans="1:32" s="111" customFormat="1" ht="45" customHeight="1">
      <c r="A35" s="21" t="s">
        <v>127</v>
      </c>
      <c r="B35" s="33" t="s">
        <v>128</v>
      </c>
      <c r="C35" s="112">
        <v>5</v>
      </c>
      <c r="D35" s="112">
        <v>0</v>
      </c>
      <c r="E35" s="108">
        <v>315.89999999999998</v>
      </c>
      <c r="F35" s="108">
        <v>360.15</v>
      </c>
      <c r="G35" s="108">
        <f t="shared" si="10"/>
        <v>1579.5</v>
      </c>
      <c r="H35" s="108">
        <f t="shared" si="10"/>
        <v>0</v>
      </c>
      <c r="I35" s="26">
        <f t="shared" si="1"/>
        <v>1579.5</v>
      </c>
      <c r="J35" s="26">
        <f t="shared" si="8"/>
        <v>116.4</v>
      </c>
      <c r="K35" s="26">
        <f t="shared" si="3"/>
        <v>60.25</v>
      </c>
      <c r="L35" s="26">
        <f t="shared" si="2"/>
        <v>0</v>
      </c>
      <c r="M35" s="26"/>
      <c r="N35" s="26"/>
      <c r="O35" s="26"/>
      <c r="P35" s="26">
        <f t="shared" si="4"/>
        <v>1756.15</v>
      </c>
      <c r="Q35" s="109">
        <f>IF('[18]Calculo ISR '!$CG$34&lt;0,0,'[18]Calculo ISR '!$CG$34)</f>
        <v>0</v>
      </c>
      <c r="R35" s="110">
        <f t="shared" si="11"/>
        <v>165.8475</v>
      </c>
      <c r="S35" s="110"/>
      <c r="T35" s="110"/>
      <c r="U35" s="110"/>
      <c r="V35" s="110"/>
      <c r="W35" s="26">
        <f t="shared" si="9"/>
        <v>165.8475</v>
      </c>
      <c r="X35" s="110">
        <f>IF('[18]Calculo ISR '!$CG$34&gt;0,0,('[18]Calculo ISR '!$CG$34)*-1)</f>
        <v>106.77383999999998</v>
      </c>
      <c r="Y35" s="26">
        <f t="shared" si="6"/>
        <v>1580.67634</v>
      </c>
      <c r="Z35" s="26">
        <f t="shared" si="7"/>
        <v>116.4</v>
      </c>
      <c r="AA35" s="115"/>
      <c r="AB35" s="116"/>
      <c r="AC35" s="114"/>
    </row>
    <row r="36" spans="1:32" s="111" customFormat="1" ht="45" customHeight="1">
      <c r="A36" s="21" t="s">
        <v>129</v>
      </c>
      <c r="B36" s="33" t="s">
        <v>130</v>
      </c>
      <c r="C36" s="112">
        <v>10</v>
      </c>
      <c r="D36" s="112">
        <v>0</v>
      </c>
      <c r="E36" s="108">
        <v>315.89999999999998</v>
      </c>
      <c r="F36" s="108">
        <v>360.15</v>
      </c>
      <c r="G36" s="108">
        <f t="shared" si="10"/>
        <v>3159</v>
      </c>
      <c r="H36" s="108">
        <f t="shared" si="10"/>
        <v>0</v>
      </c>
      <c r="I36" s="26">
        <f t="shared" si="1"/>
        <v>3159</v>
      </c>
      <c r="J36" s="26">
        <f t="shared" si="8"/>
        <v>232.8</v>
      </c>
      <c r="K36" s="26">
        <f t="shared" si="3"/>
        <v>120.5</v>
      </c>
      <c r="L36" s="26">
        <f t="shared" si="2"/>
        <v>0</v>
      </c>
      <c r="M36" s="26"/>
      <c r="N36" s="26"/>
      <c r="O36" s="26"/>
      <c r="P36" s="26">
        <f t="shared" si="4"/>
        <v>3512.3</v>
      </c>
      <c r="Q36" s="109">
        <f>IF('[18]Calculo ISR '!$CH$34&lt;0,0,'[18]Calculo ISR '!$CH$34)</f>
        <v>127.62651199999996</v>
      </c>
      <c r="R36" s="110">
        <f t="shared" si="11"/>
        <v>331.69499999999999</v>
      </c>
      <c r="S36" s="110"/>
      <c r="T36" s="110"/>
      <c r="U36" s="110"/>
      <c r="V36" s="110"/>
      <c r="W36" s="26">
        <f t="shared" si="9"/>
        <v>459.32151199999998</v>
      </c>
      <c r="X36" s="110">
        <f>IF('[18]Calculo ISR '!$CH$34&gt;0,0,('[18]Calculo ISR '!$CH$34)*-1)</f>
        <v>0</v>
      </c>
      <c r="Y36" s="26">
        <f t="shared" si="6"/>
        <v>2820.178488</v>
      </c>
      <c r="Z36" s="26">
        <f t="shared" si="7"/>
        <v>232.8</v>
      </c>
      <c r="AA36" s="115"/>
      <c r="AB36" s="116"/>
      <c r="AC36" s="114"/>
    </row>
    <row r="37" spans="1:32" s="111" customFormat="1" ht="45" customHeight="1">
      <c r="A37" s="33" t="s">
        <v>131</v>
      </c>
      <c r="B37" s="33" t="s">
        <v>132</v>
      </c>
      <c r="C37" s="112">
        <v>14</v>
      </c>
      <c r="D37" s="112">
        <v>0</v>
      </c>
      <c r="E37" s="108">
        <v>315.89999999999998</v>
      </c>
      <c r="F37" s="108">
        <v>360.15</v>
      </c>
      <c r="G37" s="108">
        <f t="shared" si="10"/>
        <v>4422.5999999999995</v>
      </c>
      <c r="H37" s="108">
        <f t="shared" si="10"/>
        <v>0</v>
      </c>
      <c r="I37" s="26">
        <f t="shared" si="1"/>
        <v>4422.5999999999995</v>
      </c>
      <c r="J37" s="26">
        <f t="shared" si="8"/>
        <v>325.92</v>
      </c>
      <c r="K37" s="26">
        <f t="shared" si="3"/>
        <v>168.70000000000002</v>
      </c>
      <c r="L37" s="26">
        <f t="shared" si="2"/>
        <v>0</v>
      </c>
      <c r="M37" s="26"/>
      <c r="N37" s="26"/>
      <c r="O37" s="26"/>
      <c r="P37" s="26">
        <f t="shared" si="4"/>
        <v>4917.2199999999993</v>
      </c>
      <c r="Q37" s="109">
        <f>IF('[18]Calculo ISR '!$CI$34&lt;0,0,'[18]Calculo ISR '!$CI$34)</f>
        <v>450.26644799999997</v>
      </c>
      <c r="R37" s="110">
        <f t="shared" si="11"/>
        <v>464.37299999999993</v>
      </c>
      <c r="S37" s="110"/>
      <c r="T37" s="110"/>
      <c r="U37" s="110"/>
      <c r="V37" s="110"/>
      <c r="W37" s="26">
        <f t="shared" si="9"/>
        <v>914.6394479999999</v>
      </c>
      <c r="X37" s="110">
        <f>IF('[18]Calculo ISR '!$CI$34&gt;0,0,('[18]Calculo ISR '!$CI$34)*-1)</f>
        <v>0</v>
      </c>
      <c r="Y37" s="26">
        <f t="shared" si="6"/>
        <v>3676.6605519999994</v>
      </c>
      <c r="Z37" s="26">
        <f t="shared" si="7"/>
        <v>325.92</v>
      </c>
      <c r="AA37" s="115"/>
      <c r="AB37" s="116"/>
      <c r="AC37" s="114"/>
    </row>
    <row r="38" spans="1:32" s="57" customFormat="1" ht="30" customHeight="1" thickBot="1">
      <c r="A38" s="86"/>
      <c r="B38" s="38" t="s">
        <v>74</v>
      </c>
      <c r="C38" s="39">
        <f t="shared" ref="C38:Y38" si="12">SUM(C10:C37)</f>
        <v>304</v>
      </c>
      <c r="D38" s="39">
        <f t="shared" si="12"/>
        <v>60</v>
      </c>
      <c r="E38" s="40">
        <f t="shared" si="12"/>
        <v>8845.1999999999953</v>
      </c>
      <c r="F38" s="117">
        <f t="shared" si="12"/>
        <v>10084.199999999995</v>
      </c>
      <c r="G38" s="40">
        <f t="shared" si="12"/>
        <v>96033.60000000002</v>
      </c>
      <c r="H38" s="40">
        <f t="shared" si="12"/>
        <v>21609</v>
      </c>
      <c r="I38" s="40">
        <f t="shared" si="12"/>
        <v>117642.6</v>
      </c>
      <c r="J38" s="40">
        <f t="shared" si="12"/>
        <v>8473.9199999999983</v>
      </c>
      <c r="K38" s="40">
        <f t="shared" si="12"/>
        <v>3663.1999999999994</v>
      </c>
      <c r="L38" s="40">
        <f t="shared" si="12"/>
        <v>789</v>
      </c>
      <c r="M38" s="40">
        <f t="shared" si="12"/>
        <v>1838.6399999999999</v>
      </c>
      <c r="N38" s="40">
        <f t="shared" si="12"/>
        <v>351.28800000000001</v>
      </c>
      <c r="O38" s="40">
        <f t="shared" si="12"/>
        <v>0</v>
      </c>
      <c r="P38" s="40">
        <f t="shared" si="12"/>
        <v>132758.64799999999</v>
      </c>
      <c r="Q38" s="40">
        <f t="shared" si="12"/>
        <v>12331.0214008</v>
      </c>
      <c r="R38" s="40">
        <f t="shared" si="12"/>
        <v>12352.472999999994</v>
      </c>
      <c r="S38" s="40">
        <f t="shared" si="12"/>
        <v>6766</v>
      </c>
      <c r="T38" s="40">
        <f t="shared" si="12"/>
        <v>813.14099999999996</v>
      </c>
      <c r="U38" s="40">
        <f t="shared" si="12"/>
        <v>0</v>
      </c>
      <c r="V38" s="118">
        <f t="shared" si="12"/>
        <v>315.89999999999998</v>
      </c>
      <c r="W38" s="40">
        <f t="shared" si="12"/>
        <v>32578.535400799999</v>
      </c>
      <c r="X38" s="40">
        <f t="shared" si="12"/>
        <v>615.40756799999997</v>
      </c>
      <c r="Y38" s="40">
        <f t="shared" si="12"/>
        <v>92321.600167200042</v>
      </c>
      <c r="Z38" s="40">
        <f>SUM(Z9:Z37)</f>
        <v>8473.9199999999983</v>
      </c>
      <c r="AA38" s="41"/>
      <c r="AB38" s="42"/>
      <c r="AC38" s="119"/>
      <c r="AD38" s="120"/>
    </row>
    <row r="39" spans="1:32" s="65" customFormat="1" ht="18.75" customHeight="1">
      <c r="A39" s="76"/>
      <c r="B39" s="60">
        <v>28</v>
      </c>
      <c r="C39" s="61"/>
      <c r="D39" s="61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3"/>
      <c r="AB39" s="64"/>
      <c r="AC39" s="94"/>
    </row>
    <row r="40" spans="1:32" s="65" customFormat="1" ht="18.75" customHeight="1">
      <c r="A40" s="76"/>
      <c r="B40" s="60"/>
      <c r="C40" s="61"/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3"/>
      <c r="AB40" s="64"/>
      <c r="AC40" s="64"/>
    </row>
    <row r="41" spans="1:32" s="2" customFormat="1" ht="15" customHeight="1">
      <c r="A41" s="69"/>
      <c r="C41" s="48" t="s">
        <v>75</v>
      </c>
      <c r="D41" s="1"/>
      <c r="E41" s="1"/>
      <c r="F41" s="1"/>
      <c r="G41" s="1"/>
      <c r="H41" s="1"/>
      <c r="I41" s="66" t="s">
        <v>76</v>
      </c>
      <c r="L41" s="66"/>
      <c r="M41" s="66"/>
      <c r="N41" s="66"/>
      <c r="O41" s="66"/>
      <c r="P41" s="66"/>
      <c r="Q41" s="49"/>
      <c r="R41" s="50"/>
      <c r="S41" s="1"/>
      <c r="T41" s="1"/>
      <c r="U41" s="1"/>
      <c r="V41" s="1"/>
      <c r="W41" s="1" t="s">
        <v>136</v>
      </c>
      <c r="X41" s="1"/>
      <c r="Y41" s="1"/>
      <c r="Z41" s="1"/>
      <c r="AA41" s="1"/>
      <c r="AC41" s="42"/>
      <c r="AF41" s="1"/>
    </row>
    <row r="42" spans="1:32" s="2" customFormat="1" hidden="1">
      <c r="A42" s="69"/>
      <c r="B42" s="1"/>
      <c r="C42" s="1"/>
      <c r="D42" s="1"/>
      <c r="E42" s="1"/>
      <c r="F42" s="1"/>
      <c r="G42" s="126"/>
      <c r="H42" s="1"/>
      <c r="K42" s="1"/>
      <c r="L42" s="1"/>
      <c r="M42" s="1"/>
      <c r="N42" s="1"/>
      <c r="O42" s="1"/>
      <c r="P42" s="51"/>
      <c r="Q42" s="51"/>
      <c r="R42" s="51"/>
      <c r="S42" s="1"/>
      <c r="T42" s="1"/>
      <c r="U42" s="1"/>
      <c r="V42" s="1"/>
      <c r="W42" s="1"/>
      <c r="X42" s="1"/>
      <c r="Y42" s="1"/>
      <c r="Z42" s="1"/>
      <c r="AA42" s="1"/>
      <c r="AC42" s="42"/>
      <c r="AF42" s="1"/>
    </row>
    <row r="43" spans="1:32" s="2" customFormat="1" hidden="1">
      <c r="A43" s="69"/>
      <c r="B43" s="1"/>
      <c r="C43" s="1"/>
      <c r="D43" s="1"/>
      <c r="E43" s="1"/>
      <c r="F43" s="1"/>
      <c r="G43" s="1"/>
      <c r="K43" s="1"/>
      <c r="L43" s="1"/>
      <c r="M43" s="1"/>
      <c r="N43" s="1"/>
      <c r="O43" s="1"/>
      <c r="P43" s="51"/>
      <c r="Q43" s="51"/>
      <c r="R43" s="51"/>
      <c r="S43" s="1"/>
      <c r="T43" s="1"/>
      <c r="U43" s="1"/>
      <c r="V43" s="1"/>
      <c r="W43" s="1"/>
      <c r="X43" s="1"/>
      <c r="Y43" s="1"/>
      <c r="Z43" s="1"/>
      <c r="AA43" s="1"/>
      <c r="AC43" s="42"/>
      <c r="AF43" s="1"/>
    </row>
    <row r="44" spans="1:32" s="2" customFormat="1" hidden="1">
      <c r="A44" s="69"/>
      <c r="B44" s="1"/>
      <c r="C44" s="1"/>
      <c r="D44" s="1"/>
      <c r="E44" s="1"/>
      <c r="F44" s="1"/>
      <c r="G44" s="1"/>
      <c r="H44" s="1"/>
      <c r="K44" s="1"/>
      <c r="L44" s="1"/>
      <c r="M44" s="1"/>
      <c r="N44" s="1"/>
      <c r="O44" s="1"/>
      <c r="P44" s="52"/>
      <c r="Q44" s="52"/>
      <c r="R44" s="52"/>
      <c r="S44" s="1"/>
      <c r="T44" s="3"/>
      <c r="U44" s="1"/>
      <c r="V44" s="1"/>
      <c r="W44" s="1"/>
      <c r="X44" s="1"/>
      <c r="Y44" s="1"/>
      <c r="Z44" s="1"/>
      <c r="AA44" s="1"/>
      <c r="AF44" s="1"/>
    </row>
    <row r="45" spans="1:32" s="2" customFormat="1">
      <c r="A45" s="69"/>
      <c r="B45" s="48" t="s">
        <v>133</v>
      </c>
      <c r="C45" s="1"/>
      <c r="D45" s="1"/>
      <c r="E45" s="1"/>
      <c r="F45" s="1"/>
      <c r="G45" s="1"/>
      <c r="H45" s="53" t="s">
        <v>79</v>
      </c>
      <c r="I45" s="42"/>
      <c r="L45" s="53"/>
      <c r="M45" s="53"/>
      <c r="N45" s="53"/>
      <c r="O45" s="53"/>
      <c r="P45" s="53" t="s">
        <v>80</v>
      </c>
      <c r="Q45" s="52"/>
      <c r="R45" s="49"/>
      <c r="S45" s="1"/>
      <c r="T45" s="1"/>
      <c r="U45" s="1"/>
      <c r="V45" s="127" t="s">
        <v>134</v>
      </c>
      <c r="W45" s="53"/>
      <c r="X45" s="53"/>
      <c r="Y45" s="53"/>
      <c r="Z45" s="53"/>
      <c r="AA45" s="1"/>
      <c r="AF45" s="1"/>
    </row>
    <row r="46" spans="1:32" ht="12.75" customHeight="1">
      <c r="B46" s="54" t="s">
        <v>135</v>
      </c>
      <c r="H46" s="53" t="s">
        <v>82</v>
      </c>
      <c r="L46" s="53"/>
      <c r="M46" s="53"/>
      <c r="N46" s="53"/>
      <c r="O46" s="53"/>
      <c r="P46" s="53"/>
      <c r="Q46" s="53"/>
      <c r="R46" s="52"/>
      <c r="V46" s="186" t="s">
        <v>83</v>
      </c>
      <c r="W46" s="186"/>
      <c r="X46" s="186"/>
      <c r="Y46" s="186"/>
      <c r="Z46" s="186"/>
      <c r="AB46" s="3"/>
    </row>
    <row r="47" spans="1:32">
      <c r="AB47" s="3"/>
    </row>
    <row r="48" spans="1:32">
      <c r="S48" s="3"/>
      <c r="AB48" s="3"/>
    </row>
    <row r="49" spans="1:28">
      <c r="AB49" s="3"/>
    </row>
    <row r="50" spans="1:28">
      <c r="AB50" s="3"/>
    </row>
    <row r="51" spans="1:28">
      <c r="P51" s="6"/>
      <c r="AB51" s="3"/>
    </row>
    <row r="52" spans="1:28">
      <c r="AB52" s="3"/>
    </row>
    <row r="53" spans="1:28">
      <c r="AB53" s="3"/>
    </row>
    <row r="54" spans="1:28" s="56" customFormat="1">
      <c r="A54" s="6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8" s="56" customFormat="1">
      <c r="A55" s="6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8" s="57" customFormat="1">
      <c r="A56" s="6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8" s="57" customFormat="1">
      <c r="A57" s="6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8" s="57" customFormat="1">
      <c r="A58" s="6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8" s="57" customFormat="1">
      <c r="A59" s="6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8" s="57" customFormat="1">
      <c r="A60" s="6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8" s="57" customFormat="1">
      <c r="A61" s="6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6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8" s="57" customFormat="1">
      <c r="A62" s="6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8" s="57" customFormat="1">
      <c r="A63" s="6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8" s="57" customFormat="1">
      <c r="A64" s="6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s="57" customFormat="1">
      <c r="A65" s="6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7" spans="1:27">
      <c r="T67" s="3"/>
    </row>
  </sheetData>
  <mergeCells count="27">
    <mergeCell ref="AA27:AB27"/>
    <mergeCell ref="AA28:AB28"/>
    <mergeCell ref="V46:Z46"/>
    <mergeCell ref="AA21:AB21"/>
    <mergeCell ref="AA22:AB22"/>
    <mergeCell ref="AA23:AB23"/>
    <mergeCell ref="AA24:AB24"/>
    <mergeCell ref="AA25:AB25"/>
    <mergeCell ref="AA26:AB26"/>
    <mergeCell ref="AA20:AB20"/>
    <mergeCell ref="AA9:AB9"/>
    <mergeCell ref="AA10:AB10"/>
    <mergeCell ref="AA11:AB11"/>
    <mergeCell ref="AA12:AB12"/>
    <mergeCell ref="AA13:AB13"/>
    <mergeCell ref="AA14:AB14"/>
    <mergeCell ref="AA15:AB15"/>
    <mergeCell ref="AA16:AB16"/>
    <mergeCell ref="AA17:AB17"/>
    <mergeCell ref="AA18:AB18"/>
    <mergeCell ref="AA19:AB19"/>
    <mergeCell ref="X8:Z8"/>
    <mergeCell ref="A8:A9"/>
    <mergeCell ref="B8:B9"/>
    <mergeCell ref="C8:I8"/>
    <mergeCell ref="J8:P8"/>
    <mergeCell ref="Q8:W8"/>
  </mergeCells>
  <pageMargins left="0.8" right="0.17" top="0.47244094488188981" bottom="0.51181102362204722" header="0.31496062992125984" footer="0.31496062992125984"/>
  <pageSetup paperSize="5" scale="55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G67"/>
  <sheetViews>
    <sheetView topLeftCell="A3" zoomScale="80" zoomScaleNormal="80" zoomScaleSheetLayoutView="100" workbookViewId="0">
      <pane xSplit="2" ySplit="7" topLeftCell="C35" activePane="bottomRight" state="frozen"/>
      <selection activeCell="A3" sqref="A3"/>
      <selection pane="topRight" activeCell="C3" sqref="C3"/>
      <selection pane="bottomLeft" activeCell="A10" sqref="A10"/>
      <selection pane="bottomRight" activeCell="X49" sqref="X49"/>
    </sheetView>
  </sheetViews>
  <sheetFormatPr baseColWidth="10" defaultRowHeight="12.75"/>
  <cols>
    <col min="1" max="1" width="12.28515625" style="69" customWidth="1"/>
    <col min="2" max="2" width="19.85546875" style="1" customWidth="1"/>
    <col min="3" max="3" width="8" style="1" customWidth="1"/>
    <col min="4" max="4" width="7.140625" style="1" customWidth="1"/>
    <col min="5" max="6" width="11.28515625" style="1" customWidth="1"/>
    <col min="7" max="7" width="11.140625" style="1" customWidth="1"/>
    <col min="8" max="8" width="10.85546875" style="1" customWidth="1"/>
    <col min="9" max="9" width="12.5703125" style="1" customWidth="1"/>
    <col min="10" max="10" width="10.5703125" style="1" customWidth="1"/>
    <col min="11" max="11" width="10.7109375" style="1" customWidth="1"/>
    <col min="12" max="12" width="10.42578125" style="1" customWidth="1"/>
    <col min="13" max="13" width="9.85546875" style="1" customWidth="1"/>
    <col min="14" max="14" width="11.28515625" style="1" customWidth="1"/>
    <col min="15" max="15" width="8.5703125" style="1" customWidth="1"/>
    <col min="16" max="16" width="11.140625" style="1" customWidth="1"/>
    <col min="17" max="17" width="13.7109375" style="1" customWidth="1"/>
    <col min="18" max="18" width="11" style="1" hidden="1" customWidth="1"/>
    <col min="19" max="19" width="11.140625" style="1" hidden="1" customWidth="1"/>
    <col min="20" max="20" width="9.85546875" style="1" hidden="1" customWidth="1"/>
    <col min="21" max="21" width="8.5703125" style="1" hidden="1" customWidth="1"/>
    <col min="22" max="22" width="4.140625" style="1" hidden="1" customWidth="1"/>
    <col min="23" max="23" width="8.7109375" style="1" hidden="1" customWidth="1"/>
    <col min="24" max="24" width="11.85546875" style="1" customWidth="1"/>
    <col min="25" max="25" width="9.140625" style="1" customWidth="1"/>
    <col min="26" max="26" width="12.42578125" style="1" customWidth="1"/>
    <col min="27" max="27" width="12" style="1" hidden="1" customWidth="1"/>
    <col min="28" max="28" width="20.140625" style="1" hidden="1" customWidth="1"/>
    <col min="29" max="29" width="12.28515625" style="1" hidden="1" customWidth="1"/>
    <col min="30" max="16384" width="11.42578125" style="1"/>
  </cols>
  <sheetData>
    <row r="2" spans="1:29">
      <c r="B2" s="2" t="s">
        <v>0</v>
      </c>
    </row>
    <row r="3" spans="1:29" s="91" customFormat="1">
      <c r="A3" s="92"/>
    </row>
    <row r="4" spans="1:29" s="91" customFormat="1">
      <c r="A4" s="92"/>
    </row>
    <row r="5" spans="1:29" s="91" customFormat="1">
      <c r="A5" s="92"/>
      <c r="Q5" s="90"/>
    </row>
    <row r="6" spans="1:29" s="91" customFormat="1">
      <c r="A6" s="92"/>
      <c r="E6" s="4">
        <v>26.08</v>
      </c>
      <c r="F6" s="4"/>
      <c r="G6" s="92"/>
      <c r="H6" s="92"/>
      <c r="I6" s="4">
        <v>12.05</v>
      </c>
      <c r="J6" s="4"/>
      <c r="K6" s="65"/>
      <c r="L6" s="65"/>
      <c r="P6" s="128">
        <v>0.105</v>
      </c>
      <c r="Q6" s="65"/>
      <c r="R6" s="65"/>
      <c r="S6" s="65"/>
      <c r="T6" s="65"/>
      <c r="U6" s="65"/>
      <c r="V6" s="5">
        <v>0.01</v>
      </c>
    </row>
    <row r="7" spans="1:29" ht="13.5" thickBot="1">
      <c r="A7" s="85" t="s">
        <v>0</v>
      </c>
      <c r="C7" s="65"/>
      <c r="D7" s="65"/>
      <c r="E7" s="4">
        <v>26.08</v>
      </c>
      <c r="F7" s="92"/>
      <c r="G7" s="92"/>
      <c r="H7" s="92"/>
      <c r="I7" s="7">
        <v>0.02</v>
      </c>
      <c r="J7" s="8">
        <v>0.04</v>
      </c>
      <c r="K7" s="129">
        <v>0.06</v>
      </c>
      <c r="L7" s="130">
        <v>13.15</v>
      </c>
      <c r="M7" s="6" t="s">
        <v>137</v>
      </c>
      <c r="N7" s="91"/>
      <c r="O7" s="91"/>
      <c r="P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</row>
    <row r="8" spans="1:29" ht="15.75" customHeight="1" thickBot="1">
      <c r="A8" s="199" t="s">
        <v>2</v>
      </c>
      <c r="B8" s="201" t="s">
        <v>3</v>
      </c>
      <c r="C8" s="203" t="s">
        <v>4</v>
      </c>
      <c r="D8" s="204"/>
      <c r="E8" s="204"/>
      <c r="F8" s="204"/>
      <c r="G8" s="204"/>
      <c r="H8" s="204"/>
      <c r="I8" s="205"/>
      <c r="J8" s="206" t="s">
        <v>5</v>
      </c>
      <c r="K8" s="207"/>
      <c r="L8" s="207"/>
      <c r="M8" s="208"/>
      <c r="N8" s="208"/>
      <c r="O8" s="208"/>
      <c r="P8" s="208"/>
      <c r="Q8" s="209"/>
      <c r="R8" s="210" t="s">
        <v>6</v>
      </c>
      <c r="S8" s="211"/>
      <c r="T8" s="211"/>
      <c r="U8" s="211"/>
      <c r="V8" s="211"/>
      <c r="W8" s="211"/>
      <c r="X8" s="211"/>
      <c r="Y8" s="198" t="s">
        <v>7</v>
      </c>
      <c r="Z8" s="198"/>
      <c r="AA8" s="198"/>
      <c r="AB8" s="95"/>
      <c r="AC8" s="95"/>
    </row>
    <row r="9" spans="1:29" s="20" customFormat="1" ht="75" customHeight="1">
      <c r="A9" s="200"/>
      <c r="B9" s="202"/>
      <c r="C9" s="96" t="s">
        <v>117</v>
      </c>
      <c r="D9" s="96" t="s">
        <v>118</v>
      </c>
      <c r="E9" s="96" t="s">
        <v>119</v>
      </c>
      <c r="F9" s="96" t="s">
        <v>120</v>
      </c>
      <c r="G9" s="96" t="s">
        <v>91</v>
      </c>
      <c r="H9" s="96" t="s">
        <v>92</v>
      </c>
      <c r="I9" s="96" t="s">
        <v>10</v>
      </c>
      <c r="J9" s="97" t="s">
        <v>121</v>
      </c>
      <c r="K9" s="97" t="s">
        <v>122</v>
      </c>
      <c r="L9" s="98" t="s">
        <v>123</v>
      </c>
      <c r="M9" s="99" t="s">
        <v>13</v>
      </c>
      <c r="N9" s="99" t="s">
        <v>138</v>
      </c>
      <c r="O9" s="99" t="s">
        <v>14</v>
      </c>
      <c r="P9" s="14" t="s">
        <v>139</v>
      </c>
      <c r="Q9" s="99" t="s">
        <v>16</v>
      </c>
      <c r="R9" s="101" t="s">
        <v>17</v>
      </c>
      <c r="S9" s="102" t="s">
        <v>18</v>
      </c>
      <c r="T9" s="102" t="s">
        <v>19</v>
      </c>
      <c r="U9" s="102" t="s">
        <v>20</v>
      </c>
      <c r="V9" s="103" t="s">
        <v>21</v>
      </c>
      <c r="W9" s="103" t="s">
        <v>22</v>
      </c>
      <c r="X9" s="102" t="s">
        <v>23</v>
      </c>
      <c r="Y9" s="104" t="s">
        <v>24</v>
      </c>
      <c r="Z9" s="105" t="s">
        <v>25</v>
      </c>
      <c r="AA9" s="106" t="s">
        <v>26</v>
      </c>
      <c r="AB9" s="214" t="s">
        <v>27</v>
      </c>
      <c r="AC9" s="214"/>
    </row>
    <row r="10" spans="1:29" s="111" customFormat="1" ht="45" customHeight="1">
      <c r="A10" s="21" t="s">
        <v>32</v>
      </c>
      <c r="B10" s="33" t="s">
        <v>99</v>
      </c>
      <c r="C10" s="107">
        <v>10</v>
      </c>
      <c r="D10" s="107">
        <v>0</v>
      </c>
      <c r="E10" s="108">
        <v>315.89999999999998</v>
      </c>
      <c r="F10" s="108">
        <v>360.15</v>
      </c>
      <c r="G10" s="108">
        <f t="shared" ref="G10:H30" si="0">C10*E10</f>
        <v>3159</v>
      </c>
      <c r="H10" s="108">
        <f t="shared" si="0"/>
        <v>0</v>
      </c>
      <c r="I10" s="26">
        <f t="shared" ref="I10:I37" si="1">G10+H10</f>
        <v>3159</v>
      </c>
      <c r="J10" s="26">
        <f>(C10+D10)*23.28</f>
        <v>232.8</v>
      </c>
      <c r="K10" s="26">
        <f>C10*I$6</f>
        <v>120.5</v>
      </c>
      <c r="L10" s="26">
        <f t="shared" ref="L10:L37" si="2">D10*L$7</f>
        <v>0</v>
      </c>
      <c r="M10" s="26"/>
      <c r="N10" s="26">
        <v>2500</v>
      </c>
      <c r="O10" s="26">
        <f>I10*J7</f>
        <v>126.36</v>
      </c>
      <c r="P10" s="26">
        <v>0</v>
      </c>
      <c r="Q10" s="26">
        <f>SUM(I10:P10)</f>
        <v>6138.66</v>
      </c>
      <c r="R10" s="109">
        <f>IF('[19]Calculo ISR '!$BF$34&lt;0,0,'[19]Calculo ISR '!$BF$34)</f>
        <v>714.30251999999996</v>
      </c>
      <c r="S10" s="110">
        <f>I10*P6</f>
        <v>331.69499999999999</v>
      </c>
      <c r="T10" s="110">
        <v>0</v>
      </c>
      <c r="U10" s="110">
        <f>I10*V6</f>
        <v>31.59</v>
      </c>
      <c r="V10" s="110">
        <f>'[19]HT-DOCENTE'!R11</f>
        <v>0</v>
      </c>
      <c r="W10" s="110"/>
      <c r="X10" s="26">
        <f>R10+S10+T10+U10+W10+V10</f>
        <v>1077.5875199999998</v>
      </c>
      <c r="Y10" s="110">
        <f>IF('[19]Calculo ISR '!$BF$34&gt;0,0,('[19]Calculo ISR '!$BF$34)*-1)</f>
        <v>0</v>
      </c>
      <c r="Z10" s="26">
        <f>Q10-X10-J10+Y10</f>
        <v>4828.2724799999996</v>
      </c>
      <c r="AA10" s="26">
        <f>J10</f>
        <v>232.8</v>
      </c>
      <c r="AB10" s="212"/>
      <c r="AC10" s="213"/>
    </row>
    <row r="11" spans="1:29" s="111" customFormat="1" ht="45" customHeight="1">
      <c r="A11" s="21" t="s">
        <v>34</v>
      </c>
      <c r="B11" s="33" t="s">
        <v>35</v>
      </c>
      <c r="C11" s="107">
        <v>12</v>
      </c>
      <c r="D11" s="107">
        <v>7.5</v>
      </c>
      <c r="E11" s="108">
        <v>315.89999999999998</v>
      </c>
      <c r="F11" s="108">
        <v>360.15</v>
      </c>
      <c r="G11" s="108">
        <f t="shared" si="0"/>
        <v>3790.7999999999997</v>
      </c>
      <c r="H11" s="108">
        <f>D11*F11</f>
        <v>2701.125</v>
      </c>
      <c r="I11" s="26">
        <f t="shared" si="1"/>
        <v>6491.9249999999993</v>
      </c>
      <c r="J11" s="26">
        <f>(C11+D11)*23.28</f>
        <v>453.96000000000004</v>
      </c>
      <c r="K11" s="26">
        <f t="shared" ref="K11:K37" si="3">C11*I$6</f>
        <v>144.60000000000002</v>
      </c>
      <c r="L11" s="26">
        <f t="shared" si="2"/>
        <v>98.625</v>
      </c>
      <c r="M11" s="26"/>
      <c r="N11" s="26"/>
      <c r="O11" s="26">
        <f>I11*I7</f>
        <v>129.83849999999998</v>
      </c>
      <c r="P11" s="26">
        <f>'[19]HT-DOCENTE'!J12</f>
        <v>0</v>
      </c>
      <c r="Q11" s="26">
        <f>SUM(I11:P11)</f>
        <v>7318.9484999999995</v>
      </c>
      <c r="R11" s="109">
        <f>IF('[19]Calculo ISR '!$BG$34&lt;0,0,'[19]Calculo ISR '!$BG$34)</f>
        <v>919.17236759999992</v>
      </c>
      <c r="S11" s="110">
        <f>I11*P6</f>
        <v>681.65212499999984</v>
      </c>
      <c r="T11" s="110">
        <f>'[19]HT-DOCENTE'!P12</f>
        <v>0</v>
      </c>
      <c r="U11" s="110">
        <f>I11*V6</f>
        <v>64.919249999999991</v>
      </c>
      <c r="V11" s="110">
        <f>'[19]HT-DOCENTE'!R12</f>
        <v>0</v>
      </c>
      <c r="W11" s="110"/>
      <c r="X11" s="26">
        <f t="shared" ref="X11:X21" si="4">R11+S11+T11+U11+W11+V11</f>
        <v>1665.7437425999997</v>
      </c>
      <c r="Y11" s="110">
        <f>IF('[19]Calculo ISR '!$BG$34&gt;0,0,('[19]Calculo ISR '!$BG$34)*-1)</f>
        <v>0</v>
      </c>
      <c r="Z11" s="26">
        <f t="shared" ref="Z11:Z37" si="5">Q11-X11-J11+Y11</f>
        <v>5199.2447573999998</v>
      </c>
      <c r="AA11" s="26">
        <f t="shared" ref="AA11:AA37" si="6">J11</f>
        <v>453.96000000000004</v>
      </c>
      <c r="AB11" s="212"/>
      <c r="AC11" s="213"/>
    </row>
    <row r="12" spans="1:29" s="111" customFormat="1" ht="45" customHeight="1">
      <c r="A12" s="21" t="s">
        <v>36</v>
      </c>
      <c r="B12" s="33" t="s">
        <v>37</v>
      </c>
      <c r="C12" s="107">
        <v>6.5</v>
      </c>
      <c r="D12" s="107">
        <v>7.5</v>
      </c>
      <c r="E12" s="108">
        <v>315.89999999999998</v>
      </c>
      <c r="F12" s="108">
        <v>360.15</v>
      </c>
      <c r="G12" s="108">
        <f t="shared" si="0"/>
        <v>2053.35</v>
      </c>
      <c r="H12" s="108">
        <f t="shared" si="0"/>
        <v>2701.125</v>
      </c>
      <c r="I12" s="26">
        <f t="shared" si="1"/>
        <v>4754.4750000000004</v>
      </c>
      <c r="J12" s="26">
        <f>(C12+D12)*23.28</f>
        <v>325.92</v>
      </c>
      <c r="K12" s="26">
        <f t="shared" si="3"/>
        <v>78.325000000000003</v>
      </c>
      <c r="L12" s="26">
        <f t="shared" si="2"/>
        <v>98.625</v>
      </c>
      <c r="M12" s="26">
        <f>(C12+D12)*E7</f>
        <v>365.12</v>
      </c>
      <c r="N12" s="26">
        <v>2500</v>
      </c>
      <c r="O12" s="26">
        <f>I12*I7</f>
        <v>95.089500000000015</v>
      </c>
      <c r="P12" s="26">
        <f>2103*8</f>
        <v>16824</v>
      </c>
      <c r="Q12" s="26">
        <f t="shared" ref="Q12:Q37" si="7">SUM(I12:P12)</f>
        <v>25041.554499999998</v>
      </c>
      <c r="R12" s="109">
        <f>IF('[19]Calculo ISR '!$BH$34&lt;0,0,'[19]Calculo ISR '!$BH$34)</f>
        <v>5599.3723499999996</v>
      </c>
      <c r="S12" s="110">
        <f>I12*P6</f>
        <v>499.219875</v>
      </c>
      <c r="T12" s="110">
        <v>1431</v>
      </c>
      <c r="U12" s="110">
        <f>I12*V6</f>
        <v>47.544750000000008</v>
      </c>
      <c r="V12" s="110">
        <f>'[19]HT-DOCENTE'!R13</f>
        <v>0</v>
      </c>
      <c r="W12" s="110"/>
      <c r="X12" s="26">
        <f t="shared" si="4"/>
        <v>7577.1369749999994</v>
      </c>
      <c r="Y12" s="110">
        <f>IF('[19]Calculo ISR '!$BH$34&gt;0,0,('[19]Calculo ISR '!$BH$34)*-1)</f>
        <v>0</v>
      </c>
      <c r="Z12" s="26">
        <f t="shared" si="5"/>
        <v>17138.497524999999</v>
      </c>
      <c r="AA12" s="26">
        <f t="shared" si="6"/>
        <v>325.92</v>
      </c>
      <c r="AB12" s="212"/>
      <c r="AC12" s="213"/>
    </row>
    <row r="13" spans="1:29" s="111" customFormat="1" ht="45" customHeight="1">
      <c r="A13" s="21" t="s">
        <v>38</v>
      </c>
      <c r="B13" s="33" t="s">
        <v>39</v>
      </c>
      <c r="C13" s="107">
        <v>11.5</v>
      </c>
      <c r="D13" s="107">
        <v>7.5</v>
      </c>
      <c r="E13" s="108">
        <v>315.89999999999998</v>
      </c>
      <c r="F13" s="108">
        <v>360.15</v>
      </c>
      <c r="G13" s="108">
        <f t="shared" si="0"/>
        <v>3632.85</v>
      </c>
      <c r="H13" s="108">
        <f t="shared" si="0"/>
        <v>2701.125</v>
      </c>
      <c r="I13" s="26">
        <f t="shared" si="1"/>
        <v>6333.9750000000004</v>
      </c>
      <c r="J13" s="26">
        <f t="shared" ref="J13:J37" si="8">(C13+D13)*23.28</f>
        <v>442.32000000000005</v>
      </c>
      <c r="K13" s="26">
        <f t="shared" si="3"/>
        <v>138.57500000000002</v>
      </c>
      <c r="L13" s="26">
        <f t="shared" si="2"/>
        <v>98.625</v>
      </c>
      <c r="M13" s="26">
        <f>(C13+D13)*E7</f>
        <v>495.52</v>
      </c>
      <c r="N13" s="26"/>
      <c r="O13" s="26"/>
      <c r="P13" s="26">
        <f>2103*8</f>
        <v>16824</v>
      </c>
      <c r="Q13" s="26">
        <f t="shared" si="7"/>
        <v>24333.014999999999</v>
      </c>
      <c r="R13" s="109">
        <f>IF('[19]Calculo ISR '!$BI$34&lt;0,0,'[19]Calculo ISR '!$BI$34)</f>
        <v>5351.8904999999995</v>
      </c>
      <c r="S13" s="110">
        <f>I13*P6</f>
        <v>665.06737499999997</v>
      </c>
      <c r="T13" s="110">
        <v>1655</v>
      </c>
      <c r="U13" s="110">
        <f>I13*V6</f>
        <v>63.339750000000002</v>
      </c>
      <c r="V13" s="110">
        <f>'[19]HT-DOCENTE'!R14</f>
        <v>0</v>
      </c>
      <c r="W13" s="110"/>
      <c r="X13" s="26">
        <f t="shared" si="4"/>
        <v>7735.2976249999992</v>
      </c>
      <c r="Y13" s="110">
        <f>IF('[19]Calculo ISR '!$BI$34&gt;0,0,('[19]Calculo ISR '!$BI$34)*-1)</f>
        <v>0</v>
      </c>
      <c r="Z13" s="26">
        <f t="shared" si="5"/>
        <v>16155.397375</v>
      </c>
      <c r="AA13" s="26">
        <f t="shared" si="6"/>
        <v>442.32000000000005</v>
      </c>
      <c r="AB13" s="212"/>
      <c r="AC13" s="213"/>
    </row>
    <row r="14" spans="1:29" s="111" customFormat="1" ht="45" customHeight="1">
      <c r="A14" s="21" t="s">
        <v>40</v>
      </c>
      <c r="B14" s="33" t="s">
        <v>41</v>
      </c>
      <c r="C14" s="107">
        <v>18.5</v>
      </c>
      <c r="D14" s="107">
        <v>0</v>
      </c>
      <c r="E14" s="108">
        <v>315.89999999999998</v>
      </c>
      <c r="F14" s="108">
        <v>360.15</v>
      </c>
      <c r="G14" s="108">
        <f t="shared" si="0"/>
        <v>5844.15</v>
      </c>
      <c r="H14" s="108">
        <f t="shared" si="0"/>
        <v>0</v>
      </c>
      <c r="I14" s="26">
        <f t="shared" si="1"/>
        <v>5844.15</v>
      </c>
      <c r="J14" s="26">
        <f t="shared" si="8"/>
        <v>430.68</v>
      </c>
      <c r="K14" s="26">
        <f t="shared" si="3"/>
        <v>222.92500000000001</v>
      </c>
      <c r="L14" s="26">
        <f t="shared" si="2"/>
        <v>0</v>
      </c>
      <c r="M14" s="26">
        <f>(C14+D14)*E7</f>
        <v>482.47999999999996</v>
      </c>
      <c r="N14" s="26">
        <v>2500</v>
      </c>
      <c r="O14" s="26"/>
      <c r="P14" s="26">
        <f>'[19]HT-DOCENTE'!J15</f>
        <v>0</v>
      </c>
      <c r="Q14" s="26">
        <f t="shared" si="7"/>
        <v>9480.2350000000006</v>
      </c>
      <c r="R14" s="109">
        <f>IF('[19]Calculo ISR '!$BJ$34&lt;0,0,'[19]Calculo ISR '!$BJ$34)</f>
        <v>1385.7957720000002</v>
      </c>
      <c r="S14" s="110">
        <f>I14*P6</f>
        <v>613.63574999999992</v>
      </c>
      <c r="T14" s="110">
        <f>'[19]HT-DOCENTE'!P15</f>
        <v>0</v>
      </c>
      <c r="U14" s="110">
        <f>I14*V6</f>
        <v>58.441499999999998</v>
      </c>
      <c r="V14" s="110">
        <v>0</v>
      </c>
      <c r="W14" s="110"/>
      <c r="X14" s="26">
        <f t="shared" si="4"/>
        <v>2057.8730220000002</v>
      </c>
      <c r="Y14" s="110">
        <f>IF('[19]Calculo ISR '!$BJ$34&gt;0,0,('[19]Calculo ISR '!$BJ$34)*-1)</f>
        <v>0</v>
      </c>
      <c r="Z14" s="26">
        <f t="shared" si="5"/>
        <v>6991.6819780000005</v>
      </c>
      <c r="AA14" s="26">
        <f t="shared" si="6"/>
        <v>430.68</v>
      </c>
      <c r="AB14" s="212"/>
      <c r="AC14" s="213"/>
    </row>
    <row r="15" spans="1:29" s="111" customFormat="1" ht="45" customHeight="1">
      <c r="A15" s="21" t="s">
        <v>44</v>
      </c>
      <c r="B15" s="33" t="s">
        <v>45</v>
      </c>
      <c r="C15" s="112">
        <v>9.5</v>
      </c>
      <c r="D15" s="112">
        <v>7.5</v>
      </c>
      <c r="E15" s="108">
        <v>315.89999999999998</v>
      </c>
      <c r="F15" s="108">
        <v>360.15</v>
      </c>
      <c r="G15" s="108">
        <f t="shared" si="0"/>
        <v>3001.0499999999997</v>
      </c>
      <c r="H15" s="108">
        <f t="shared" si="0"/>
        <v>2701.125</v>
      </c>
      <c r="I15" s="26">
        <f t="shared" si="1"/>
        <v>5702.1749999999993</v>
      </c>
      <c r="J15" s="26">
        <f t="shared" si="8"/>
        <v>395.76</v>
      </c>
      <c r="K15" s="26">
        <f t="shared" si="3"/>
        <v>114.47500000000001</v>
      </c>
      <c r="L15" s="26">
        <f t="shared" si="2"/>
        <v>98.625</v>
      </c>
      <c r="M15" s="26"/>
      <c r="N15" s="26"/>
      <c r="O15" s="26"/>
      <c r="P15" s="26">
        <f>'[19]HT-DOCENTE'!J17</f>
        <v>0</v>
      </c>
      <c r="Q15" s="26">
        <f t="shared" si="7"/>
        <v>6311.0349999999999</v>
      </c>
      <c r="R15" s="109">
        <f>IF('[19]Calculo ISR '!$BL$34&lt;0,0,'[19]Calculo ISR '!$BL$34)</f>
        <v>716.31356400000004</v>
      </c>
      <c r="S15" s="110">
        <f>I15*P6</f>
        <v>598.72837499999991</v>
      </c>
      <c r="T15" s="110">
        <f>'[19]HT-DOCENTE'!P17</f>
        <v>0</v>
      </c>
      <c r="U15" s="110">
        <f>I15*V6</f>
        <v>57.021749999999997</v>
      </c>
      <c r="V15" s="110">
        <f>'[19]HT-DOCENTE'!R17</f>
        <v>0</v>
      </c>
      <c r="W15" s="110"/>
      <c r="X15" s="26">
        <f t="shared" si="4"/>
        <v>1372.0636890000001</v>
      </c>
      <c r="Y15" s="110">
        <f>IF('[19]Calculo ISR '!$BL$34&gt;0,0,('[19]Calculo ISR '!$BL$34)*-1)</f>
        <v>0</v>
      </c>
      <c r="Z15" s="26">
        <f t="shared" si="5"/>
        <v>4543.2113109999991</v>
      </c>
      <c r="AA15" s="26">
        <f t="shared" si="6"/>
        <v>395.76</v>
      </c>
      <c r="AB15" s="212"/>
      <c r="AC15" s="213"/>
    </row>
    <row r="16" spans="1:29" s="111" customFormat="1" ht="45" customHeight="1">
      <c r="A16" s="21" t="s">
        <v>48</v>
      </c>
      <c r="B16" s="33" t="s">
        <v>49</v>
      </c>
      <c r="C16" s="112">
        <v>18</v>
      </c>
      <c r="D16" s="112">
        <v>0</v>
      </c>
      <c r="E16" s="108">
        <v>315.89999999999998</v>
      </c>
      <c r="F16" s="108">
        <v>360.15</v>
      </c>
      <c r="G16" s="108">
        <f t="shared" si="0"/>
        <v>5686.2</v>
      </c>
      <c r="H16" s="108">
        <f t="shared" si="0"/>
        <v>0</v>
      </c>
      <c r="I16" s="26">
        <f t="shared" si="1"/>
        <v>5686.2</v>
      </c>
      <c r="J16" s="26">
        <f t="shared" si="8"/>
        <v>419.04</v>
      </c>
      <c r="K16" s="26">
        <f t="shared" si="3"/>
        <v>216.9</v>
      </c>
      <c r="L16" s="26">
        <f t="shared" si="2"/>
        <v>0</v>
      </c>
      <c r="M16" s="26"/>
      <c r="N16" s="26"/>
      <c r="O16" s="26"/>
      <c r="P16" s="26">
        <v>0</v>
      </c>
      <c r="Q16" s="26">
        <f t="shared" si="7"/>
        <v>6322.1399999999994</v>
      </c>
      <c r="R16" s="109">
        <f>IF('[19]Calculo ISR '!$BN$34&lt;0,0,'[19]Calculo ISR '!$BN$34)</f>
        <v>713.71298400000001</v>
      </c>
      <c r="S16" s="110">
        <f>I16*P6</f>
        <v>597.05099999999993</v>
      </c>
      <c r="T16" s="110">
        <f>'[19]HT-DOCENTE'!P19</f>
        <v>0</v>
      </c>
      <c r="U16" s="110">
        <f>I16*V6</f>
        <v>56.862000000000002</v>
      </c>
      <c r="V16" s="110">
        <f>'[19]HT-DOCENTE'!R19</f>
        <v>0</v>
      </c>
      <c r="W16" s="113">
        <f>[19]descuentos!D11</f>
        <v>0</v>
      </c>
      <c r="X16" s="26">
        <f>R16+S16+T16+U16+W16+V16</f>
        <v>1367.625984</v>
      </c>
      <c r="Y16" s="110">
        <f>IF('[19]Calculo ISR '!$BN$34&gt;0,0,('[19]Calculo ISR '!$BN$34)*-1)</f>
        <v>0</v>
      </c>
      <c r="Z16" s="26">
        <f t="shared" si="5"/>
        <v>4535.4740159999992</v>
      </c>
      <c r="AA16" s="26">
        <f t="shared" si="6"/>
        <v>419.04</v>
      </c>
      <c r="AB16" s="212"/>
      <c r="AC16" s="213"/>
    </row>
    <row r="17" spans="1:30" s="111" customFormat="1" ht="45" customHeight="1">
      <c r="A17" s="21" t="s">
        <v>50</v>
      </c>
      <c r="B17" s="33" t="s">
        <v>51</v>
      </c>
      <c r="C17" s="112">
        <v>10.5</v>
      </c>
      <c r="D17" s="112">
        <v>7.5</v>
      </c>
      <c r="E17" s="108">
        <v>315.89999999999998</v>
      </c>
      <c r="F17" s="108">
        <v>360.15</v>
      </c>
      <c r="G17" s="108">
        <f t="shared" si="0"/>
        <v>3316.95</v>
      </c>
      <c r="H17" s="108">
        <f t="shared" si="0"/>
        <v>2701.125</v>
      </c>
      <c r="I17" s="26">
        <f t="shared" si="1"/>
        <v>6018.0749999999998</v>
      </c>
      <c r="J17" s="26">
        <f t="shared" si="8"/>
        <v>419.04</v>
      </c>
      <c r="K17" s="26">
        <f t="shared" si="3"/>
        <v>126.52500000000001</v>
      </c>
      <c r="L17" s="26">
        <f t="shared" si="2"/>
        <v>98.625</v>
      </c>
      <c r="M17" s="26"/>
      <c r="N17" s="26"/>
      <c r="O17" s="26"/>
      <c r="P17" s="26">
        <v>0</v>
      </c>
      <c r="Q17" s="26">
        <f t="shared" si="7"/>
        <v>6662.2649999999994</v>
      </c>
      <c r="R17" s="109">
        <f>IF('[19]Calculo ISR '!$BO$34&lt;0,0,'[19]Calculo ISR '!$BO$34)</f>
        <v>786.36368399999992</v>
      </c>
      <c r="S17" s="110">
        <f>I17*P6</f>
        <v>631.897875</v>
      </c>
      <c r="T17" s="110">
        <v>1570</v>
      </c>
      <c r="U17" s="110">
        <f>I17*V6</f>
        <v>60.180749999999996</v>
      </c>
      <c r="V17" s="110"/>
      <c r="W17" s="110"/>
      <c r="X17" s="26">
        <f t="shared" si="4"/>
        <v>3048.442309</v>
      </c>
      <c r="Y17" s="110">
        <f>IF('[19]Calculo ISR '!$BO$34&gt;0,0,('[19]Calculo ISR '!$BO$34)*-1)</f>
        <v>0</v>
      </c>
      <c r="Z17" s="26">
        <f t="shared" si="5"/>
        <v>3194.7826909999994</v>
      </c>
      <c r="AA17" s="26">
        <f t="shared" si="6"/>
        <v>419.04</v>
      </c>
      <c r="AB17" s="212"/>
      <c r="AC17" s="213"/>
    </row>
    <row r="18" spans="1:30" s="111" customFormat="1" ht="45" customHeight="1">
      <c r="A18" s="21" t="s">
        <v>52</v>
      </c>
      <c r="B18" s="33" t="s">
        <v>53</v>
      </c>
      <c r="C18" s="112">
        <v>12</v>
      </c>
      <c r="D18" s="112">
        <v>7.5</v>
      </c>
      <c r="E18" s="108">
        <v>315.89999999999998</v>
      </c>
      <c r="F18" s="108">
        <v>360.15</v>
      </c>
      <c r="G18" s="108">
        <f t="shared" si="0"/>
        <v>3790.7999999999997</v>
      </c>
      <c r="H18" s="108">
        <f t="shared" si="0"/>
        <v>2701.125</v>
      </c>
      <c r="I18" s="26">
        <f t="shared" si="1"/>
        <v>6491.9249999999993</v>
      </c>
      <c r="J18" s="26">
        <f t="shared" si="8"/>
        <v>453.96000000000004</v>
      </c>
      <c r="K18" s="26">
        <f t="shared" si="3"/>
        <v>144.60000000000002</v>
      </c>
      <c r="L18" s="26">
        <f t="shared" si="2"/>
        <v>98.625</v>
      </c>
      <c r="M18" s="26"/>
      <c r="N18" s="26">
        <v>2500</v>
      </c>
      <c r="O18" s="26"/>
      <c r="P18" s="26">
        <f>2103*8</f>
        <v>16824</v>
      </c>
      <c r="Q18" s="26">
        <f t="shared" si="7"/>
        <v>26513.11</v>
      </c>
      <c r="R18" s="109">
        <f>IF('[19]Calculo ISR '!$BP$34&lt;0,0,'[19]Calculo ISR '!$BP$34)</f>
        <v>6002.4270000000006</v>
      </c>
      <c r="S18" s="110">
        <f>I18*P6</f>
        <v>681.65212499999984</v>
      </c>
      <c r="T18" s="110">
        <f>'[19]HT-DOCENTE'!P21</f>
        <v>0</v>
      </c>
      <c r="U18" s="110">
        <f>I18*V6</f>
        <v>64.919249999999991</v>
      </c>
      <c r="V18" s="110"/>
      <c r="W18" s="110"/>
      <c r="X18" s="26">
        <f t="shared" si="4"/>
        <v>6748.9983750000001</v>
      </c>
      <c r="Y18" s="110">
        <f>IF('[19]Calculo ISR '!$BP$34&gt;0,0,('[19]Calculo ISR '!$BP$34)*-1)</f>
        <v>0</v>
      </c>
      <c r="Z18" s="26">
        <f t="shared" si="5"/>
        <v>19310.151625000002</v>
      </c>
      <c r="AA18" s="26">
        <f t="shared" si="6"/>
        <v>453.96000000000004</v>
      </c>
      <c r="AB18" s="212"/>
      <c r="AC18" s="213"/>
    </row>
    <row r="19" spans="1:30" s="111" customFormat="1" ht="45" customHeight="1">
      <c r="A19" s="21" t="s">
        <v>54</v>
      </c>
      <c r="B19" s="33" t="s">
        <v>55</v>
      </c>
      <c r="C19" s="112">
        <v>11</v>
      </c>
      <c r="D19" s="112">
        <v>7.5</v>
      </c>
      <c r="E19" s="108">
        <v>315.89999999999998</v>
      </c>
      <c r="F19" s="108">
        <v>360.15</v>
      </c>
      <c r="G19" s="108">
        <f t="shared" si="0"/>
        <v>3474.8999999999996</v>
      </c>
      <c r="H19" s="108">
        <f t="shared" si="0"/>
        <v>2701.125</v>
      </c>
      <c r="I19" s="26">
        <f t="shared" si="1"/>
        <v>6176.0249999999996</v>
      </c>
      <c r="J19" s="26">
        <f t="shared" si="8"/>
        <v>430.68</v>
      </c>
      <c r="K19" s="26">
        <f t="shared" si="3"/>
        <v>132.55000000000001</v>
      </c>
      <c r="L19" s="26">
        <f t="shared" si="2"/>
        <v>98.625</v>
      </c>
      <c r="M19" s="26"/>
      <c r="N19" s="26"/>
      <c r="O19" s="26"/>
      <c r="P19" s="26">
        <v>0</v>
      </c>
      <c r="Q19" s="26">
        <f t="shared" si="7"/>
        <v>6837.88</v>
      </c>
      <c r="R19" s="109">
        <f>IF('[19]Calculo ISR '!$BQ$34&lt;0,0,'[19]Calculo ISR '!$BQ$34)</f>
        <v>821.38874400000009</v>
      </c>
      <c r="S19" s="110">
        <f>I19*P6</f>
        <v>648.48262499999998</v>
      </c>
      <c r="T19" s="110">
        <v>1324</v>
      </c>
      <c r="U19" s="110">
        <f>I19*V6</f>
        <v>61.760249999999999</v>
      </c>
      <c r="V19" s="110">
        <f>'[19]HT-DOCENTE'!R22</f>
        <v>0</v>
      </c>
      <c r="W19" s="110"/>
      <c r="X19" s="26">
        <f t="shared" si="4"/>
        <v>2855.6316189999998</v>
      </c>
      <c r="Y19" s="110">
        <f>IF('[19]Calculo ISR '!$BQ$34&gt;0,0,('[19]Calculo ISR '!$BQ$34)*-1)</f>
        <v>0</v>
      </c>
      <c r="Z19" s="26">
        <f t="shared" si="5"/>
        <v>3551.5683810000005</v>
      </c>
      <c r="AA19" s="26">
        <f t="shared" si="6"/>
        <v>430.68</v>
      </c>
      <c r="AB19" s="212"/>
      <c r="AC19" s="213"/>
    </row>
    <row r="20" spans="1:30" s="111" customFormat="1" ht="45" customHeight="1">
      <c r="A20" s="21" t="s">
        <v>56</v>
      </c>
      <c r="B20" s="33" t="s">
        <v>57</v>
      </c>
      <c r="C20" s="112">
        <v>11.5</v>
      </c>
      <c r="D20" s="112">
        <v>7.5</v>
      </c>
      <c r="E20" s="108">
        <v>315.89999999999998</v>
      </c>
      <c r="F20" s="108">
        <v>360.15</v>
      </c>
      <c r="G20" s="108">
        <f t="shared" si="0"/>
        <v>3632.85</v>
      </c>
      <c r="H20" s="108">
        <f>D20*F20</f>
        <v>2701.125</v>
      </c>
      <c r="I20" s="26">
        <f t="shared" si="1"/>
        <v>6333.9750000000004</v>
      </c>
      <c r="J20" s="26">
        <f t="shared" si="8"/>
        <v>442.32000000000005</v>
      </c>
      <c r="K20" s="26">
        <f t="shared" si="3"/>
        <v>138.57500000000002</v>
      </c>
      <c r="L20" s="26">
        <f t="shared" si="2"/>
        <v>98.625</v>
      </c>
      <c r="M20" s="26">
        <f>(C20+D20)*E7</f>
        <v>495.52</v>
      </c>
      <c r="N20" s="26">
        <v>2500</v>
      </c>
      <c r="O20" s="26"/>
      <c r="P20" s="26">
        <v>0</v>
      </c>
      <c r="Q20" s="26">
        <f t="shared" si="7"/>
        <v>10009.014999999999</v>
      </c>
      <c r="R20" s="109">
        <f>IF('[19]Calculo ISR '!$BR$34&lt;0,0,'[19]Calculo ISR '!$BR$34)</f>
        <v>1496.2568759999999</v>
      </c>
      <c r="S20" s="110">
        <f>I20*P6</f>
        <v>665.06737499999997</v>
      </c>
      <c r="T20" s="110">
        <f>'[19]HT-DOCENTE'!P23</f>
        <v>0</v>
      </c>
      <c r="U20" s="110">
        <f>I20*V6</f>
        <v>63.339750000000002</v>
      </c>
      <c r="V20" s="110">
        <f>'[19]HT-DOCENTE'!R23</f>
        <v>0</v>
      </c>
      <c r="W20" s="113"/>
      <c r="X20" s="26">
        <f t="shared" si="4"/>
        <v>2224.6640010000001</v>
      </c>
      <c r="Y20" s="110">
        <f>IF('[19]Calculo ISR '!$BR$34&gt;0,0,('[19]Calculo ISR '!$BR$34)*-1)</f>
        <v>0</v>
      </c>
      <c r="Z20" s="26">
        <f t="shared" si="5"/>
        <v>7342.0309989999996</v>
      </c>
      <c r="AA20" s="26">
        <f t="shared" si="6"/>
        <v>442.32000000000005</v>
      </c>
      <c r="AB20" s="212"/>
      <c r="AC20" s="213"/>
    </row>
    <row r="21" spans="1:30" s="111" customFormat="1" ht="45" customHeight="1">
      <c r="A21" s="21" t="s">
        <v>58</v>
      </c>
      <c r="B21" s="33" t="s">
        <v>59</v>
      </c>
      <c r="C21" s="112">
        <v>11</v>
      </c>
      <c r="D21" s="112">
        <v>0</v>
      </c>
      <c r="E21" s="108">
        <v>315.89999999999998</v>
      </c>
      <c r="F21" s="108">
        <v>360.15</v>
      </c>
      <c r="G21" s="108">
        <f t="shared" si="0"/>
        <v>3474.8999999999996</v>
      </c>
      <c r="H21" s="108">
        <f t="shared" si="0"/>
        <v>0</v>
      </c>
      <c r="I21" s="26">
        <f t="shared" si="1"/>
        <v>3474.8999999999996</v>
      </c>
      <c r="J21" s="26">
        <f t="shared" si="8"/>
        <v>256.08000000000004</v>
      </c>
      <c r="K21" s="26">
        <f t="shared" si="3"/>
        <v>132.55000000000001</v>
      </c>
      <c r="L21" s="26">
        <f t="shared" si="2"/>
        <v>0</v>
      </c>
      <c r="M21" s="26"/>
      <c r="N21" s="26">
        <v>2500</v>
      </c>
      <c r="O21" s="26"/>
      <c r="P21" s="26"/>
      <c r="Q21" s="26">
        <f t="shared" si="7"/>
        <v>6363.53</v>
      </c>
      <c r="R21" s="109">
        <f>IF('[19]Calculo ISR '!$BS$34&lt;0,0,'[19]Calculo ISR '!$BS$34)</f>
        <v>757.36214400000006</v>
      </c>
      <c r="S21" s="110">
        <f>I21*P6</f>
        <v>364.86449999999996</v>
      </c>
      <c r="T21" s="110">
        <v>786</v>
      </c>
      <c r="U21" s="110">
        <f>I21*V6</f>
        <v>34.748999999999995</v>
      </c>
      <c r="V21" s="110"/>
      <c r="W21" s="110"/>
      <c r="X21" s="26">
        <f t="shared" si="4"/>
        <v>1942.9756440000001</v>
      </c>
      <c r="Y21" s="110">
        <f>IF('[19]Calculo ISR '!$BS$34&gt;0,0,('[19]Calculo ISR '!$BS$34)*-1)</f>
        <v>0</v>
      </c>
      <c r="Z21" s="26">
        <f t="shared" si="5"/>
        <v>4164.4743559999997</v>
      </c>
      <c r="AA21" s="26">
        <f t="shared" si="6"/>
        <v>256.08000000000004</v>
      </c>
      <c r="AB21" s="212"/>
      <c r="AC21" s="213"/>
    </row>
    <row r="22" spans="1:30" s="111" customFormat="1" ht="45" customHeight="1">
      <c r="A22" s="21" t="s">
        <v>60</v>
      </c>
      <c r="B22" s="33" t="s">
        <v>100</v>
      </c>
      <c r="C22" s="112">
        <v>16</v>
      </c>
      <c r="D22" s="112">
        <v>0</v>
      </c>
      <c r="E22" s="108">
        <v>315.89999999999998</v>
      </c>
      <c r="F22" s="108">
        <v>360.15</v>
      </c>
      <c r="G22" s="108">
        <f t="shared" si="0"/>
        <v>5054.3999999999996</v>
      </c>
      <c r="H22" s="108">
        <f t="shared" si="0"/>
        <v>0</v>
      </c>
      <c r="I22" s="26">
        <f t="shared" si="1"/>
        <v>5054.3999999999996</v>
      </c>
      <c r="J22" s="26">
        <f t="shared" si="8"/>
        <v>372.48</v>
      </c>
      <c r="K22" s="26">
        <f t="shared" si="3"/>
        <v>192.8</v>
      </c>
      <c r="L22" s="26">
        <f t="shared" si="2"/>
        <v>0</v>
      </c>
      <c r="M22" s="26"/>
      <c r="N22" s="26"/>
      <c r="O22" s="26"/>
      <c r="P22" s="26"/>
      <c r="Q22" s="26">
        <f t="shared" si="7"/>
        <v>5619.6799999999994</v>
      </c>
      <c r="R22" s="109">
        <f>IF('[19]Calculo ISR '!$BT$34&lt;0,0,'[19]Calculo ISR '!$BT$34)</f>
        <v>573.61274399999979</v>
      </c>
      <c r="S22" s="110">
        <f>I22*P6</f>
        <v>530.71199999999999</v>
      </c>
      <c r="T22" s="110"/>
      <c r="U22" s="110"/>
      <c r="V22" s="110"/>
      <c r="W22" s="110"/>
      <c r="X22" s="26">
        <f t="shared" ref="X22:X37" si="9">R22+S22+T22+U22+V22+W22</f>
        <v>1104.3247439999998</v>
      </c>
      <c r="Y22" s="110">
        <f>IF('[19]Calculo ISR '!$BT$34&gt;0,0,('[19]Calculo ISR '!$BT$34)*-1)</f>
        <v>0</v>
      </c>
      <c r="Z22" s="26">
        <f t="shared" si="5"/>
        <v>4142.8752559999994</v>
      </c>
      <c r="AA22" s="26">
        <f t="shared" si="6"/>
        <v>372.48</v>
      </c>
      <c r="AB22" s="212"/>
      <c r="AC22" s="213"/>
    </row>
    <row r="23" spans="1:30" s="111" customFormat="1" ht="45" customHeight="1">
      <c r="A23" s="21" t="s">
        <v>62</v>
      </c>
      <c r="B23" s="33" t="s">
        <v>63</v>
      </c>
      <c r="C23" s="112">
        <v>18</v>
      </c>
      <c r="D23" s="112">
        <v>0</v>
      </c>
      <c r="E23" s="108">
        <v>315.89999999999998</v>
      </c>
      <c r="F23" s="108">
        <v>360.15</v>
      </c>
      <c r="G23" s="108">
        <f t="shared" si="0"/>
        <v>5686.2</v>
      </c>
      <c r="H23" s="108">
        <f t="shared" si="0"/>
        <v>0</v>
      </c>
      <c r="I23" s="26">
        <f t="shared" si="1"/>
        <v>5686.2</v>
      </c>
      <c r="J23" s="26">
        <f t="shared" si="8"/>
        <v>419.04</v>
      </c>
      <c r="K23" s="26">
        <f t="shared" si="3"/>
        <v>216.9</v>
      </c>
      <c r="L23" s="26">
        <f t="shared" si="2"/>
        <v>0</v>
      </c>
      <c r="M23" s="26"/>
      <c r="N23" s="26">
        <v>2500</v>
      </c>
      <c r="O23" s="26"/>
      <c r="P23" s="26">
        <v>0</v>
      </c>
      <c r="Q23" s="26">
        <f t="shared" si="7"/>
        <v>8822.14</v>
      </c>
      <c r="R23" s="109">
        <f>IF('[19]Calculo ISR '!$BU$34&lt;0,0,'[19]Calculo ISR '!$BU$34)</f>
        <v>1247.7129839999998</v>
      </c>
      <c r="S23" s="110">
        <f>I23*P6</f>
        <v>597.05099999999993</v>
      </c>
      <c r="T23" s="110"/>
      <c r="U23" s="110">
        <f>I23*V6</f>
        <v>56.862000000000002</v>
      </c>
      <c r="V23" s="110"/>
      <c r="W23" s="110"/>
      <c r="X23" s="26">
        <f t="shared" si="9"/>
        <v>1901.6259839999998</v>
      </c>
      <c r="Y23" s="110">
        <f>IF('[19]Calculo ISR '!$BU$34&gt;0,0,('[19]Calculo ISR '!$BU$34)*-1)</f>
        <v>0</v>
      </c>
      <c r="Z23" s="26">
        <f t="shared" si="5"/>
        <v>6501.4740159999992</v>
      </c>
      <c r="AA23" s="26">
        <f t="shared" si="6"/>
        <v>419.04</v>
      </c>
      <c r="AB23" s="212"/>
      <c r="AC23" s="213"/>
    </row>
    <row r="24" spans="1:30" s="111" customFormat="1" ht="45" customHeight="1">
      <c r="A24" s="21" t="s">
        <v>64</v>
      </c>
      <c r="B24" s="33" t="s">
        <v>65</v>
      </c>
      <c r="C24" s="112">
        <v>17.5</v>
      </c>
      <c r="D24" s="112">
        <v>0</v>
      </c>
      <c r="E24" s="108">
        <v>315.89999999999998</v>
      </c>
      <c r="F24" s="108">
        <v>360.15</v>
      </c>
      <c r="G24" s="108">
        <f t="shared" si="0"/>
        <v>5528.25</v>
      </c>
      <c r="H24" s="108">
        <f t="shared" si="0"/>
        <v>0</v>
      </c>
      <c r="I24" s="26">
        <f t="shared" si="1"/>
        <v>5528.25</v>
      </c>
      <c r="J24" s="26">
        <f t="shared" si="8"/>
        <v>407.40000000000003</v>
      </c>
      <c r="K24" s="26">
        <f t="shared" si="3"/>
        <v>210.875</v>
      </c>
      <c r="L24" s="26">
        <f t="shared" si="2"/>
        <v>0</v>
      </c>
      <c r="M24" s="26"/>
      <c r="N24" s="26"/>
      <c r="O24" s="26"/>
      <c r="P24" s="26">
        <v>0</v>
      </c>
      <c r="Q24" s="26">
        <f t="shared" si="7"/>
        <v>6146.5249999999996</v>
      </c>
      <c r="R24" s="109">
        <f>IF('[19]Calculo ISR '!$BV$34&lt;0,0,'[19]Calculo ISR '!$BV$34)</f>
        <v>678.68792400000007</v>
      </c>
      <c r="S24" s="110">
        <f>I24*P6</f>
        <v>580.46624999999995</v>
      </c>
      <c r="T24" s="110"/>
      <c r="U24" s="110">
        <f>I24*V6</f>
        <v>55.282499999999999</v>
      </c>
      <c r="V24" s="110"/>
      <c r="W24" s="110"/>
      <c r="X24" s="26">
        <f t="shared" si="9"/>
        <v>1314.436674</v>
      </c>
      <c r="Y24" s="110">
        <f>IF('[19]Calculo ISR '!$BV$34&gt;0,0,('[19]Calculo ISR '!$BV$34)*-1)</f>
        <v>0</v>
      </c>
      <c r="Z24" s="26">
        <f t="shared" si="5"/>
        <v>4424.6883259999995</v>
      </c>
      <c r="AA24" s="26">
        <f t="shared" si="6"/>
        <v>407.40000000000003</v>
      </c>
      <c r="AB24" s="212"/>
      <c r="AC24" s="213"/>
    </row>
    <row r="25" spans="1:30" s="111" customFormat="1" ht="45" customHeight="1">
      <c r="A25" s="21" t="s">
        <v>66</v>
      </c>
      <c r="B25" s="33" t="s">
        <v>67</v>
      </c>
      <c r="C25" s="112">
        <v>10</v>
      </c>
      <c r="D25" s="112">
        <v>0</v>
      </c>
      <c r="E25" s="108">
        <v>315.89999999999998</v>
      </c>
      <c r="F25" s="108">
        <v>360.15</v>
      </c>
      <c r="G25" s="108">
        <f t="shared" si="0"/>
        <v>3159</v>
      </c>
      <c r="H25" s="108">
        <f t="shared" si="0"/>
        <v>0</v>
      </c>
      <c r="I25" s="26">
        <f t="shared" si="1"/>
        <v>3159</v>
      </c>
      <c r="J25" s="26">
        <f t="shared" si="8"/>
        <v>232.8</v>
      </c>
      <c r="K25" s="26">
        <f t="shared" si="3"/>
        <v>120.5</v>
      </c>
      <c r="L25" s="26">
        <f t="shared" si="2"/>
        <v>0</v>
      </c>
      <c r="M25" s="26"/>
      <c r="N25" s="26"/>
      <c r="O25" s="26"/>
      <c r="P25" s="26">
        <v>0</v>
      </c>
      <c r="Q25" s="26">
        <f t="shared" si="7"/>
        <v>3512.3</v>
      </c>
      <c r="R25" s="109">
        <f>IF('[19]Calculo ISR '!$BW$34&lt;0,0,'[19]Calculo ISR '!$BW$34)</f>
        <v>127.62651199999996</v>
      </c>
      <c r="S25" s="110">
        <f>I25*P6</f>
        <v>331.69499999999999</v>
      </c>
      <c r="T25" s="110"/>
      <c r="U25" s="110"/>
      <c r="V25" s="110"/>
      <c r="W25" s="110"/>
      <c r="X25" s="26">
        <f t="shared" si="9"/>
        <v>459.32151199999998</v>
      </c>
      <c r="Y25" s="110">
        <f>IF('[19]Calculo ISR '!$BW$34&gt;0,0,('[19]Calculo ISR '!$BW$34)*-1)</f>
        <v>0</v>
      </c>
      <c r="Z25" s="26">
        <f t="shared" si="5"/>
        <v>2820.178488</v>
      </c>
      <c r="AA25" s="26">
        <f t="shared" si="6"/>
        <v>232.8</v>
      </c>
      <c r="AB25" s="212"/>
      <c r="AC25" s="213"/>
    </row>
    <row r="26" spans="1:30" s="111" customFormat="1" ht="45" customHeight="1">
      <c r="A26" s="21" t="s">
        <v>68</v>
      </c>
      <c r="B26" s="33" t="s">
        <v>69</v>
      </c>
      <c r="C26" s="112">
        <v>4.5</v>
      </c>
      <c r="D26" s="112">
        <v>0</v>
      </c>
      <c r="E26" s="108">
        <v>315.89999999999998</v>
      </c>
      <c r="F26" s="108">
        <v>360.15</v>
      </c>
      <c r="G26" s="108">
        <f t="shared" si="0"/>
        <v>1421.55</v>
      </c>
      <c r="H26" s="108">
        <f t="shared" si="0"/>
        <v>0</v>
      </c>
      <c r="I26" s="26">
        <f t="shared" si="1"/>
        <v>1421.55</v>
      </c>
      <c r="J26" s="26">
        <f t="shared" si="8"/>
        <v>104.76</v>
      </c>
      <c r="K26" s="26">
        <f t="shared" si="3"/>
        <v>54.225000000000001</v>
      </c>
      <c r="L26" s="26">
        <f t="shared" si="2"/>
        <v>0</v>
      </c>
      <c r="M26" s="26"/>
      <c r="N26" s="26">
        <v>0</v>
      </c>
      <c r="O26" s="26"/>
      <c r="P26" s="26">
        <v>0</v>
      </c>
      <c r="Q26" s="26">
        <f t="shared" si="7"/>
        <v>1580.5349999999999</v>
      </c>
      <c r="R26" s="109">
        <f>IF('[19]Calculo ISR '!$BX$34&lt;0,0,'[19]Calculo ISR '!$BX$34)</f>
        <v>0</v>
      </c>
      <c r="S26" s="110">
        <f>I26*P6</f>
        <v>149.26274999999998</v>
      </c>
      <c r="T26" s="110"/>
      <c r="U26" s="110">
        <f>I26*V6</f>
        <v>14.2155</v>
      </c>
      <c r="V26" s="110"/>
      <c r="W26" s="110"/>
      <c r="X26" s="26">
        <f t="shared" si="9"/>
        <v>163.47824999999997</v>
      </c>
      <c r="Y26" s="110">
        <f>IF('[19]Calculo ISR '!$BX$34&gt;0,0,('[19]Calculo ISR '!$BX$34)*-1)</f>
        <v>117.26823999999999</v>
      </c>
      <c r="Z26" s="26">
        <f t="shared" si="5"/>
        <v>1429.5649899999999</v>
      </c>
      <c r="AA26" s="26">
        <f t="shared" si="6"/>
        <v>104.76</v>
      </c>
      <c r="AB26" s="212"/>
      <c r="AC26" s="213"/>
    </row>
    <row r="27" spans="1:30" s="111" customFormat="1" ht="45" customHeight="1">
      <c r="A27" s="21" t="s">
        <v>70</v>
      </c>
      <c r="B27" s="33" t="s">
        <v>71</v>
      </c>
      <c r="C27" s="112">
        <v>7</v>
      </c>
      <c r="D27" s="112">
        <v>0</v>
      </c>
      <c r="E27" s="108">
        <v>315.89999999999998</v>
      </c>
      <c r="F27" s="108">
        <v>360.15</v>
      </c>
      <c r="G27" s="108">
        <f t="shared" si="0"/>
        <v>2211.2999999999997</v>
      </c>
      <c r="H27" s="108">
        <f t="shared" si="0"/>
        <v>0</v>
      </c>
      <c r="I27" s="26">
        <f t="shared" si="1"/>
        <v>2211.2999999999997</v>
      </c>
      <c r="J27" s="26">
        <f t="shared" si="8"/>
        <v>162.96</v>
      </c>
      <c r="K27" s="26">
        <f t="shared" si="3"/>
        <v>84.350000000000009</v>
      </c>
      <c r="L27" s="26">
        <f t="shared" si="2"/>
        <v>0</v>
      </c>
      <c r="M27" s="26"/>
      <c r="N27" s="26">
        <v>0</v>
      </c>
      <c r="O27" s="26"/>
      <c r="P27" s="26"/>
      <c r="Q27" s="26">
        <f t="shared" si="7"/>
        <v>2458.6099999999997</v>
      </c>
      <c r="R27" s="109">
        <f>IF('[19]Calculo ISR '!$BY$34&lt;0,0,'[19]Calculo ISR '!$BY$34)</f>
        <v>0</v>
      </c>
      <c r="S27" s="110">
        <f>I27*P6</f>
        <v>232.18649999999997</v>
      </c>
      <c r="T27" s="110"/>
      <c r="U27" s="110">
        <f>I27*V6</f>
        <v>22.112999999999996</v>
      </c>
      <c r="V27" s="110"/>
      <c r="W27" s="113">
        <f>[19]descuentos!D10</f>
        <v>0</v>
      </c>
      <c r="X27" s="26">
        <f t="shared" si="9"/>
        <v>254.29949999999997</v>
      </c>
      <c r="Y27" s="110">
        <f>IF('[19]Calculo ISR '!$BY$34&gt;0,0,('[19]Calculo ISR '!$BY$34)*-1)</f>
        <v>29.066368000000068</v>
      </c>
      <c r="Z27" s="26">
        <f t="shared" si="5"/>
        <v>2070.4168679999998</v>
      </c>
      <c r="AA27" s="26">
        <f t="shared" si="6"/>
        <v>162.96</v>
      </c>
      <c r="AB27" s="212"/>
      <c r="AC27" s="213"/>
    </row>
    <row r="28" spans="1:30" s="111" customFormat="1" ht="45" customHeight="1">
      <c r="A28" s="21" t="s">
        <v>72</v>
      </c>
      <c r="B28" s="33" t="s">
        <v>73</v>
      </c>
      <c r="C28" s="112">
        <v>7.5</v>
      </c>
      <c r="D28" s="112">
        <v>0</v>
      </c>
      <c r="E28" s="108">
        <v>315.89999999999998</v>
      </c>
      <c r="F28" s="108">
        <v>360.15</v>
      </c>
      <c r="G28" s="108">
        <f t="shared" si="0"/>
        <v>2369.25</v>
      </c>
      <c r="H28" s="108">
        <f t="shared" si="0"/>
        <v>0</v>
      </c>
      <c r="I28" s="26">
        <f t="shared" si="1"/>
        <v>2369.25</v>
      </c>
      <c r="J28" s="26">
        <f t="shared" si="8"/>
        <v>174.60000000000002</v>
      </c>
      <c r="K28" s="26">
        <f t="shared" si="3"/>
        <v>90.375</v>
      </c>
      <c r="L28" s="26">
        <f t="shared" si="2"/>
        <v>0</v>
      </c>
      <c r="M28" s="26"/>
      <c r="N28" s="26"/>
      <c r="O28" s="26"/>
      <c r="P28" s="26"/>
      <c r="Q28" s="26">
        <f t="shared" si="7"/>
        <v>2634.2249999999999</v>
      </c>
      <c r="R28" s="109">
        <f>IF('[19]Calculo ISR '!$BZ$34&lt;0,0,'[19]Calculo ISR '!$BZ$34)</f>
        <v>3.1741119999999796</v>
      </c>
      <c r="S28" s="110">
        <f>I28*P6</f>
        <v>248.77124999999998</v>
      </c>
      <c r="T28" s="110"/>
      <c r="U28" s="110"/>
      <c r="V28" s="110"/>
      <c r="W28" s="113"/>
      <c r="X28" s="26">
        <f t="shared" si="9"/>
        <v>251.94536199999996</v>
      </c>
      <c r="Y28" s="110">
        <f>IF('[19]Calculo ISR '!$BZ$34&gt;0,0,('[19]Calculo ISR '!$BZ$34)*-1)</f>
        <v>0</v>
      </c>
      <c r="Z28" s="26">
        <f t="shared" si="5"/>
        <v>2207.6796380000001</v>
      </c>
      <c r="AA28" s="26">
        <f t="shared" si="6"/>
        <v>174.60000000000002</v>
      </c>
      <c r="AB28" s="215"/>
      <c r="AC28" s="216"/>
      <c r="AD28" s="114"/>
    </row>
    <row r="29" spans="1:30" s="111" customFormat="1" ht="45" customHeight="1">
      <c r="A29" s="21" t="s">
        <v>94</v>
      </c>
      <c r="B29" s="33" t="s">
        <v>101</v>
      </c>
      <c r="C29" s="112">
        <v>10.5</v>
      </c>
      <c r="D29" s="112">
        <v>0</v>
      </c>
      <c r="E29" s="108">
        <v>315.89999999999998</v>
      </c>
      <c r="F29" s="108">
        <v>360.15</v>
      </c>
      <c r="G29" s="108">
        <f t="shared" si="0"/>
        <v>3316.95</v>
      </c>
      <c r="H29" s="108">
        <f t="shared" si="0"/>
        <v>0</v>
      </c>
      <c r="I29" s="26">
        <f t="shared" si="1"/>
        <v>3316.95</v>
      </c>
      <c r="J29" s="26">
        <f t="shared" si="8"/>
        <v>244.44</v>
      </c>
      <c r="K29" s="26">
        <f t="shared" si="3"/>
        <v>126.52500000000001</v>
      </c>
      <c r="L29" s="26">
        <f t="shared" si="2"/>
        <v>0</v>
      </c>
      <c r="M29" s="26"/>
      <c r="N29" s="26">
        <v>2500</v>
      </c>
      <c r="O29" s="26"/>
      <c r="P29" s="26"/>
      <c r="Q29" s="26">
        <f t="shared" si="7"/>
        <v>6187.915</v>
      </c>
      <c r="R29" s="109">
        <f>IF('[19]Calculo ISR '!$CA$34&lt;0,0,'[19]Calculo ISR '!$CA$34)</f>
        <v>722.33708400000023</v>
      </c>
      <c r="S29" s="110">
        <f>I29*10.5%</f>
        <v>348.27974999999998</v>
      </c>
      <c r="T29" s="110"/>
      <c r="U29" s="110"/>
      <c r="V29" s="110"/>
      <c r="W29" s="110"/>
      <c r="X29" s="26">
        <f t="shared" si="9"/>
        <v>1070.6168340000002</v>
      </c>
      <c r="Y29" s="110">
        <f>IF('[19]Calculo ISR '!$CA$34&gt;0,0,('[19]Calculo ISR '!$CA$34)*-1)</f>
        <v>0</v>
      </c>
      <c r="Z29" s="26">
        <f t="shared" si="5"/>
        <v>4872.858166</v>
      </c>
      <c r="AA29" s="26">
        <f t="shared" si="6"/>
        <v>244.44</v>
      </c>
      <c r="AB29" s="115"/>
      <c r="AC29" s="116"/>
      <c r="AD29" s="114"/>
    </row>
    <row r="30" spans="1:30" s="111" customFormat="1" ht="45" customHeight="1">
      <c r="A30" s="21" t="s">
        <v>96</v>
      </c>
      <c r="B30" s="33" t="s">
        <v>102</v>
      </c>
      <c r="C30" s="112">
        <v>14</v>
      </c>
      <c r="D30" s="112">
        <v>0</v>
      </c>
      <c r="E30" s="108">
        <v>315.89999999999998</v>
      </c>
      <c r="F30" s="108">
        <v>360.15</v>
      </c>
      <c r="G30" s="108">
        <f t="shared" si="0"/>
        <v>4422.5999999999995</v>
      </c>
      <c r="H30" s="108">
        <f t="shared" si="0"/>
        <v>0</v>
      </c>
      <c r="I30" s="26">
        <f t="shared" si="1"/>
        <v>4422.5999999999995</v>
      </c>
      <c r="J30" s="26">
        <f t="shared" si="8"/>
        <v>325.92</v>
      </c>
      <c r="K30" s="26">
        <f t="shared" si="3"/>
        <v>168.70000000000002</v>
      </c>
      <c r="L30" s="26">
        <f t="shared" si="2"/>
        <v>0</v>
      </c>
      <c r="M30" s="26"/>
      <c r="N30" s="26"/>
      <c r="O30" s="26"/>
      <c r="P30" s="26"/>
      <c r="Q30" s="26">
        <f t="shared" si="7"/>
        <v>4917.2199999999993</v>
      </c>
      <c r="R30" s="109">
        <f>IF('[19]Calculo ISR '!$CB$34&lt;0,0,'[19]Calculo ISR '!$CB$34)</f>
        <v>450.26644799999997</v>
      </c>
      <c r="S30" s="110">
        <f>I30*10.5%</f>
        <v>464.37299999999993</v>
      </c>
      <c r="T30" s="110"/>
      <c r="U30" s="110"/>
      <c r="V30" s="110"/>
      <c r="W30" s="110"/>
      <c r="X30" s="26">
        <f t="shared" si="9"/>
        <v>914.6394479999999</v>
      </c>
      <c r="Y30" s="110">
        <f>IF('[19]Calculo ISR '!$CB$34&gt;0,0,('[19]Calculo ISR '!$CB$34)*-1)</f>
        <v>0</v>
      </c>
      <c r="Z30" s="26">
        <f t="shared" si="5"/>
        <v>3676.6605519999994</v>
      </c>
      <c r="AA30" s="26">
        <f t="shared" si="6"/>
        <v>325.92</v>
      </c>
      <c r="AB30" s="115"/>
      <c r="AC30" s="116"/>
      <c r="AD30" s="114"/>
    </row>
    <row r="31" spans="1:30" s="111" customFormat="1" ht="45" customHeight="1">
      <c r="A31" s="21" t="s">
        <v>103</v>
      </c>
      <c r="B31" s="33" t="s">
        <v>124</v>
      </c>
      <c r="C31" s="112">
        <v>4</v>
      </c>
      <c r="D31" s="112">
        <v>0</v>
      </c>
      <c r="E31" s="108">
        <v>315.89999999999998</v>
      </c>
      <c r="F31" s="108">
        <v>360.15</v>
      </c>
      <c r="G31" s="108">
        <f t="shared" ref="G31:H37" si="10">C31*E31</f>
        <v>1263.5999999999999</v>
      </c>
      <c r="H31" s="108">
        <f t="shared" si="10"/>
        <v>0</v>
      </c>
      <c r="I31" s="26">
        <f t="shared" si="1"/>
        <v>1263.5999999999999</v>
      </c>
      <c r="J31" s="26">
        <f t="shared" si="8"/>
        <v>93.12</v>
      </c>
      <c r="K31" s="26">
        <f t="shared" si="3"/>
        <v>48.2</v>
      </c>
      <c r="L31" s="26">
        <f t="shared" si="2"/>
        <v>0</v>
      </c>
      <c r="M31" s="26"/>
      <c r="N31" s="26">
        <v>0</v>
      </c>
      <c r="O31" s="26"/>
      <c r="P31" s="26"/>
      <c r="Q31" s="26">
        <f t="shared" si="7"/>
        <v>1404.9199999999998</v>
      </c>
      <c r="R31" s="109">
        <f>IF('[19]Calculo ISR '!$CC$34&lt;0,0,'[19]Calculo ISR '!$CC$34)</f>
        <v>0</v>
      </c>
      <c r="S31" s="110">
        <f t="shared" ref="S31:S37" si="11">I31*10.5%</f>
        <v>132.678</v>
      </c>
      <c r="T31" s="110"/>
      <c r="U31" s="110"/>
      <c r="V31" s="110"/>
      <c r="W31" s="110"/>
      <c r="X31" s="26">
        <f t="shared" si="9"/>
        <v>132.678</v>
      </c>
      <c r="Y31" s="110">
        <f>IF('[19]Calculo ISR '!$CC$34&gt;0,0,('[19]Calculo ISR '!$CC$34)*-1)</f>
        <v>127.76263999999999</v>
      </c>
      <c r="Z31" s="26">
        <f t="shared" si="5"/>
        <v>1306.8846399999998</v>
      </c>
      <c r="AA31" s="26">
        <f t="shared" si="6"/>
        <v>93.12</v>
      </c>
      <c r="AB31" s="115"/>
      <c r="AC31" s="116"/>
      <c r="AD31" s="114"/>
    </row>
    <row r="32" spans="1:30" s="111" customFormat="1" ht="45" customHeight="1">
      <c r="A32" s="21" t="s">
        <v>105</v>
      </c>
      <c r="B32" s="33" t="s">
        <v>106</v>
      </c>
      <c r="C32" s="112">
        <v>4</v>
      </c>
      <c r="D32" s="112">
        <v>0</v>
      </c>
      <c r="E32" s="108">
        <v>315.89999999999998</v>
      </c>
      <c r="F32" s="108">
        <v>360.15</v>
      </c>
      <c r="G32" s="108">
        <f t="shared" si="10"/>
        <v>1263.5999999999999</v>
      </c>
      <c r="H32" s="108">
        <f t="shared" si="10"/>
        <v>0</v>
      </c>
      <c r="I32" s="26">
        <f t="shared" si="1"/>
        <v>1263.5999999999999</v>
      </c>
      <c r="J32" s="26">
        <f t="shared" si="8"/>
        <v>93.12</v>
      </c>
      <c r="K32" s="26">
        <f t="shared" si="3"/>
        <v>48.2</v>
      </c>
      <c r="L32" s="26">
        <f t="shared" si="2"/>
        <v>0</v>
      </c>
      <c r="M32" s="26"/>
      <c r="N32" s="26">
        <v>0</v>
      </c>
      <c r="O32" s="26"/>
      <c r="P32" s="26"/>
      <c r="Q32" s="26">
        <f t="shared" si="7"/>
        <v>1404.9199999999998</v>
      </c>
      <c r="R32" s="109">
        <f>IF('[19]Calculo ISR '!$CD$34&lt;0,0,'[19]Calculo ISR '!$CD$34)</f>
        <v>0</v>
      </c>
      <c r="S32" s="110">
        <f t="shared" si="11"/>
        <v>132.678</v>
      </c>
      <c r="T32" s="110"/>
      <c r="U32" s="110"/>
      <c r="V32" s="110"/>
      <c r="W32" s="110"/>
      <c r="X32" s="26">
        <f t="shared" si="9"/>
        <v>132.678</v>
      </c>
      <c r="Y32" s="110">
        <f>IF('[19]Calculo ISR '!$CD$34&gt;0,0,('[19]Calculo ISR '!$CD$34)*-1)</f>
        <v>127.76263999999999</v>
      </c>
      <c r="Z32" s="26">
        <f t="shared" si="5"/>
        <v>1306.8846399999998</v>
      </c>
      <c r="AA32" s="26">
        <f t="shared" si="6"/>
        <v>93.12</v>
      </c>
      <c r="AB32" s="115"/>
      <c r="AC32" s="116"/>
      <c r="AD32" s="114"/>
    </row>
    <row r="33" spans="1:33" s="111" customFormat="1" ht="45" customHeight="1">
      <c r="A33" s="21" t="s">
        <v>112</v>
      </c>
      <c r="B33" s="33" t="s">
        <v>113</v>
      </c>
      <c r="C33" s="112">
        <v>5</v>
      </c>
      <c r="D33" s="112">
        <v>0</v>
      </c>
      <c r="E33" s="108">
        <v>315.89999999999998</v>
      </c>
      <c r="F33" s="108">
        <v>360.15</v>
      </c>
      <c r="G33" s="108">
        <f t="shared" si="10"/>
        <v>1579.5</v>
      </c>
      <c r="H33" s="108">
        <f t="shared" si="10"/>
        <v>0</v>
      </c>
      <c r="I33" s="26">
        <f t="shared" si="1"/>
        <v>1579.5</v>
      </c>
      <c r="J33" s="26">
        <f t="shared" si="8"/>
        <v>116.4</v>
      </c>
      <c r="K33" s="26">
        <f t="shared" si="3"/>
        <v>60.25</v>
      </c>
      <c r="L33" s="26">
        <f t="shared" si="2"/>
        <v>0</v>
      </c>
      <c r="M33" s="26"/>
      <c r="N33" s="26">
        <v>0</v>
      </c>
      <c r="O33" s="26"/>
      <c r="P33" s="26"/>
      <c r="Q33" s="26">
        <f t="shared" si="7"/>
        <v>1756.15</v>
      </c>
      <c r="R33" s="109">
        <f>IF('[19]Calculo ISR '!$CE$34&lt;0,0,'[19]Calculo ISR '!$CE$34)</f>
        <v>0</v>
      </c>
      <c r="S33" s="110">
        <f t="shared" si="11"/>
        <v>165.8475</v>
      </c>
      <c r="T33" s="110"/>
      <c r="U33" s="110"/>
      <c r="V33" s="110"/>
      <c r="W33" s="110"/>
      <c r="X33" s="26">
        <f t="shared" si="9"/>
        <v>165.8475</v>
      </c>
      <c r="Y33" s="110">
        <f>IF('[19]Calculo ISR '!$CE$34&gt;0,0,('[19]Calculo ISR '!$CE$34)*-1)</f>
        <v>106.77383999999998</v>
      </c>
      <c r="Z33" s="26">
        <f t="shared" si="5"/>
        <v>1580.67634</v>
      </c>
      <c r="AA33" s="26">
        <f t="shared" si="6"/>
        <v>116.4</v>
      </c>
      <c r="AB33" s="115"/>
      <c r="AC33" s="116"/>
      <c r="AD33" s="114"/>
    </row>
    <row r="34" spans="1:33" s="111" customFormat="1" ht="45" customHeight="1">
      <c r="A34" s="21" t="s">
        <v>125</v>
      </c>
      <c r="B34" s="33" t="s">
        <v>126</v>
      </c>
      <c r="C34" s="112">
        <v>15</v>
      </c>
      <c r="D34" s="112">
        <v>0</v>
      </c>
      <c r="E34" s="108">
        <v>315.89999999999998</v>
      </c>
      <c r="F34" s="108">
        <v>360.15</v>
      </c>
      <c r="G34" s="108">
        <f t="shared" si="10"/>
        <v>4738.5</v>
      </c>
      <c r="H34" s="108">
        <f t="shared" si="10"/>
        <v>0</v>
      </c>
      <c r="I34" s="26">
        <f t="shared" si="1"/>
        <v>4738.5</v>
      </c>
      <c r="J34" s="26">
        <f t="shared" si="8"/>
        <v>349.20000000000005</v>
      </c>
      <c r="K34" s="26">
        <f t="shared" si="3"/>
        <v>180.75</v>
      </c>
      <c r="L34" s="26">
        <f t="shared" si="2"/>
        <v>0</v>
      </c>
      <c r="M34" s="26"/>
      <c r="N34" s="26"/>
      <c r="O34" s="26"/>
      <c r="P34" s="26"/>
      <c r="Q34" s="26">
        <f t="shared" si="7"/>
        <v>5268.45</v>
      </c>
      <c r="R34" s="109">
        <f>IF('[19]Calculo ISR '!$CF$34&lt;0,0,'[19]Calculo ISR '!$CF$34)</f>
        <v>509.03508800000009</v>
      </c>
      <c r="S34" s="110">
        <f t="shared" si="11"/>
        <v>497.54249999999996</v>
      </c>
      <c r="T34" s="110"/>
      <c r="U34" s="110"/>
      <c r="V34" s="110"/>
      <c r="W34" s="113">
        <f>[19]descuentos!D12</f>
        <v>315.89999999999998</v>
      </c>
      <c r="X34" s="26">
        <f t="shared" si="9"/>
        <v>1322.4775880000002</v>
      </c>
      <c r="Y34" s="110">
        <f>IF('[19]Calculo ISR '!$CF$34&gt;0,0,('[19]Calculo ISR '!$CF$34)*-1)</f>
        <v>0</v>
      </c>
      <c r="Z34" s="26">
        <f t="shared" si="5"/>
        <v>3596.7724119999993</v>
      </c>
      <c r="AA34" s="26">
        <f t="shared" si="6"/>
        <v>349.20000000000005</v>
      </c>
      <c r="AB34" s="115"/>
      <c r="AC34" s="116"/>
      <c r="AD34" s="114"/>
    </row>
    <row r="35" spans="1:33" s="111" customFormat="1" ht="45" customHeight="1">
      <c r="A35" s="21" t="s">
        <v>127</v>
      </c>
      <c r="B35" s="33" t="s">
        <v>128</v>
      </c>
      <c r="C35" s="112">
        <v>5</v>
      </c>
      <c r="D35" s="112">
        <v>0</v>
      </c>
      <c r="E35" s="108">
        <v>315.89999999999998</v>
      </c>
      <c r="F35" s="108">
        <v>360.15</v>
      </c>
      <c r="G35" s="108">
        <f t="shared" si="10"/>
        <v>1579.5</v>
      </c>
      <c r="H35" s="108">
        <f t="shared" si="10"/>
        <v>0</v>
      </c>
      <c r="I35" s="26">
        <f t="shared" si="1"/>
        <v>1579.5</v>
      </c>
      <c r="J35" s="26">
        <f t="shared" si="8"/>
        <v>116.4</v>
      </c>
      <c r="K35" s="26">
        <f t="shared" si="3"/>
        <v>60.25</v>
      </c>
      <c r="L35" s="26">
        <f t="shared" si="2"/>
        <v>0</v>
      </c>
      <c r="M35" s="26"/>
      <c r="N35" s="26">
        <v>0</v>
      </c>
      <c r="O35" s="26"/>
      <c r="P35" s="26"/>
      <c r="Q35" s="26">
        <f t="shared" si="7"/>
        <v>1756.15</v>
      </c>
      <c r="R35" s="109">
        <f>IF('[19]Calculo ISR '!$CG$34&lt;0,0,'[19]Calculo ISR '!$CG$34)</f>
        <v>0</v>
      </c>
      <c r="S35" s="110">
        <f t="shared" si="11"/>
        <v>165.8475</v>
      </c>
      <c r="T35" s="110"/>
      <c r="U35" s="110"/>
      <c r="V35" s="110"/>
      <c r="W35" s="110"/>
      <c r="X35" s="26">
        <f t="shared" si="9"/>
        <v>165.8475</v>
      </c>
      <c r="Y35" s="110">
        <f>IF('[19]Calculo ISR '!$CG$34&gt;0,0,('[19]Calculo ISR '!$CG$34)*-1)</f>
        <v>106.77383999999998</v>
      </c>
      <c r="Z35" s="26">
        <f t="shared" si="5"/>
        <v>1580.67634</v>
      </c>
      <c r="AA35" s="26">
        <f t="shared" si="6"/>
        <v>116.4</v>
      </c>
      <c r="AB35" s="115"/>
      <c r="AC35" s="116"/>
      <c r="AD35" s="114"/>
    </row>
    <row r="36" spans="1:33" s="111" customFormat="1" ht="45" customHeight="1">
      <c r="A36" s="21" t="s">
        <v>129</v>
      </c>
      <c r="B36" s="33" t="s">
        <v>130</v>
      </c>
      <c r="C36" s="112">
        <v>10</v>
      </c>
      <c r="D36" s="112">
        <v>0</v>
      </c>
      <c r="E36" s="108">
        <v>315.89999999999998</v>
      </c>
      <c r="F36" s="108">
        <v>360.15</v>
      </c>
      <c r="G36" s="108">
        <f t="shared" si="10"/>
        <v>3159</v>
      </c>
      <c r="H36" s="108">
        <f t="shared" si="10"/>
        <v>0</v>
      </c>
      <c r="I36" s="26">
        <f t="shared" si="1"/>
        <v>3159</v>
      </c>
      <c r="J36" s="26">
        <f t="shared" si="8"/>
        <v>232.8</v>
      </c>
      <c r="K36" s="26">
        <f t="shared" si="3"/>
        <v>120.5</v>
      </c>
      <c r="L36" s="26">
        <f t="shared" si="2"/>
        <v>0</v>
      </c>
      <c r="M36" s="26"/>
      <c r="N36" s="26"/>
      <c r="O36" s="26"/>
      <c r="P36" s="26"/>
      <c r="Q36" s="26">
        <f t="shared" si="7"/>
        <v>3512.3</v>
      </c>
      <c r="R36" s="109">
        <f>IF('[19]Calculo ISR '!$CH$34&lt;0,0,'[19]Calculo ISR '!$CH$34)</f>
        <v>127.62651199999996</v>
      </c>
      <c r="S36" s="110">
        <f t="shared" si="11"/>
        <v>331.69499999999999</v>
      </c>
      <c r="T36" s="110"/>
      <c r="U36" s="110"/>
      <c r="V36" s="110"/>
      <c r="W36" s="110"/>
      <c r="X36" s="26">
        <f t="shared" si="9"/>
        <v>459.32151199999998</v>
      </c>
      <c r="Y36" s="110">
        <f>IF('[19]Calculo ISR '!$CH$34&gt;0,0,('[19]Calculo ISR '!$CH$34)*-1)</f>
        <v>0</v>
      </c>
      <c r="Z36" s="26">
        <f t="shared" si="5"/>
        <v>2820.178488</v>
      </c>
      <c r="AA36" s="26">
        <f t="shared" si="6"/>
        <v>232.8</v>
      </c>
      <c r="AB36" s="115"/>
      <c r="AC36" s="116"/>
      <c r="AD36" s="114"/>
    </row>
    <row r="37" spans="1:33" s="111" customFormat="1" ht="45" customHeight="1">
      <c r="A37" s="33" t="s">
        <v>131</v>
      </c>
      <c r="B37" s="33" t="s">
        <v>132</v>
      </c>
      <c r="C37" s="112">
        <v>14</v>
      </c>
      <c r="D37" s="112">
        <v>0</v>
      </c>
      <c r="E37" s="108">
        <v>315.89999999999998</v>
      </c>
      <c r="F37" s="108">
        <v>360.15</v>
      </c>
      <c r="G37" s="108">
        <f t="shared" si="10"/>
        <v>4422.5999999999995</v>
      </c>
      <c r="H37" s="108">
        <f t="shared" si="10"/>
        <v>0</v>
      </c>
      <c r="I37" s="26">
        <f t="shared" si="1"/>
        <v>4422.5999999999995</v>
      </c>
      <c r="J37" s="26">
        <f t="shared" si="8"/>
        <v>325.92</v>
      </c>
      <c r="K37" s="26">
        <f t="shared" si="3"/>
        <v>168.70000000000002</v>
      </c>
      <c r="L37" s="26">
        <f t="shared" si="2"/>
        <v>0</v>
      </c>
      <c r="M37" s="26"/>
      <c r="N37" s="26">
        <v>2500</v>
      </c>
      <c r="O37" s="26"/>
      <c r="P37" s="26"/>
      <c r="Q37" s="26">
        <f t="shared" si="7"/>
        <v>7417.2199999999993</v>
      </c>
      <c r="R37" s="109">
        <f>IF('[19]Calculo ISR '!$CI$34&lt;0,0,'[19]Calculo ISR '!$CI$34)</f>
        <v>967.51250399999992</v>
      </c>
      <c r="S37" s="110">
        <f t="shared" si="11"/>
        <v>464.37299999999993</v>
      </c>
      <c r="T37" s="110"/>
      <c r="U37" s="110"/>
      <c r="V37" s="110"/>
      <c r="W37" s="110"/>
      <c r="X37" s="26">
        <f t="shared" si="9"/>
        <v>1431.8855039999999</v>
      </c>
      <c r="Y37" s="110">
        <f>IF('[19]Calculo ISR '!$CI$34&gt;0,0,('[19]Calculo ISR '!$CI$34)*-1)</f>
        <v>0</v>
      </c>
      <c r="Z37" s="26">
        <f t="shared" si="5"/>
        <v>5659.4144959999994</v>
      </c>
      <c r="AA37" s="26">
        <f t="shared" si="6"/>
        <v>325.92</v>
      </c>
      <c r="AB37" s="115"/>
      <c r="AC37" s="116"/>
      <c r="AD37" s="114"/>
    </row>
    <row r="38" spans="1:33" s="57" customFormat="1" ht="30" customHeight="1" thickBot="1">
      <c r="A38" s="86"/>
      <c r="B38" s="38" t="s">
        <v>74</v>
      </c>
      <c r="C38" s="39">
        <f t="shared" ref="C38:Z38" si="12">SUM(C10:C37)</f>
        <v>304</v>
      </c>
      <c r="D38" s="39">
        <f t="shared" si="12"/>
        <v>60</v>
      </c>
      <c r="E38" s="40">
        <f t="shared" si="12"/>
        <v>8845.1999999999953</v>
      </c>
      <c r="F38" s="117">
        <f t="shared" si="12"/>
        <v>10084.199999999995</v>
      </c>
      <c r="G38" s="40">
        <f t="shared" si="12"/>
        <v>96033.60000000002</v>
      </c>
      <c r="H38" s="40">
        <f t="shared" si="12"/>
        <v>21609</v>
      </c>
      <c r="I38" s="40">
        <f t="shared" si="12"/>
        <v>117642.6</v>
      </c>
      <c r="J38" s="40">
        <f t="shared" si="12"/>
        <v>8473.9199999999983</v>
      </c>
      <c r="K38" s="40">
        <f t="shared" si="12"/>
        <v>3663.1999999999994</v>
      </c>
      <c r="L38" s="40">
        <f t="shared" si="12"/>
        <v>789</v>
      </c>
      <c r="M38" s="40">
        <f t="shared" si="12"/>
        <v>1838.6399999999999</v>
      </c>
      <c r="N38" s="131">
        <f>SUM(N10:N37)</f>
        <v>22500</v>
      </c>
      <c r="O38" s="40">
        <f t="shared" si="12"/>
        <v>351.28800000000001</v>
      </c>
      <c r="P38" s="40">
        <f t="shared" si="12"/>
        <v>50472</v>
      </c>
      <c r="Q38" s="40">
        <f t="shared" si="12"/>
        <v>205730.64799999999</v>
      </c>
      <c r="R38" s="40">
        <f t="shared" si="12"/>
        <v>30671.950417599994</v>
      </c>
      <c r="S38" s="40">
        <f t="shared" si="12"/>
        <v>12352.472999999994</v>
      </c>
      <c r="T38" s="40">
        <f>SUM(T10:T37)</f>
        <v>6766</v>
      </c>
      <c r="U38" s="40">
        <f t="shared" si="12"/>
        <v>813.14099999999996</v>
      </c>
      <c r="V38" s="40">
        <f t="shared" si="12"/>
        <v>0</v>
      </c>
      <c r="W38" s="118">
        <f t="shared" si="12"/>
        <v>315.89999999999998</v>
      </c>
      <c r="X38" s="40">
        <f t="shared" si="12"/>
        <v>50919.4644176</v>
      </c>
      <c r="Y38" s="40">
        <f t="shared" si="12"/>
        <v>615.40756799999997</v>
      </c>
      <c r="Z38" s="40">
        <f t="shared" si="12"/>
        <v>146952.67115040004</v>
      </c>
      <c r="AA38" s="40">
        <f>SUM(AA9:AA37)</f>
        <v>8473.9199999999983</v>
      </c>
      <c r="AB38" s="41"/>
      <c r="AC38" s="42"/>
      <c r="AD38" s="119"/>
      <c r="AE38" s="120"/>
    </row>
    <row r="39" spans="1:33" s="91" customFormat="1" ht="9" customHeight="1">
      <c r="A39" s="121"/>
      <c r="B39" s="60">
        <v>28</v>
      </c>
      <c r="C39" s="123"/>
      <c r="D39" s="123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124"/>
      <c r="AC39" s="90"/>
      <c r="AD39" s="125"/>
    </row>
    <row r="40" spans="1:33" s="91" customFormat="1" ht="9" customHeight="1">
      <c r="A40" s="121"/>
      <c r="B40" s="122"/>
      <c r="C40" s="123"/>
      <c r="D40" s="123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124"/>
      <c r="AC40" s="90"/>
      <c r="AD40" s="90"/>
    </row>
    <row r="41" spans="1:33" s="2" customFormat="1" ht="15" customHeight="1">
      <c r="A41" s="69"/>
      <c r="C41" s="48" t="s">
        <v>75</v>
      </c>
      <c r="D41" s="1"/>
      <c r="E41" s="1"/>
      <c r="F41" s="1"/>
      <c r="G41" s="1"/>
      <c r="H41" s="1"/>
      <c r="I41" s="64"/>
      <c r="K41" s="66" t="s">
        <v>76</v>
      </c>
      <c r="L41" s="66"/>
      <c r="M41" s="66"/>
      <c r="N41" s="66"/>
      <c r="O41" s="66"/>
      <c r="P41" s="66"/>
      <c r="Q41" s="1" t="s">
        <v>136</v>
      </c>
      <c r="R41" s="49"/>
      <c r="S41" s="50"/>
      <c r="T41" s="1"/>
      <c r="U41" s="1"/>
      <c r="V41" s="1"/>
      <c r="W41" s="1"/>
      <c r="Y41" s="1"/>
      <c r="Z41" s="1"/>
      <c r="AA41" s="1"/>
      <c r="AB41" s="1"/>
      <c r="AD41" s="42"/>
      <c r="AG41" s="1"/>
    </row>
    <row r="42" spans="1:33" s="2" customFormat="1" hidden="1">
      <c r="A42" s="69"/>
      <c r="B42" s="1"/>
      <c r="C42" s="1"/>
      <c r="D42" s="1"/>
      <c r="E42" s="1"/>
      <c r="F42" s="1"/>
      <c r="G42" s="126"/>
      <c r="H42" s="1"/>
      <c r="K42" s="1"/>
      <c r="L42" s="1"/>
      <c r="M42" s="1"/>
      <c r="N42" s="1"/>
      <c r="O42" s="1"/>
      <c r="P42" s="1"/>
      <c r="Q42" s="51"/>
      <c r="R42" s="51"/>
      <c r="S42" s="51"/>
      <c r="T42" s="1"/>
      <c r="U42" s="1"/>
      <c r="V42" s="1"/>
      <c r="W42" s="1"/>
      <c r="X42" s="1"/>
      <c r="Y42" s="1"/>
      <c r="Z42" s="1"/>
      <c r="AA42" s="1"/>
      <c r="AB42" s="1"/>
      <c r="AD42" s="42"/>
      <c r="AG42" s="1"/>
    </row>
    <row r="43" spans="1:33" s="2" customFormat="1" hidden="1">
      <c r="A43" s="69"/>
      <c r="B43" s="1"/>
      <c r="C43" s="1"/>
      <c r="D43" s="1"/>
      <c r="E43" s="1"/>
      <c r="F43" s="1"/>
      <c r="G43" s="1"/>
      <c r="H43" s="1"/>
      <c r="K43" s="1"/>
      <c r="L43" s="1"/>
      <c r="M43" s="1"/>
      <c r="N43" s="1"/>
      <c r="O43" s="1"/>
      <c r="Q43" s="51"/>
      <c r="R43" s="51"/>
      <c r="S43" s="51"/>
      <c r="T43" s="1"/>
      <c r="U43" s="1"/>
      <c r="V43" s="1"/>
      <c r="W43" s="1"/>
      <c r="X43" s="1"/>
      <c r="Y43" s="1"/>
      <c r="Z43" s="1"/>
      <c r="AA43" s="1"/>
      <c r="AB43" s="1"/>
      <c r="AD43" s="42"/>
      <c r="AG43" s="1"/>
    </row>
    <row r="44" spans="1:33" s="2" customFormat="1" hidden="1">
      <c r="A44" s="69"/>
      <c r="B44" s="1"/>
      <c r="C44" s="1"/>
      <c r="D44" s="1"/>
      <c r="E44" s="1"/>
      <c r="F44" s="1"/>
      <c r="G44" s="1"/>
      <c r="H44" s="1"/>
      <c r="K44" s="1"/>
      <c r="L44" s="1"/>
      <c r="M44" s="1"/>
      <c r="N44" s="1"/>
      <c r="O44" s="1"/>
      <c r="P44" s="1"/>
      <c r="Q44" s="52"/>
      <c r="R44" s="52"/>
      <c r="S44" s="52"/>
      <c r="T44" s="1"/>
      <c r="U44" s="3"/>
      <c r="V44" s="1"/>
      <c r="W44" s="1"/>
      <c r="X44" s="1"/>
      <c r="Y44" s="1"/>
      <c r="Z44" s="1"/>
      <c r="AA44" s="1"/>
      <c r="AB44" s="1"/>
      <c r="AG44" s="1"/>
    </row>
    <row r="45" spans="1:33" s="2" customFormat="1">
      <c r="A45" s="69"/>
      <c r="B45" s="48" t="s">
        <v>133</v>
      </c>
      <c r="C45" s="1"/>
      <c r="D45" s="1"/>
      <c r="E45" s="1"/>
      <c r="F45" s="1"/>
      <c r="G45" s="1"/>
      <c r="H45" s="1"/>
      <c r="I45" s="42"/>
      <c r="J45" s="53" t="s">
        <v>79</v>
      </c>
      <c r="L45" s="53"/>
      <c r="M45" s="53"/>
      <c r="N45" s="53"/>
      <c r="O45" s="53"/>
      <c r="P45" s="53" t="s">
        <v>134</v>
      </c>
      <c r="Q45" s="53"/>
      <c r="R45" s="52"/>
      <c r="S45" s="49"/>
      <c r="T45" s="1"/>
      <c r="U45" s="1"/>
      <c r="V45" s="1"/>
      <c r="X45" s="53"/>
      <c r="Y45" s="53"/>
      <c r="Z45" s="53"/>
      <c r="AA45" s="53"/>
      <c r="AB45" s="1"/>
      <c r="AG45" s="1"/>
    </row>
    <row r="46" spans="1:33" ht="12.75" customHeight="1">
      <c r="B46" s="54" t="s">
        <v>135</v>
      </c>
      <c r="J46" s="53" t="s">
        <v>82</v>
      </c>
      <c r="L46" s="53"/>
      <c r="M46" s="53"/>
      <c r="N46" s="53"/>
      <c r="O46" s="53"/>
      <c r="P46" s="53" t="s">
        <v>83</v>
      </c>
      <c r="Q46" s="53"/>
      <c r="R46" s="53"/>
      <c r="S46" s="52"/>
      <c r="X46" s="53"/>
      <c r="Y46" s="53"/>
      <c r="Z46" s="53"/>
      <c r="AA46" s="53"/>
      <c r="AC46" s="3"/>
    </row>
    <row r="47" spans="1:33">
      <c r="AC47" s="3"/>
    </row>
    <row r="48" spans="1:33">
      <c r="T48" s="3"/>
      <c r="AC48" s="3"/>
    </row>
    <row r="49" spans="1:29">
      <c r="AC49" s="3"/>
    </row>
    <row r="50" spans="1:29">
      <c r="AC50" s="3"/>
    </row>
    <row r="51" spans="1:29">
      <c r="Q51" s="6"/>
      <c r="AC51" s="3"/>
    </row>
    <row r="52" spans="1:29">
      <c r="AC52" s="3"/>
    </row>
    <row r="53" spans="1:29">
      <c r="AC53" s="3"/>
    </row>
    <row r="54" spans="1:29" s="56" customFormat="1">
      <c r="A54" s="6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9" s="56" customFormat="1">
      <c r="A55" s="6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9" s="57" customFormat="1">
      <c r="A56" s="6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9" s="57" customFormat="1">
      <c r="A57" s="6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9" s="57" customFormat="1">
      <c r="A58" s="6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9" s="57" customFormat="1">
      <c r="A59" s="6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9" s="57" customFormat="1">
      <c r="A60" s="6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9" s="57" customFormat="1">
      <c r="A61" s="6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6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9" s="57" customFormat="1">
      <c r="A62" s="6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9" s="57" customFormat="1">
      <c r="A63" s="6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9" s="57" customFormat="1">
      <c r="A64" s="6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57" customFormat="1">
      <c r="A65" s="6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7" spans="1:28">
      <c r="U67" s="3"/>
    </row>
  </sheetData>
  <mergeCells count="26">
    <mergeCell ref="AB27:AC27"/>
    <mergeCell ref="AB28:AC28"/>
    <mergeCell ref="AB21:AC21"/>
    <mergeCell ref="AB22:AC22"/>
    <mergeCell ref="AB23:AC23"/>
    <mergeCell ref="AB24:AC24"/>
    <mergeCell ref="AB25:AC25"/>
    <mergeCell ref="AB26:AC26"/>
    <mergeCell ref="AB20:AC20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18:AC18"/>
    <mergeCell ref="AB19:AC19"/>
    <mergeCell ref="Y8:AA8"/>
    <mergeCell ref="A8:A9"/>
    <mergeCell ref="B8:B9"/>
    <mergeCell ref="C8:I8"/>
    <mergeCell ref="J8:Q8"/>
    <mergeCell ref="R8:X8"/>
  </mergeCells>
  <pageMargins left="0.86614173228346458" right="0.19685039370078741" top="0.15748031496062992" bottom="0.15748031496062992" header="0.31496062992125984" footer="0.31496062992125984"/>
  <pageSetup paperSize="5" scale="5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3399"/>
  </sheetPr>
  <dimension ref="A2:AF67"/>
  <sheetViews>
    <sheetView topLeftCell="A3" zoomScale="80" zoomScaleNormal="80" zoomScaleSheetLayoutView="100" workbookViewId="0">
      <pane xSplit="2" ySplit="7" topLeftCell="C37" activePane="bottomRight" state="frozen"/>
      <selection activeCell="A3" sqref="A3"/>
      <selection pane="topRight" activeCell="C3" sqref="C3"/>
      <selection pane="bottomLeft" activeCell="A10" sqref="A10"/>
      <selection pane="bottomRight" activeCell="G53" sqref="G53"/>
    </sheetView>
  </sheetViews>
  <sheetFormatPr baseColWidth="10" defaultRowHeight="12.75"/>
  <cols>
    <col min="1" max="1" width="12.28515625" style="69" customWidth="1"/>
    <col min="2" max="2" width="19.85546875" style="1" customWidth="1"/>
    <col min="3" max="3" width="8" style="1" customWidth="1"/>
    <col min="4" max="4" width="8.140625" style="1" customWidth="1"/>
    <col min="5" max="6" width="11.28515625" style="1" customWidth="1"/>
    <col min="7" max="7" width="11.140625" style="1" customWidth="1"/>
    <col min="8" max="8" width="10.85546875" style="1" customWidth="1"/>
    <col min="9" max="9" width="12.5703125" style="1" customWidth="1"/>
    <col min="10" max="10" width="10.5703125" style="1" customWidth="1"/>
    <col min="11" max="11" width="10.7109375" style="1" customWidth="1"/>
    <col min="12" max="12" width="10.42578125" style="1" customWidth="1"/>
    <col min="13" max="13" width="9.85546875" style="1" customWidth="1"/>
    <col min="14" max="14" width="8.5703125" style="1" customWidth="1"/>
    <col min="15" max="15" width="6.85546875" style="1" customWidth="1"/>
    <col min="16" max="16" width="13.7109375" style="1" customWidth="1"/>
    <col min="17" max="17" width="11" style="1" hidden="1" customWidth="1"/>
    <col min="18" max="18" width="11.140625" style="1" hidden="1" customWidth="1"/>
    <col min="19" max="19" width="9.85546875" style="1" hidden="1" customWidth="1"/>
    <col min="20" max="20" width="8.5703125" style="1" hidden="1" customWidth="1"/>
    <col min="21" max="21" width="4.140625" style="1" hidden="1" customWidth="1"/>
    <col min="22" max="22" width="8.7109375" style="1" hidden="1" customWidth="1"/>
    <col min="23" max="23" width="15.85546875" style="1" customWidth="1"/>
    <col min="24" max="24" width="9.140625" style="1" customWidth="1"/>
    <col min="25" max="25" width="12.42578125" style="1" customWidth="1"/>
    <col min="26" max="26" width="12" style="1" hidden="1" customWidth="1"/>
    <col min="27" max="27" width="20.140625" style="1" hidden="1" customWidth="1"/>
    <col min="28" max="28" width="12.28515625" style="1" hidden="1" customWidth="1"/>
    <col min="29" max="16384" width="11.42578125" style="1"/>
  </cols>
  <sheetData>
    <row r="2" spans="1:28">
      <c r="B2" s="2" t="s">
        <v>0</v>
      </c>
    </row>
    <row r="3" spans="1:28" s="91" customFormat="1">
      <c r="A3" s="92"/>
    </row>
    <row r="4" spans="1:28" s="91" customFormat="1">
      <c r="A4" s="92"/>
    </row>
    <row r="5" spans="1:28" s="91" customFormat="1">
      <c r="A5" s="92"/>
      <c r="F5" s="65"/>
      <c r="G5" s="65"/>
      <c r="H5" s="65"/>
      <c r="I5" s="65"/>
      <c r="J5" s="65"/>
      <c r="K5" s="65"/>
      <c r="L5" s="65"/>
      <c r="M5" s="65"/>
      <c r="N5" s="65"/>
      <c r="O5" s="65"/>
      <c r="P5" s="90"/>
      <c r="T5" s="65"/>
      <c r="U5" s="65"/>
      <c r="V5" s="65"/>
    </row>
    <row r="6" spans="1:28" s="91" customFormat="1">
      <c r="A6" s="92"/>
      <c r="E6" s="4">
        <v>26.08</v>
      </c>
      <c r="F6" s="4"/>
      <c r="G6" s="4"/>
      <c r="H6" s="4"/>
      <c r="I6" s="4">
        <v>12.05</v>
      </c>
      <c r="J6" s="4"/>
      <c r="K6" s="65"/>
      <c r="L6" s="65"/>
      <c r="M6" s="65"/>
      <c r="N6" s="65"/>
      <c r="O6" s="128">
        <v>0.105</v>
      </c>
      <c r="T6" s="65"/>
      <c r="U6" s="5">
        <v>0.01</v>
      </c>
      <c r="V6" s="65"/>
    </row>
    <row r="7" spans="1:28" s="91" customFormat="1" ht="13.5" thickBot="1">
      <c r="A7" s="85" t="s">
        <v>0</v>
      </c>
      <c r="E7" s="4">
        <v>26.08</v>
      </c>
      <c r="F7" s="4"/>
      <c r="G7" s="4"/>
      <c r="H7" s="4"/>
      <c r="I7" s="7">
        <v>0.02</v>
      </c>
      <c r="J7" s="8">
        <v>0.04</v>
      </c>
      <c r="K7" s="129">
        <v>0.06</v>
      </c>
      <c r="L7" s="130">
        <v>13.15</v>
      </c>
      <c r="M7" s="6" t="s">
        <v>170</v>
      </c>
      <c r="N7" s="65"/>
      <c r="O7" s="65"/>
    </row>
    <row r="8" spans="1:28" ht="15.75" customHeight="1" thickBot="1">
      <c r="A8" s="199" t="s">
        <v>2</v>
      </c>
      <c r="B8" s="201" t="s">
        <v>3</v>
      </c>
      <c r="C8" s="203" t="s">
        <v>4</v>
      </c>
      <c r="D8" s="204"/>
      <c r="E8" s="204"/>
      <c r="F8" s="204"/>
      <c r="G8" s="204"/>
      <c r="H8" s="204"/>
      <c r="I8" s="205"/>
      <c r="J8" s="206" t="s">
        <v>5</v>
      </c>
      <c r="K8" s="207"/>
      <c r="L8" s="207"/>
      <c r="M8" s="208"/>
      <c r="N8" s="208"/>
      <c r="O8" s="208"/>
      <c r="P8" s="209"/>
      <c r="Q8" s="210" t="s">
        <v>6</v>
      </c>
      <c r="R8" s="211"/>
      <c r="S8" s="211"/>
      <c r="T8" s="211"/>
      <c r="U8" s="211"/>
      <c r="V8" s="211"/>
      <c r="W8" s="211"/>
      <c r="X8" s="198" t="s">
        <v>7</v>
      </c>
      <c r="Y8" s="198"/>
      <c r="Z8" s="198"/>
      <c r="AA8" s="95"/>
      <c r="AB8" s="95"/>
    </row>
    <row r="9" spans="1:28" s="20" customFormat="1" ht="75" customHeight="1">
      <c r="A9" s="200"/>
      <c r="B9" s="202"/>
      <c r="C9" s="96" t="s">
        <v>117</v>
      </c>
      <c r="D9" s="96" t="s">
        <v>118</v>
      </c>
      <c r="E9" s="96" t="s">
        <v>119</v>
      </c>
      <c r="F9" s="96" t="s">
        <v>120</v>
      </c>
      <c r="G9" s="96" t="s">
        <v>91</v>
      </c>
      <c r="H9" s="96" t="s">
        <v>92</v>
      </c>
      <c r="I9" s="96" t="s">
        <v>10</v>
      </c>
      <c r="J9" s="97" t="s">
        <v>121</v>
      </c>
      <c r="K9" s="97" t="s">
        <v>122</v>
      </c>
      <c r="L9" s="98" t="s">
        <v>123</v>
      </c>
      <c r="M9" s="99" t="s">
        <v>13</v>
      </c>
      <c r="N9" s="99" t="s">
        <v>14</v>
      </c>
      <c r="O9" s="14" t="s">
        <v>139</v>
      </c>
      <c r="P9" s="99" t="s">
        <v>16</v>
      </c>
      <c r="Q9" s="101" t="s">
        <v>17</v>
      </c>
      <c r="R9" s="102" t="s">
        <v>18</v>
      </c>
      <c r="S9" s="102" t="s">
        <v>19</v>
      </c>
      <c r="T9" s="102" t="s">
        <v>20</v>
      </c>
      <c r="U9" s="103" t="s">
        <v>21</v>
      </c>
      <c r="V9" s="103" t="s">
        <v>22</v>
      </c>
      <c r="W9" s="102" t="s">
        <v>23</v>
      </c>
      <c r="X9" s="104" t="s">
        <v>24</v>
      </c>
      <c r="Y9" s="105" t="s">
        <v>25</v>
      </c>
      <c r="Z9" s="106" t="s">
        <v>26</v>
      </c>
      <c r="AA9" s="214" t="s">
        <v>27</v>
      </c>
      <c r="AB9" s="214"/>
    </row>
    <row r="10" spans="1:28" s="111" customFormat="1" ht="45" customHeight="1">
      <c r="A10" s="21" t="s">
        <v>32</v>
      </c>
      <c r="B10" s="33" t="s">
        <v>99</v>
      </c>
      <c r="C10" s="107">
        <v>10</v>
      </c>
      <c r="D10" s="107">
        <v>0</v>
      </c>
      <c r="E10" s="108">
        <v>315.89999999999998</v>
      </c>
      <c r="F10" s="108">
        <v>360.15</v>
      </c>
      <c r="G10" s="108">
        <f t="shared" ref="G10:H30" si="0">C10*E10</f>
        <v>3159</v>
      </c>
      <c r="H10" s="108">
        <f t="shared" si="0"/>
        <v>0</v>
      </c>
      <c r="I10" s="26">
        <f t="shared" ref="I10:I37" si="1">G10+H10</f>
        <v>3159</v>
      </c>
      <c r="J10" s="26">
        <f>(C10+D10)*23.28</f>
        <v>232.8</v>
      </c>
      <c r="K10" s="26">
        <f>C10*I$6</f>
        <v>120.5</v>
      </c>
      <c r="L10" s="26">
        <f t="shared" ref="L10:L37" si="2">D10*L$7</f>
        <v>0</v>
      </c>
      <c r="M10" s="26"/>
      <c r="N10" s="26">
        <f>I10*J7</f>
        <v>126.36</v>
      </c>
      <c r="O10" s="26">
        <v>0</v>
      </c>
      <c r="P10" s="26">
        <f>SUM(I10:O10)</f>
        <v>3638.6600000000003</v>
      </c>
      <c r="Q10" s="109">
        <f>IF('[23]Calculo ISR '!$BF$34&lt;0,0,'[23]Calculo ISR '!$BF$34)</f>
        <v>141.37447999999998</v>
      </c>
      <c r="R10" s="110">
        <f>I10*O6</f>
        <v>331.69499999999999</v>
      </c>
      <c r="S10" s="110">
        <v>0</v>
      </c>
      <c r="T10" s="110">
        <f>I10*U6</f>
        <v>31.59</v>
      </c>
      <c r="U10" s="110">
        <f>'[23]HT-DOCENTE'!R11</f>
        <v>0</v>
      </c>
      <c r="V10" s="110"/>
      <c r="W10" s="26">
        <f>Q10+R10+S10+T10+V10+U10</f>
        <v>504.65947999999997</v>
      </c>
      <c r="X10" s="110">
        <f>IF('[23]Calculo ISR '!$BF$34&gt;0,0,('[23]Calculo ISR '!$BF$34)*-1)</f>
        <v>0</v>
      </c>
      <c r="Y10" s="26">
        <f t="shared" ref="Y10:Y37" si="3">P10-W10-J10+X10</f>
        <v>2901.2005200000003</v>
      </c>
      <c r="Z10" s="26">
        <f>J10</f>
        <v>232.8</v>
      </c>
      <c r="AA10" s="212"/>
      <c r="AB10" s="213"/>
    </row>
    <row r="11" spans="1:28" s="111" customFormat="1" ht="45" customHeight="1">
      <c r="A11" s="21" t="s">
        <v>34</v>
      </c>
      <c r="B11" s="33" t="s">
        <v>35</v>
      </c>
      <c r="C11" s="107">
        <v>12</v>
      </c>
      <c r="D11" s="107">
        <v>7.5</v>
      </c>
      <c r="E11" s="108">
        <v>315.89999999999998</v>
      </c>
      <c r="F11" s="108">
        <v>360.15</v>
      </c>
      <c r="G11" s="108">
        <f t="shared" si="0"/>
        <v>3790.7999999999997</v>
      </c>
      <c r="H11" s="108">
        <f>D11*F11</f>
        <v>2701.125</v>
      </c>
      <c r="I11" s="26">
        <f t="shared" si="1"/>
        <v>6491.9249999999993</v>
      </c>
      <c r="J11" s="26">
        <f>(C11+D11)*23.28</f>
        <v>453.96000000000004</v>
      </c>
      <c r="K11" s="26">
        <f t="shared" ref="K11:K37" si="4">C11*I$6</f>
        <v>144.60000000000002</v>
      </c>
      <c r="L11" s="26">
        <f t="shared" si="2"/>
        <v>98.625</v>
      </c>
      <c r="M11" s="26"/>
      <c r="N11" s="26">
        <f>I11*I7</f>
        <v>129.83849999999998</v>
      </c>
      <c r="O11" s="26">
        <f>'[23]HT-DOCENTE'!J12</f>
        <v>0</v>
      </c>
      <c r="P11" s="26">
        <f>SUM(I11:O11)</f>
        <v>7318.9484999999995</v>
      </c>
      <c r="Q11" s="109">
        <f>IF('[23]Calculo ISR '!$BG$34&lt;0,0,'[23]Calculo ISR '!$BG$34)</f>
        <v>919.17236759999992</v>
      </c>
      <c r="R11" s="110">
        <f>I11*O6</f>
        <v>681.65212499999984</v>
      </c>
      <c r="S11" s="110">
        <f>'[23]HT-DOCENTE'!P12</f>
        <v>0</v>
      </c>
      <c r="T11" s="110">
        <f>I11*U6</f>
        <v>64.919249999999991</v>
      </c>
      <c r="U11" s="110">
        <f>'[23]HT-DOCENTE'!R12</f>
        <v>0</v>
      </c>
      <c r="V11" s="110"/>
      <c r="W11" s="26">
        <f t="shared" ref="W11:W21" si="5">Q11+R11+S11+T11+V11+U11</f>
        <v>1665.7437425999997</v>
      </c>
      <c r="X11" s="110">
        <f>IF('[23]Calculo ISR '!$BG$34&gt;0,0,('[23]Calculo ISR '!$BG$34)*-1)</f>
        <v>0</v>
      </c>
      <c r="Y11" s="26">
        <f t="shared" si="3"/>
        <v>5199.2447573999998</v>
      </c>
      <c r="Z11" s="26">
        <f t="shared" ref="Z11:Z37" si="6">J11</f>
        <v>453.96000000000004</v>
      </c>
      <c r="AA11" s="212"/>
      <c r="AB11" s="213"/>
    </row>
    <row r="12" spans="1:28" s="111" customFormat="1" ht="45" customHeight="1">
      <c r="A12" s="21" t="s">
        <v>36</v>
      </c>
      <c r="B12" s="33" t="s">
        <v>37</v>
      </c>
      <c r="C12" s="107">
        <v>6.5</v>
      </c>
      <c r="D12" s="107">
        <v>7.5</v>
      </c>
      <c r="E12" s="108">
        <v>315.89999999999998</v>
      </c>
      <c r="F12" s="108">
        <v>360.15</v>
      </c>
      <c r="G12" s="108">
        <f t="shared" si="0"/>
        <v>2053.35</v>
      </c>
      <c r="H12" s="108">
        <f t="shared" si="0"/>
        <v>2701.125</v>
      </c>
      <c r="I12" s="26">
        <f t="shared" si="1"/>
        <v>4754.4750000000004</v>
      </c>
      <c r="J12" s="26">
        <f>(C12+D12)*23.28</f>
        <v>325.92</v>
      </c>
      <c r="K12" s="26">
        <f t="shared" si="4"/>
        <v>78.325000000000003</v>
      </c>
      <c r="L12" s="26">
        <f t="shared" si="2"/>
        <v>98.625</v>
      </c>
      <c r="M12" s="26">
        <f>(C12+D12)*E7</f>
        <v>365.12</v>
      </c>
      <c r="N12" s="26">
        <f>I12*I7</f>
        <v>95.089500000000015</v>
      </c>
      <c r="O12" s="26">
        <v>0</v>
      </c>
      <c r="P12" s="26">
        <f t="shared" ref="P12:P37" si="7">SUM(I12:O12)</f>
        <v>5717.5545000000002</v>
      </c>
      <c r="Q12" s="109">
        <f>IF('[23]Calculo ISR '!$BH$34&lt;0,0,'[23]Calculo ISR '!$BH$34)</f>
        <v>604.46395320000011</v>
      </c>
      <c r="R12" s="110">
        <f>I12*O6</f>
        <v>499.219875</v>
      </c>
      <c r="S12" s="110">
        <v>1431</v>
      </c>
      <c r="T12" s="110">
        <f>I12*U6</f>
        <v>47.544750000000008</v>
      </c>
      <c r="U12" s="110">
        <f>'[23]HT-DOCENTE'!R13</f>
        <v>0</v>
      </c>
      <c r="V12" s="110"/>
      <c r="W12" s="26">
        <f t="shared" si="5"/>
        <v>2582.2285781999999</v>
      </c>
      <c r="X12" s="110">
        <f>IF('[23]Calculo ISR '!$BH$34&gt;0,0,('[23]Calculo ISR '!$BH$34)*-1)</f>
        <v>0</v>
      </c>
      <c r="Y12" s="26">
        <f t="shared" si="3"/>
        <v>2809.4059218000002</v>
      </c>
      <c r="Z12" s="26">
        <f t="shared" si="6"/>
        <v>325.92</v>
      </c>
      <c r="AA12" s="212"/>
      <c r="AB12" s="213"/>
    </row>
    <row r="13" spans="1:28" s="111" customFormat="1" ht="45" customHeight="1">
      <c r="A13" s="21" t="s">
        <v>38</v>
      </c>
      <c r="B13" s="33" t="s">
        <v>39</v>
      </c>
      <c r="C13" s="107">
        <v>11.5</v>
      </c>
      <c r="D13" s="107">
        <v>7.5</v>
      </c>
      <c r="E13" s="108">
        <v>315.89999999999998</v>
      </c>
      <c r="F13" s="108">
        <v>360.15</v>
      </c>
      <c r="G13" s="108">
        <f t="shared" si="0"/>
        <v>3632.85</v>
      </c>
      <c r="H13" s="108">
        <f t="shared" si="0"/>
        <v>2701.125</v>
      </c>
      <c r="I13" s="26">
        <f t="shared" si="1"/>
        <v>6333.9750000000004</v>
      </c>
      <c r="J13" s="26">
        <f t="shared" ref="J13:J37" si="8">(C13+D13)*23.28</f>
        <v>442.32000000000005</v>
      </c>
      <c r="K13" s="26">
        <f t="shared" si="4"/>
        <v>138.57500000000002</v>
      </c>
      <c r="L13" s="26">
        <f t="shared" si="2"/>
        <v>98.625</v>
      </c>
      <c r="M13" s="26">
        <f>(C13+D13)*E7</f>
        <v>495.52</v>
      </c>
      <c r="N13" s="26"/>
      <c r="O13" s="26">
        <v>0</v>
      </c>
      <c r="P13" s="26">
        <f t="shared" si="7"/>
        <v>7509.0149999999994</v>
      </c>
      <c r="Q13" s="109">
        <f>IF('[23]Calculo ISR '!$BI$34&lt;0,0,'[23]Calculo ISR '!$BI$34)</f>
        <v>962.25687600000003</v>
      </c>
      <c r="R13" s="110">
        <f>I13*O6</f>
        <v>665.06737499999997</v>
      </c>
      <c r="S13" s="110">
        <v>1655</v>
      </c>
      <c r="T13" s="110">
        <f>I13*U6</f>
        <v>63.339750000000002</v>
      </c>
      <c r="U13" s="110">
        <f>'[23]HT-DOCENTE'!R14</f>
        <v>0</v>
      </c>
      <c r="V13" s="110"/>
      <c r="W13" s="26">
        <f t="shared" si="5"/>
        <v>3345.6640010000001</v>
      </c>
      <c r="X13" s="110">
        <f>IF('[23]Calculo ISR '!$BI$34&gt;0,0,('[23]Calculo ISR '!$BI$34)*-1)</f>
        <v>0</v>
      </c>
      <c r="Y13" s="26">
        <f t="shared" si="3"/>
        <v>3721.0309989999992</v>
      </c>
      <c r="Z13" s="26">
        <f t="shared" si="6"/>
        <v>442.32000000000005</v>
      </c>
      <c r="AA13" s="212"/>
      <c r="AB13" s="213"/>
    </row>
    <row r="14" spans="1:28" s="111" customFormat="1" ht="45" customHeight="1">
      <c r="A14" s="21" t="s">
        <v>40</v>
      </c>
      <c r="B14" s="33" t="s">
        <v>41</v>
      </c>
      <c r="C14" s="107">
        <v>18.5</v>
      </c>
      <c r="D14" s="107">
        <v>0</v>
      </c>
      <c r="E14" s="108">
        <v>315.89999999999998</v>
      </c>
      <c r="F14" s="108">
        <v>360.15</v>
      </c>
      <c r="G14" s="108">
        <f t="shared" si="0"/>
        <v>5844.15</v>
      </c>
      <c r="H14" s="108">
        <f t="shared" si="0"/>
        <v>0</v>
      </c>
      <c r="I14" s="26">
        <f t="shared" si="1"/>
        <v>5844.15</v>
      </c>
      <c r="J14" s="26">
        <f t="shared" si="8"/>
        <v>430.68</v>
      </c>
      <c r="K14" s="26">
        <f t="shared" si="4"/>
        <v>222.92500000000001</v>
      </c>
      <c r="L14" s="26">
        <f t="shared" si="2"/>
        <v>0</v>
      </c>
      <c r="M14" s="26">
        <f>(C14+D14)*E7</f>
        <v>482.47999999999996</v>
      </c>
      <c r="N14" s="26"/>
      <c r="O14" s="26">
        <f>'[23]HT-DOCENTE'!J15</f>
        <v>0</v>
      </c>
      <c r="P14" s="26">
        <f t="shared" si="7"/>
        <v>6980.2349999999997</v>
      </c>
      <c r="Q14" s="109">
        <f>IF('[23]Calculo ISR '!$BJ$34&lt;0,0,'[23]Calculo ISR '!$BJ$34)</f>
        <v>851.79577199999994</v>
      </c>
      <c r="R14" s="110">
        <f>I14*O6</f>
        <v>613.63574999999992</v>
      </c>
      <c r="S14" s="110">
        <f>'[23]HT-DOCENTE'!P15</f>
        <v>0</v>
      </c>
      <c r="T14" s="110">
        <f>I14*U6</f>
        <v>58.441499999999998</v>
      </c>
      <c r="U14" s="110">
        <v>0</v>
      </c>
      <c r="V14" s="110"/>
      <c r="W14" s="26">
        <f t="shared" si="5"/>
        <v>1523.8730219999998</v>
      </c>
      <c r="X14" s="110">
        <f>IF('[23]Calculo ISR '!$BJ$34&gt;0,0,('[23]Calculo ISR '!$BJ$34)*-1)</f>
        <v>0</v>
      </c>
      <c r="Y14" s="26">
        <f t="shared" si="3"/>
        <v>5025.6819779999996</v>
      </c>
      <c r="Z14" s="26">
        <f t="shared" si="6"/>
        <v>430.68</v>
      </c>
      <c r="AA14" s="212"/>
      <c r="AB14" s="213"/>
    </row>
    <row r="15" spans="1:28" s="111" customFormat="1" ht="45" customHeight="1">
      <c r="A15" s="21" t="s">
        <v>44</v>
      </c>
      <c r="B15" s="33" t="s">
        <v>45</v>
      </c>
      <c r="C15" s="112">
        <v>9.5</v>
      </c>
      <c r="D15" s="112">
        <v>7.5</v>
      </c>
      <c r="E15" s="108">
        <v>315.89999999999998</v>
      </c>
      <c r="F15" s="108">
        <v>360.15</v>
      </c>
      <c r="G15" s="108">
        <f t="shared" si="0"/>
        <v>3001.0499999999997</v>
      </c>
      <c r="H15" s="108">
        <f t="shared" si="0"/>
        <v>2701.125</v>
      </c>
      <c r="I15" s="26">
        <f t="shared" si="1"/>
        <v>5702.1749999999993</v>
      </c>
      <c r="J15" s="26">
        <f t="shared" si="8"/>
        <v>395.76</v>
      </c>
      <c r="K15" s="26">
        <f t="shared" si="4"/>
        <v>114.47500000000001</v>
      </c>
      <c r="L15" s="26">
        <f t="shared" si="2"/>
        <v>98.625</v>
      </c>
      <c r="M15" s="26"/>
      <c r="N15" s="26"/>
      <c r="O15" s="26">
        <f>'[23]HT-DOCENTE'!J17</f>
        <v>0</v>
      </c>
      <c r="P15" s="26">
        <f t="shared" si="7"/>
        <v>6311.0349999999999</v>
      </c>
      <c r="Q15" s="109">
        <f>IF('[23]Calculo ISR '!$BL$34&lt;0,0,'[23]Calculo ISR '!$BL$34)</f>
        <v>716.31356400000004</v>
      </c>
      <c r="R15" s="110">
        <f>I15*O6</f>
        <v>598.72837499999991</v>
      </c>
      <c r="S15" s="110">
        <f>'[23]HT-DOCENTE'!P17</f>
        <v>0</v>
      </c>
      <c r="T15" s="110">
        <f>I15*U6</f>
        <v>57.021749999999997</v>
      </c>
      <c r="U15" s="110">
        <f>'[23]HT-DOCENTE'!R17</f>
        <v>0</v>
      </c>
      <c r="V15" s="110"/>
      <c r="W15" s="26">
        <f t="shared" si="5"/>
        <v>1372.0636890000001</v>
      </c>
      <c r="X15" s="110">
        <f>IF('[23]Calculo ISR '!$BL$34&gt;0,0,('[23]Calculo ISR '!$BL$34)*-1)</f>
        <v>0</v>
      </c>
      <c r="Y15" s="26">
        <f t="shared" si="3"/>
        <v>4543.2113109999991</v>
      </c>
      <c r="Z15" s="26">
        <f t="shared" si="6"/>
        <v>395.76</v>
      </c>
      <c r="AA15" s="212"/>
      <c r="AB15" s="213"/>
    </row>
    <row r="16" spans="1:28" s="111" customFormat="1" ht="45" customHeight="1">
      <c r="A16" s="21" t="s">
        <v>48</v>
      </c>
      <c r="B16" s="33" t="s">
        <v>49</v>
      </c>
      <c r="C16" s="112">
        <v>18</v>
      </c>
      <c r="D16" s="112">
        <v>0</v>
      </c>
      <c r="E16" s="108">
        <v>315.89999999999998</v>
      </c>
      <c r="F16" s="108">
        <v>360.15</v>
      </c>
      <c r="G16" s="108">
        <f t="shared" si="0"/>
        <v>5686.2</v>
      </c>
      <c r="H16" s="108">
        <f t="shared" si="0"/>
        <v>0</v>
      </c>
      <c r="I16" s="26">
        <f t="shared" si="1"/>
        <v>5686.2</v>
      </c>
      <c r="J16" s="26">
        <f t="shared" si="8"/>
        <v>419.04</v>
      </c>
      <c r="K16" s="26">
        <f t="shared" si="4"/>
        <v>216.9</v>
      </c>
      <c r="L16" s="26">
        <f t="shared" si="2"/>
        <v>0</v>
      </c>
      <c r="M16" s="26"/>
      <c r="N16" s="26"/>
      <c r="O16" s="26">
        <v>0</v>
      </c>
      <c r="P16" s="26">
        <f t="shared" si="7"/>
        <v>6322.1399999999994</v>
      </c>
      <c r="Q16" s="109">
        <f>IF('[23]Calculo ISR '!$BN$34&lt;0,0,'[23]Calculo ISR '!$BN$34)</f>
        <v>713.71298400000001</v>
      </c>
      <c r="R16" s="110">
        <f>I16*O6</f>
        <v>597.05099999999993</v>
      </c>
      <c r="S16" s="110">
        <f>'[23]HT-DOCENTE'!P19</f>
        <v>0</v>
      </c>
      <c r="T16" s="110">
        <f>I16*U6</f>
        <v>56.862000000000002</v>
      </c>
      <c r="U16" s="110">
        <f>'[23]HT-DOCENTE'!R19</f>
        <v>0</v>
      </c>
      <c r="V16" s="113">
        <f>[23]descuentos!D11</f>
        <v>0</v>
      </c>
      <c r="W16" s="26">
        <f>Q16+R16+S16+T16+V16+U16</f>
        <v>1367.625984</v>
      </c>
      <c r="X16" s="110">
        <f>IF('[23]Calculo ISR '!$BN$34&gt;0,0,('[23]Calculo ISR '!$BN$34)*-1)</f>
        <v>0</v>
      </c>
      <c r="Y16" s="26">
        <f t="shared" si="3"/>
        <v>4535.4740159999992</v>
      </c>
      <c r="Z16" s="26">
        <f t="shared" si="6"/>
        <v>419.04</v>
      </c>
      <c r="AA16" s="212"/>
      <c r="AB16" s="213"/>
    </row>
    <row r="17" spans="1:29" s="111" customFormat="1" ht="45" customHeight="1">
      <c r="A17" s="21" t="s">
        <v>50</v>
      </c>
      <c r="B17" s="33" t="s">
        <v>51</v>
      </c>
      <c r="C17" s="112">
        <v>10.5</v>
      </c>
      <c r="D17" s="112">
        <v>7.5</v>
      </c>
      <c r="E17" s="108">
        <v>315.89999999999998</v>
      </c>
      <c r="F17" s="108">
        <v>360.15</v>
      </c>
      <c r="G17" s="108">
        <f t="shared" si="0"/>
        <v>3316.95</v>
      </c>
      <c r="H17" s="108">
        <f t="shared" si="0"/>
        <v>2701.125</v>
      </c>
      <c r="I17" s="26">
        <f t="shared" si="1"/>
        <v>6018.0749999999998</v>
      </c>
      <c r="J17" s="26">
        <f t="shared" si="8"/>
        <v>419.04</v>
      </c>
      <c r="K17" s="26">
        <f t="shared" si="4"/>
        <v>126.52500000000001</v>
      </c>
      <c r="L17" s="26">
        <f t="shared" si="2"/>
        <v>98.625</v>
      </c>
      <c r="M17" s="26"/>
      <c r="N17" s="26"/>
      <c r="O17" s="26">
        <v>0</v>
      </c>
      <c r="P17" s="26">
        <f t="shared" si="7"/>
        <v>6662.2649999999994</v>
      </c>
      <c r="Q17" s="109">
        <f>IF('[23]Calculo ISR '!$BO$34&lt;0,0,'[23]Calculo ISR '!$BO$34)</f>
        <v>786.36368399999992</v>
      </c>
      <c r="R17" s="110">
        <f>I17*O6</f>
        <v>631.897875</v>
      </c>
      <c r="S17" s="110">
        <v>1570</v>
      </c>
      <c r="T17" s="110">
        <f>I17*U6</f>
        <v>60.180749999999996</v>
      </c>
      <c r="U17" s="110"/>
      <c r="V17" s="110"/>
      <c r="W17" s="26">
        <f t="shared" si="5"/>
        <v>3048.442309</v>
      </c>
      <c r="X17" s="110">
        <f>IF('[23]Calculo ISR '!$BO$34&gt;0,0,('[23]Calculo ISR '!$BO$34)*-1)</f>
        <v>0</v>
      </c>
      <c r="Y17" s="26">
        <f t="shared" si="3"/>
        <v>3194.7826909999994</v>
      </c>
      <c r="Z17" s="26">
        <f t="shared" si="6"/>
        <v>419.04</v>
      </c>
      <c r="AA17" s="212"/>
      <c r="AB17" s="213"/>
    </row>
    <row r="18" spans="1:29" s="111" customFormat="1" ht="45" customHeight="1">
      <c r="A18" s="21" t="s">
        <v>52</v>
      </c>
      <c r="B18" s="33" t="s">
        <v>53</v>
      </c>
      <c r="C18" s="112">
        <v>12</v>
      </c>
      <c r="D18" s="112">
        <v>7.5</v>
      </c>
      <c r="E18" s="108">
        <v>315.89999999999998</v>
      </c>
      <c r="F18" s="108">
        <v>360.15</v>
      </c>
      <c r="G18" s="108">
        <f t="shared" si="0"/>
        <v>3790.7999999999997</v>
      </c>
      <c r="H18" s="108">
        <f t="shared" si="0"/>
        <v>2701.125</v>
      </c>
      <c r="I18" s="26">
        <f t="shared" si="1"/>
        <v>6491.9249999999993</v>
      </c>
      <c r="J18" s="26">
        <f t="shared" si="8"/>
        <v>453.96000000000004</v>
      </c>
      <c r="K18" s="26">
        <f t="shared" si="4"/>
        <v>144.60000000000002</v>
      </c>
      <c r="L18" s="26">
        <f t="shared" si="2"/>
        <v>98.625</v>
      </c>
      <c r="M18" s="26"/>
      <c r="N18" s="26"/>
      <c r="O18" s="26">
        <v>0</v>
      </c>
      <c r="P18" s="26">
        <f t="shared" si="7"/>
        <v>7189.11</v>
      </c>
      <c r="Q18" s="109">
        <f>IF('[23]Calculo ISR '!$BP$34&lt;0,0,'[23]Calculo ISR '!$BP$34)</f>
        <v>891.43886399999997</v>
      </c>
      <c r="R18" s="110">
        <f>I18*O6</f>
        <v>681.65212499999984</v>
      </c>
      <c r="S18" s="110">
        <f>'[23]HT-DOCENTE'!P21</f>
        <v>0</v>
      </c>
      <c r="T18" s="110">
        <f>I18*U6</f>
        <v>64.919249999999991</v>
      </c>
      <c r="U18" s="110"/>
      <c r="V18" s="110"/>
      <c r="W18" s="26">
        <f t="shared" si="5"/>
        <v>1638.0102389999997</v>
      </c>
      <c r="X18" s="110">
        <f>IF('[23]Calculo ISR '!$BP$34&gt;0,0,('[23]Calculo ISR '!$BP$34)*-1)</f>
        <v>0</v>
      </c>
      <c r="Y18" s="26">
        <f t="shared" si="3"/>
        <v>5097.1397609999995</v>
      </c>
      <c r="Z18" s="26">
        <f t="shared" si="6"/>
        <v>453.96000000000004</v>
      </c>
      <c r="AA18" s="212"/>
      <c r="AB18" s="213"/>
    </row>
    <row r="19" spans="1:29" s="111" customFormat="1" ht="45" customHeight="1">
      <c r="A19" s="21" t="s">
        <v>54</v>
      </c>
      <c r="B19" s="33" t="s">
        <v>55</v>
      </c>
      <c r="C19" s="112">
        <v>11</v>
      </c>
      <c r="D19" s="112">
        <v>7.5</v>
      </c>
      <c r="E19" s="108">
        <v>315.89999999999998</v>
      </c>
      <c r="F19" s="108">
        <v>360.15</v>
      </c>
      <c r="G19" s="108">
        <f t="shared" si="0"/>
        <v>3474.8999999999996</v>
      </c>
      <c r="H19" s="108">
        <f t="shared" si="0"/>
        <v>2701.125</v>
      </c>
      <c r="I19" s="26">
        <f t="shared" si="1"/>
        <v>6176.0249999999996</v>
      </c>
      <c r="J19" s="26">
        <f t="shared" si="8"/>
        <v>430.68</v>
      </c>
      <c r="K19" s="26">
        <f t="shared" si="4"/>
        <v>132.55000000000001</v>
      </c>
      <c r="L19" s="26">
        <f t="shared" si="2"/>
        <v>98.625</v>
      </c>
      <c r="M19" s="26"/>
      <c r="N19" s="26"/>
      <c r="O19" s="26">
        <v>0</v>
      </c>
      <c r="P19" s="26">
        <f t="shared" si="7"/>
        <v>6837.88</v>
      </c>
      <c r="Q19" s="109">
        <f>IF('[23]Calculo ISR '!$BQ$34&lt;0,0,'[23]Calculo ISR '!$BQ$34)</f>
        <v>821.38874400000009</v>
      </c>
      <c r="R19" s="110">
        <f>I19*O6</f>
        <v>648.48262499999998</v>
      </c>
      <c r="S19" s="110">
        <v>1324</v>
      </c>
      <c r="T19" s="110">
        <f>I19*U6</f>
        <v>61.760249999999999</v>
      </c>
      <c r="U19" s="110">
        <f>'[23]HT-DOCENTE'!R22</f>
        <v>0</v>
      </c>
      <c r="V19" s="110"/>
      <c r="W19" s="26">
        <f t="shared" si="5"/>
        <v>2855.6316189999998</v>
      </c>
      <c r="X19" s="110">
        <f>IF('[23]Calculo ISR '!$BQ$34&gt;0,0,('[23]Calculo ISR '!$BQ$34)*-1)</f>
        <v>0</v>
      </c>
      <c r="Y19" s="26">
        <f t="shared" si="3"/>
        <v>3551.5683810000005</v>
      </c>
      <c r="Z19" s="26">
        <f t="shared" si="6"/>
        <v>430.68</v>
      </c>
      <c r="AA19" s="212"/>
      <c r="AB19" s="213"/>
    </row>
    <row r="20" spans="1:29" s="111" customFormat="1" ht="45" customHeight="1">
      <c r="A20" s="21" t="s">
        <v>56</v>
      </c>
      <c r="B20" s="33" t="s">
        <v>57</v>
      </c>
      <c r="C20" s="112">
        <v>11.5</v>
      </c>
      <c r="D20" s="112">
        <v>7.5</v>
      </c>
      <c r="E20" s="108">
        <v>315.89999999999998</v>
      </c>
      <c r="F20" s="108">
        <v>360.15</v>
      </c>
      <c r="G20" s="108">
        <f t="shared" si="0"/>
        <v>3632.85</v>
      </c>
      <c r="H20" s="108">
        <f>D20*F20</f>
        <v>2701.125</v>
      </c>
      <c r="I20" s="26">
        <f t="shared" si="1"/>
        <v>6333.9750000000004</v>
      </c>
      <c r="J20" s="26">
        <f t="shared" si="8"/>
        <v>442.32000000000005</v>
      </c>
      <c r="K20" s="26">
        <f t="shared" si="4"/>
        <v>138.57500000000002</v>
      </c>
      <c r="L20" s="26">
        <f t="shared" si="2"/>
        <v>98.625</v>
      </c>
      <c r="M20" s="26">
        <f>(C20+D20)*E7</f>
        <v>495.52</v>
      </c>
      <c r="N20" s="26"/>
      <c r="O20" s="26">
        <v>0</v>
      </c>
      <c r="P20" s="26">
        <f t="shared" si="7"/>
        <v>7509.0149999999994</v>
      </c>
      <c r="Q20" s="109">
        <f>IF('[23]Calculo ISR '!$BR$34&lt;0,0,'[23]Calculo ISR '!$BR$34)</f>
        <v>962.25687600000003</v>
      </c>
      <c r="R20" s="110">
        <f>I20*O6</f>
        <v>665.06737499999997</v>
      </c>
      <c r="S20" s="110">
        <f>'[23]HT-DOCENTE'!P23</f>
        <v>0</v>
      </c>
      <c r="T20" s="110">
        <f>I20*U6</f>
        <v>63.339750000000002</v>
      </c>
      <c r="U20" s="110">
        <f>'[23]HT-DOCENTE'!R23</f>
        <v>0</v>
      </c>
      <c r="V20" s="113"/>
      <c r="W20" s="26">
        <f t="shared" si="5"/>
        <v>1690.6640010000001</v>
      </c>
      <c r="X20" s="110">
        <f>IF('[23]Calculo ISR '!$BR$34&gt;0,0,('[23]Calculo ISR '!$BR$34)*-1)</f>
        <v>0</v>
      </c>
      <c r="Y20" s="26">
        <f t="shared" si="3"/>
        <v>5376.0309989999996</v>
      </c>
      <c r="Z20" s="26">
        <f t="shared" si="6"/>
        <v>442.32000000000005</v>
      </c>
      <c r="AA20" s="212"/>
      <c r="AB20" s="213"/>
    </row>
    <row r="21" spans="1:29" s="111" customFormat="1" ht="45" customHeight="1">
      <c r="A21" s="21" t="s">
        <v>58</v>
      </c>
      <c r="B21" s="33" t="s">
        <v>59</v>
      </c>
      <c r="C21" s="112">
        <v>11</v>
      </c>
      <c r="D21" s="112">
        <v>0</v>
      </c>
      <c r="E21" s="108">
        <v>315.89999999999998</v>
      </c>
      <c r="F21" s="108">
        <v>360.15</v>
      </c>
      <c r="G21" s="108">
        <f t="shared" si="0"/>
        <v>3474.8999999999996</v>
      </c>
      <c r="H21" s="108">
        <f t="shared" si="0"/>
        <v>0</v>
      </c>
      <c r="I21" s="26">
        <f t="shared" si="1"/>
        <v>3474.8999999999996</v>
      </c>
      <c r="J21" s="26">
        <f t="shared" si="8"/>
        <v>256.08000000000004</v>
      </c>
      <c r="K21" s="26">
        <f t="shared" si="4"/>
        <v>132.55000000000001</v>
      </c>
      <c r="L21" s="26">
        <f t="shared" si="2"/>
        <v>0</v>
      </c>
      <c r="M21" s="26"/>
      <c r="N21" s="26"/>
      <c r="O21" s="26"/>
      <c r="P21" s="26">
        <f t="shared" si="7"/>
        <v>3863.5299999999997</v>
      </c>
      <c r="Q21" s="109">
        <f>IF('[23]Calculo ISR '!$BS$34&lt;0,0,'[23]Calculo ISR '!$BS$34)</f>
        <v>181.00747199999992</v>
      </c>
      <c r="R21" s="110">
        <f>I21*O6</f>
        <v>364.86449999999996</v>
      </c>
      <c r="S21" s="110">
        <v>786</v>
      </c>
      <c r="T21" s="110">
        <f>I21*U6</f>
        <v>34.748999999999995</v>
      </c>
      <c r="U21" s="110"/>
      <c r="V21" s="110"/>
      <c r="W21" s="26">
        <f t="shared" si="5"/>
        <v>1366.6209719999999</v>
      </c>
      <c r="X21" s="110">
        <f>IF('[23]Calculo ISR '!$BS$34&gt;0,0,('[23]Calculo ISR '!$BS$34)*-1)</f>
        <v>0</v>
      </c>
      <c r="Y21" s="26">
        <f t="shared" si="3"/>
        <v>2240.8290280000001</v>
      </c>
      <c r="Z21" s="26">
        <f t="shared" si="6"/>
        <v>256.08000000000004</v>
      </c>
      <c r="AA21" s="212"/>
      <c r="AB21" s="213"/>
    </row>
    <row r="22" spans="1:29" s="111" customFormat="1" ht="45" customHeight="1">
      <c r="A22" s="21" t="s">
        <v>60</v>
      </c>
      <c r="B22" s="33" t="s">
        <v>100</v>
      </c>
      <c r="C22" s="112">
        <v>16</v>
      </c>
      <c r="D22" s="112">
        <v>0</v>
      </c>
      <c r="E22" s="108">
        <v>315.89999999999998</v>
      </c>
      <c r="F22" s="108">
        <v>360.15</v>
      </c>
      <c r="G22" s="108">
        <f t="shared" si="0"/>
        <v>5054.3999999999996</v>
      </c>
      <c r="H22" s="108">
        <f t="shared" si="0"/>
        <v>0</v>
      </c>
      <c r="I22" s="26">
        <f t="shared" si="1"/>
        <v>5054.3999999999996</v>
      </c>
      <c r="J22" s="26">
        <f t="shared" si="8"/>
        <v>372.48</v>
      </c>
      <c r="K22" s="26">
        <f t="shared" si="4"/>
        <v>192.8</v>
      </c>
      <c r="L22" s="26">
        <f t="shared" si="2"/>
        <v>0</v>
      </c>
      <c r="M22" s="26"/>
      <c r="N22" s="26"/>
      <c r="O22" s="26"/>
      <c r="P22" s="26">
        <f t="shared" si="7"/>
        <v>5619.6799999999994</v>
      </c>
      <c r="Q22" s="109">
        <f>IF('[23]Calculo ISR '!$BT$34&lt;0,0,'[23]Calculo ISR '!$BT$34)</f>
        <v>573.61274399999979</v>
      </c>
      <c r="R22" s="110">
        <f>I22*O6</f>
        <v>530.71199999999999</v>
      </c>
      <c r="S22" s="110"/>
      <c r="T22" s="110"/>
      <c r="U22" s="110"/>
      <c r="V22" s="110"/>
      <c r="W22" s="26">
        <f t="shared" ref="W22:W37" si="9">Q22+R22+S22+T22+U22+V22</f>
        <v>1104.3247439999998</v>
      </c>
      <c r="X22" s="110">
        <f>IF('[23]Calculo ISR '!$BT$34&gt;0,0,('[23]Calculo ISR '!$BT$34)*-1)</f>
        <v>0</v>
      </c>
      <c r="Y22" s="26">
        <f t="shared" si="3"/>
        <v>4142.8752559999994</v>
      </c>
      <c r="Z22" s="26">
        <f t="shared" si="6"/>
        <v>372.48</v>
      </c>
      <c r="AA22" s="212"/>
      <c r="AB22" s="213"/>
    </row>
    <row r="23" spans="1:29" s="111" customFormat="1" ht="45" customHeight="1">
      <c r="A23" s="21" t="s">
        <v>62</v>
      </c>
      <c r="B23" s="33" t="s">
        <v>63</v>
      </c>
      <c r="C23" s="112">
        <v>18</v>
      </c>
      <c r="D23" s="112">
        <v>0</v>
      </c>
      <c r="E23" s="108">
        <v>315.89999999999998</v>
      </c>
      <c r="F23" s="108">
        <v>360.15</v>
      </c>
      <c r="G23" s="108">
        <f t="shared" si="0"/>
        <v>5686.2</v>
      </c>
      <c r="H23" s="108">
        <f t="shared" si="0"/>
        <v>0</v>
      </c>
      <c r="I23" s="26">
        <f t="shared" si="1"/>
        <v>5686.2</v>
      </c>
      <c r="J23" s="26">
        <f t="shared" si="8"/>
        <v>419.04</v>
      </c>
      <c r="K23" s="26">
        <f t="shared" si="4"/>
        <v>216.9</v>
      </c>
      <c r="L23" s="26">
        <f t="shared" si="2"/>
        <v>0</v>
      </c>
      <c r="M23" s="26"/>
      <c r="N23" s="26"/>
      <c r="O23" s="26">
        <v>0</v>
      </c>
      <c r="P23" s="26">
        <f t="shared" si="7"/>
        <v>6322.1399999999994</v>
      </c>
      <c r="Q23" s="109">
        <f>IF('[23]Calculo ISR '!$BU$34&lt;0,0,'[23]Calculo ISR '!$BU$34)</f>
        <v>713.71298400000001</v>
      </c>
      <c r="R23" s="110">
        <f>I23*O6</f>
        <v>597.05099999999993</v>
      </c>
      <c r="S23" s="110"/>
      <c r="T23" s="110">
        <f>I23*U6</f>
        <v>56.862000000000002</v>
      </c>
      <c r="U23" s="110"/>
      <c r="V23" s="110"/>
      <c r="W23" s="26">
        <f t="shared" si="9"/>
        <v>1367.625984</v>
      </c>
      <c r="X23" s="110">
        <f>IF('[23]Calculo ISR '!$BU$34&gt;0,0,('[23]Calculo ISR '!$BU$34)*-1)</f>
        <v>0</v>
      </c>
      <c r="Y23" s="26">
        <f t="shared" si="3"/>
        <v>4535.4740159999992</v>
      </c>
      <c r="Z23" s="26">
        <f t="shared" si="6"/>
        <v>419.04</v>
      </c>
      <c r="AA23" s="212"/>
      <c r="AB23" s="213"/>
    </row>
    <row r="24" spans="1:29" s="111" customFormat="1" ht="45" customHeight="1">
      <c r="A24" s="21" t="s">
        <v>64</v>
      </c>
      <c r="B24" s="33" t="s">
        <v>65</v>
      </c>
      <c r="C24" s="112">
        <v>17.5</v>
      </c>
      <c r="D24" s="112">
        <v>0</v>
      </c>
      <c r="E24" s="108">
        <v>315.89999999999998</v>
      </c>
      <c r="F24" s="108">
        <v>360.15</v>
      </c>
      <c r="G24" s="108">
        <f t="shared" si="0"/>
        <v>5528.25</v>
      </c>
      <c r="H24" s="108">
        <f t="shared" si="0"/>
        <v>0</v>
      </c>
      <c r="I24" s="26">
        <f t="shared" si="1"/>
        <v>5528.25</v>
      </c>
      <c r="J24" s="26">
        <f t="shared" si="8"/>
        <v>407.40000000000003</v>
      </c>
      <c r="K24" s="26">
        <f t="shared" si="4"/>
        <v>210.875</v>
      </c>
      <c r="L24" s="26">
        <f t="shared" si="2"/>
        <v>0</v>
      </c>
      <c r="M24" s="26"/>
      <c r="N24" s="26"/>
      <c r="O24" s="26">
        <v>0</v>
      </c>
      <c r="P24" s="26">
        <f t="shared" si="7"/>
        <v>6146.5249999999996</v>
      </c>
      <c r="Q24" s="109">
        <f>IF('[23]Calculo ISR '!$BV$34&lt;0,0,'[23]Calculo ISR '!$BV$34)</f>
        <v>678.68792400000007</v>
      </c>
      <c r="R24" s="110">
        <f>I24*O6</f>
        <v>580.46624999999995</v>
      </c>
      <c r="S24" s="110"/>
      <c r="T24" s="110">
        <f>I24*U6</f>
        <v>55.282499999999999</v>
      </c>
      <c r="U24" s="110"/>
      <c r="V24" s="110"/>
      <c r="W24" s="26">
        <f t="shared" si="9"/>
        <v>1314.436674</v>
      </c>
      <c r="X24" s="110">
        <f>IF('[23]Calculo ISR '!$BV$34&gt;0,0,('[23]Calculo ISR '!$BV$34)*-1)</f>
        <v>0</v>
      </c>
      <c r="Y24" s="26">
        <f t="shared" si="3"/>
        <v>4424.6883259999995</v>
      </c>
      <c r="Z24" s="26">
        <f t="shared" si="6"/>
        <v>407.40000000000003</v>
      </c>
      <c r="AA24" s="212"/>
      <c r="AB24" s="213"/>
    </row>
    <row r="25" spans="1:29" s="111" customFormat="1" ht="45" customHeight="1">
      <c r="A25" s="21" t="s">
        <v>66</v>
      </c>
      <c r="B25" s="33" t="s">
        <v>67</v>
      </c>
      <c r="C25" s="112">
        <v>10</v>
      </c>
      <c r="D25" s="112">
        <v>0</v>
      </c>
      <c r="E25" s="108">
        <v>315.89999999999998</v>
      </c>
      <c r="F25" s="108">
        <v>360.15</v>
      </c>
      <c r="G25" s="108">
        <f t="shared" si="0"/>
        <v>3159</v>
      </c>
      <c r="H25" s="108">
        <f t="shared" si="0"/>
        <v>0</v>
      </c>
      <c r="I25" s="26">
        <f t="shared" si="1"/>
        <v>3159</v>
      </c>
      <c r="J25" s="26">
        <f t="shared" si="8"/>
        <v>232.8</v>
      </c>
      <c r="K25" s="26">
        <f t="shared" si="4"/>
        <v>120.5</v>
      </c>
      <c r="L25" s="26">
        <f t="shared" si="2"/>
        <v>0</v>
      </c>
      <c r="M25" s="26"/>
      <c r="N25" s="26"/>
      <c r="O25" s="26">
        <v>0</v>
      </c>
      <c r="P25" s="26">
        <f t="shared" si="7"/>
        <v>3512.3</v>
      </c>
      <c r="Q25" s="109">
        <f>IF('[23]Calculo ISR '!$BW$34&lt;0,0,'[23]Calculo ISR '!$BW$34)</f>
        <v>127.62651199999996</v>
      </c>
      <c r="R25" s="110">
        <f>I25*O6</f>
        <v>331.69499999999999</v>
      </c>
      <c r="S25" s="110"/>
      <c r="T25" s="110"/>
      <c r="U25" s="110"/>
      <c r="V25" s="110"/>
      <c r="W25" s="26">
        <f t="shared" si="9"/>
        <v>459.32151199999998</v>
      </c>
      <c r="X25" s="110">
        <f>IF('[23]Calculo ISR '!$BW$34&gt;0,0,('[23]Calculo ISR '!$BW$34)*-1)</f>
        <v>0</v>
      </c>
      <c r="Y25" s="26">
        <f t="shared" si="3"/>
        <v>2820.178488</v>
      </c>
      <c r="Z25" s="26">
        <f t="shared" si="6"/>
        <v>232.8</v>
      </c>
      <c r="AA25" s="212"/>
      <c r="AB25" s="213"/>
    </row>
    <row r="26" spans="1:29" s="111" customFormat="1" ht="45" customHeight="1">
      <c r="A26" s="21" t="s">
        <v>68</v>
      </c>
      <c r="B26" s="33" t="s">
        <v>69</v>
      </c>
      <c r="C26" s="112">
        <v>4.5</v>
      </c>
      <c r="D26" s="112">
        <v>0</v>
      </c>
      <c r="E26" s="108">
        <v>315.89999999999998</v>
      </c>
      <c r="F26" s="108">
        <v>360.15</v>
      </c>
      <c r="G26" s="108">
        <f t="shared" si="0"/>
        <v>1421.55</v>
      </c>
      <c r="H26" s="108">
        <f t="shared" si="0"/>
        <v>0</v>
      </c>
      <c r="I26" s="26">
        <f t="shared" si="1"/>
        <v>1421.55</v>
      </c>
      <c r="J26" s="26">
        <f t="shared" si="8"/>
        <v>104.76</v>
      </c>
      <c r="K26" s="26">
        <f t="shared" si="4"/>
        <v>54.225000000000001</v>
      </c>
      <c r="L26" s="26">
        <f t="shared" si="2"/>
        <v>0</v>
      </c>
      <c r="M26" s="26"/>
      <c r="N26" s="26"/>
      <c r="O26" s="26">
        <v>0</v>
      </c>
      <c r="P26" s="26">
        <f t="shared" si="7"/>
        <v>1580.5349999999999</v>
      </c>
      <c r="Q26" s="109">
        <f>IF('[23]Calculo ISR '!$BX$34&lt;0,0,'[23]Calculo ISR '!$BX$34)</f>
        <v>0</v>
      </c>
      <c r="R26" s="110">
        <f>I26*O6</f>
        <v>149.26274999999998</v>
      </c>
      <c r="S26" s="110"/>
      <c r="T26" s="110">
        <f>I26*U6</f>
        <v>14.2155</v>
      </c>
      <c r="U26" s="110"/>
      <c r="V26" s="110"/>
      <c r="W26" s="26">
        <f t="shared" si="9"/>
        <v>163.47824999999997</v>
      </c>
      <c r="X26" s="110">
        <f>IF('[23]Calculo ISR '!$BX$34&gt;0,0,('[23]Calculo ISR '!$BX$34)*-1)</f>
        <v>117.26823999999999</v>
      </c>
      <c r="Y26" s="26">
        <f t="shared" si="3"/>
        <v>1429.5649899999999</v>
      </c>
      <c r="Z26" s="26">
        <f t="shared" si="6"/>
        <v>104.76</v>
      </c>
      <c r="AA26" s="212"/>
      <c r="AB26" s="213"/>
    </row>
    <row r="27" spans="1:29" s="111" customFormat="1" ht="45" customHeight="1">
      <c r="A27" s="21" t="s">
        <v>70</v>
      </c>
      <c r="B27" s="33" t="s">
        <v>71</v>
      </c>
      <c r="C27" s="112">
        <v>7</v>
      </c>
      <c r="D27" s="112">
        <v>0</v>
      </c>
      <c r="E27" s="108">
        <v>315.89999999999998</v>
      </c>
      <c r="F27" s="108">
        <v>360.15</v>
      </c>
      <c r="G27" s="108">
        <f t="shared" si="0"/>
        <v>2211.2999999999997</v>
      </c>
      <c r="H27" s="108">
        <f t="shared" si="0"/>
        <v>0</v>
      </c>
      <c r="I27" s="26">
        <f t="shared" si="1"/>
        <v>2211.2999999999997</v>
      </c>
      <c r="J27" s="26">
        <f t="shared" si="8"/>
        <v>162.96</v>
      </c>
      <c r="K27" s="26">
        <f t="shared" si="4"/>
        <v>84.350000000000009</v>
      </c>
      <c r="L27" s="26">
        <f t="shared" si="2"/>
        <v>0</v>
      </c>
      <c r="M27" s="26"/>
      <c r="N27" s="26"/>
      <c r="O27" s="26"/>
      <c r="P27" s="26">
        <f t="shared" si="7"/>
        <v>2458.6099999999997</v>
      </c>
      <c r="Q27" s="109">
        <f>IF('[23]Calculo ISR '!$BY$34&lt;0,0,'[23]Calculo ISR '!$BY$34)</f>
        <v>0</v>
      </c>
      <c r="R27" s="110">
        <f>I27*O6</f>
        <v>232.18649999999997</v>
      </c>
      <c r="S27" s="110"/>
      <c r="T27" s="110">
        <f>I27*U6</f>
        <v>22.112999999999996</v>
      </c>
      <c r="U27" s="110"/>
      <c r="V27" s="113">
        <f>[23]descuentos!D10</f>
        <v>0</v>
      </c>
      <c r="W27" s="26">
        <f t="shared" si="9"/>
        <v>254.29949999999997</v>
      </c>
      <c r="X27" s="110">
        <f>IF('[23]Calculo ISR '!$BY$34&gt;0,0,('[23]Calculo ISR '!$BY$34)*-1)</f>
        <v>29.066368000000068</v>
      </c>
      <c r="Y27" s="26">
        <f t="shared" si="3"/>
        <v>2070.4168679999998</v>
      </c>
      <c r="Z27" s="26">
        <f t="shared" si="6"/>
        <v>162.96</v>
      </c>
      <c r="AA27" s="212"/>
      <c r="AB27" s="213"/>
    </row>
    <row r="28" spans="1:29" s="111" customFormat="1" ht="45" customHeight="1">
      <c r="A28" s="21" t="s">
        <v>72</v>
      </c>
      <c r="B28" s="33" t="s">
        <v>73</v>
      </c>
      <c r="C28" s="112">
        <v>7.5</v>
      </c>
      <c r="D28" s="112">
        <v>0</v>
      </c>
      <c r="E28" s="108">
        <v>315.89999999999998</v>
      </c>
      <c r="F28" s="108">
        <v>360.15</v>
      </c>
      <c r="G28" s="108">
        <f t="shared" si="0"/>
        <v>2369.25</v>
      </c>
      <c r="H28" s="108">
        <f t="shared" si="0"/>
        <v>0</v>
      </c>
      <c r="I28" s="26">
        <f t="shared" si="1"/>
        <v>2369.25</v>
      </c>
      <c r="J28" s="26">
        <f t="shared" si="8"/>
        <v>174.60000000000002</v>
      </c>
      <c r="K28" s="26">
        <f t="shared" si="4"/>
        <v>90.375</v>
      </c>
      <c r="L28" s="26">
        <f t="shared" si="2"/>
        <v>0</v>
      </c>
      <c r="M28" s="26"/>
      <c r="N28" s="26"/>
      <c r="O28" s="26"/>
      <c r="P28" s="26">
        <f t="shared" si="7"/>
        <v>2634.2249999999999</v>
      </c>
      <c r="Q28" s="109">
        <f>IF('[23]Calculo ISR '!$BZ$34&lt;0,0,'[23]Calculo ISR '!$BZ$34)</f>
        <v>3.1741119999999796</v>
      </c>
      <c r="R28" s="110">
        <f>I28*O6</f>
        <v>248.77124999999998</v>
      </c>
      <c r="S28" s="110"/>
      <c r="T28" s="110"/>
      <c r="U28" s="110"/>
      <c r="V28" s="113"/>
      <c r="W28" s="26">
        <f t="shared" si="9"/>
        <v>251.94536199999996</v>
      </c>
      <c r="X28" s="110">
        <f>IF('[23]Calculo ISR '!$BZ$34&gt;0,0,('[23]Calculo ISR '!$BZ$34)*-1)</f>
        <v>0</v>
      </c>
      <c r="Y28" s="26">
        <f t="shared" si="3"/>
        <v>2207.6796380000001</v>
      </c>
      <c r="Z28" s="26">
        <f t="shared" si="6"/>
        <v>174.60000000000002</v>
      </c>
      <c r="AA28" s="215"/>
      <c r="AB28" s="216"/>
      <c r="AC28" s="114"/>
    </row>
    <row r="29" spans="1:29" s="111" customFormat="1" ht="45" customHeight="1">
      <c r="A29" s="21" t="s">
        <v>94</v>
      </c>
      <c r="B29" s="33" t="s">
        <v>101</v>
      </c>
      <c r="C29" s="112">
        <v>10.5</v>
      </c>
      <c r="D29" s="112">
        <v>0</v>
      </c>
      <c r="E29" s="108">
        <v>315.89999999999998</v>
      </c>
      <c r="F29" s="108">
        <v>360.15</v>
      </c>
      <c r="G29" s="108">
        <f t="shared" si="0"/>
        <v>3316.95</v>
      </c>
      <c r="H29" s="108">
        <f t="shared" si="0"/>
        <v>0</v>
      </c>
      <c r="I29" s="26">
        <f t="shared" si="1"/>
        <v>3316.95</v>
      </c>
      <c r="J29" s="26">
        <f t="shared" si="8"/>
        <v>244.44</v>
      </c>
      <c r="K29" s="26">
        <f t="shared" si="4"/>
        <v>126.52500000000001</v>
      </c>
      <c r="L29" s="26">
        <f t="shared" si="2"/>
        <v>0</v>
      </c>
      <c r="M29" s="26"/>
      <c r="N29" s="26"/>
      <c r="O29" s="26"/>
      <c r="P29" s="26">
        <f t="shared" si="7"/>
        <v>3687.915</v>
      </c>
      <c r="Q29" s="109">
        <f>IF('[23]Calculo ISR '!$CA$34&lt;0,0,'[23]Calculo ISR '!$CA$34)</f>
        <v>145.46699199999998</v>
      </c>
      <c r="R29" s="110">
        <f>I29*10.5%</f>
        <v>348.27974999999998</v>
      </c>
      <c r="S29" s="110"/>
      <c r="T29" s="110"/>
      <c r="U29" s="110"/>
      <c r="V29" s="110"/>
      <c r="W29" s="26">
        <f t="shared" si="9"/>
        <v>493.74674199999993</v>
      </c>
      <c r="X29" s="110">
        <f>IF('[23]Calculo ISR '!$CA$34&gt;0,0,('[23]Calculo ISR '!$CA$34)*-1)</f>
        <v>0</v>
      </c>
      <c r="Y29" s="26">
        <f t="shared" si="3"/>
        <v>2949.7282580000001</v>
      </c>
      <c r="Z29" s="26">
        <f t="shared" si="6"/>
        <v>244.44</v>
      </c>
      <c r="AA29" s="141"/>
      <c r="AB29" s="116"/>
      <c r="AC29" s="114"/>
    </row>
    <row r="30" spans="1:29" s="111" customFormat="1" ht="45" customHeight="1">
      <c r="A30" s="21" t="s">
        <v>96</v>
      </c>
      <c r="B30" s="33" t="s">
        <v>102</v>
      </c>
      <c r="C30" s="112">
        <v>14</v>
      </c>
      <c r="D30" s="112">
        <v>0</v>
      </c>
      <c r="E30" s="108">
        <v>315.89999999999998</v>
      </c>
      <c r="F30" s="108">
        <v>360.15</v>
      </c>
      <c r="G30" s="108">
        <f t="shared" si="0"/>
        <v>4422.5999999999995</v>
      </c>
      <c r="H30" s="108">
        <f t="shared" si="0"/>
        <v>0</v>
      </c>
      <c r="I30" s="26">
        <f t="shared" si="1"/>
        <v>4422.5999999999995</v>
      </c>
      <c r="J30" s="26">
        <f t="shared" si="8"/>
        <v>325.92</v>
      </c>
      <c r="K30" s="26">
        <f t="shared" si="4"/>
        <v>168.70000000000002</v>
      </c>
      <c r="L30" s="26">
        <f t="shared" si="2"/>
        <v>0</v>
      </c>
      <c r="M30" s="26"/>
      <c r="N30" s="26"/>
      <c r="O30" s="26"/>
      <c r="P30" s="26">
        <f t="shared" si="7"/>
        <v>4917.2199999999993</v>
      </c>
      <c r="Q30" s="109">
        <f>IF('[23]Calculo ISR '!$CB$34&lt;0,0,'[23]Calculo ISR '!$CB$34)</f>
        <v>450.26644799999997</v>
      </c>
      <c r="R30" s="110">
        <f>I30*10.5%</f>
        <v>464.37299999999993</v>
      </c>
      <c r="S30" s="110"/>
      <c r="T30" s="110"/>
      <c r="U30" s="110"/>
      <c r="V30" s="113">
        <f>[23]descuentos!D13</f>
        <v>78.974999999999994</v>
      </c>
      <c r="W30" s="26">
        <f t="shared" si="9"/>
        <v>993.61444799999992</v>
      </c>
      <c r="X30" s="110">
        <f>IF('[23]Calculo ISR '!$CB$34&gt;0,0,('[23]Calculo ISR '!$CB$34)*-1)</f>
        <v>0</v>
      </c>
      <c r="Y30" s="26">
        <f t="shared" si="3"/>
        <v>3597.6855519999995</v>
      </c>
      <c r="Z30" s="26">
        <f t="shared" si="6"/>
        <v>325.92</v>
      </c>
      <c r="AA30" s="141"/>
      <c r="AB30" s="116"/>
      <c r="AC30" s="114"/>
    </row>
    <row r="31" spans="1:29" s="111" customFormat="1" ht="45" customHeight="1">
      <c r="A31" s="21" t="s">
        <v>103</v>
      </c>
      <c r="B31" s="33" t="s">
        <v>124</v>
      </c>
      <c r="C31" s="112">
        <v>4</v>
      </c>
      <c r="D31" s="112">
        <v>0</v>
      </c>
      <c r="E31" s="108">
        <v>315.89999999999998</v>
      </c>
      <c r="F31" s="108">
        <v>360.15</v>
      </c>
      <c r="G31" s="108">
        <f t="shared" ref="G31:H37" si="10">C31*E31</f>
        <v>1263.5999999999999</v>
      </c>
      <c r="H31" s="108">
        <f t="shared" si="10"/>
        <v>0</v>
      </c>
      <c r="I31" s="26">
        <f t="shared" si="1"/>
        <v>1263.5999999999999</v>
      </c>
      <c r="J31" s="26">
        <f t="shared" si="8"/>
        <v>93.12</v>
      </c>
      <c r="K31" s="26">
        <f t="shared" si="4"/>
        <v>48.2</v>
      </c>
      <c r="L31" s="26">
        <f t="shared" si="2"/>
        <v>0</v>
      </c>
      <c r="M31" s="26"/>
      <c r="N31" s="26"/>
      <c r="O31" s="26"/>
      <c r="P31" s="26">
        <f t="shared" si="7"/>
        <v>1404.9199999999998</v>
      </c>
      <c r="Q31" s="109">
        <f>IF('[23]Calculo ISR '!$CC$34&lt;0,0,'[23]Calculo ISR '!$CC$34)</f>
        <v>0</v>
      </c>
      <c r="R31" s="110">
        <f t="shared" ref="R31:R37" si="11">I31*10.5%</f>
        <v>132.678</v>
      </c>
      <c r="S31" s="110"/>
      <c r="T31" s="110"/>
      <c r="U31" s="110"/>
      <c r="V31" s="110"/>
      <c r="W31" s="26">
        <f t="shared" si="9"/>
        <v>132.678</v>
      </c>
      <c r="X31" s="110">
        <f>IF('[23]Calculo ISR '!$CC$34&gt;0,0,('[23]Calculo ISR '!$CC$34)*-1)</f>
        <v>127.76263999999999</v>
      </c>
      <c r="Y31" s="26">
        <f t="shared" si="3"/>
        <v>1306.8846399999998</v>
      </c>
      <c r="Z31" s="26">
        <f t="shared" si="6"/>
        <v>93.12</v>
      </c>
      <c r="AA31" s="141"/>
      <c r="AB31" s="116"/>
      <c r="AC31" s="114"/>
    </row>
    <row r="32" spans="1:29" s="111" customFormat="1" ht="45" customHeight="1">
      <c r="A32" s="21" t="s">
        <v>105</v>
      </c>
      <c r="B32" s="33" t="s">
        <v>106</v>
      </c>
      <c r="C32" s="112">
        <v>4</v>
      </c>
      <c r="D32" s="112">
        <v>0</v>
      </c>
      <c r="E32" s="108">
        <v>315.89999999999998</v>
      </c>
      <c r="F32" s="108">
        <v>360.15</v>
      </c>
      <c r="G32" s="108">
        <f t="shared" si="10"/>
        <v>1263.5999999999999</v>
      </c>
      <c r="H32" s="108">
        <f t="shared" si="10"/>
        <v>0</v>
      </c>
      <c r="I32" s="26">
        <f t="shared" si="1"/>
        <v>1263.5999999999999</v>
      </c>
      <c r="J32" s="26">
        <f t="shared" si="8"/>
        <v>93.12</v>
      </c>
      <c r="K32" s="26">
        <f t="shared" si="4"/>
        <v>48.2</v>
      </c>
      <c r="L32" s="26">
        <f t="shared" si="2"/>
        <v>0</v>
      </c>
      <c r="M32" s="26"/>
      <c r="N32" s="26"/>
      <c r="O32" s="26"/>
      <c r="P32" s="26">
        <f t="shared" si="7"/>
        <v>1404.9199999999998</v>
      </c>
      <c r="Q32" s="109">
        <f>IF('[23]Calculo ISR '!$CD$34&lt;0,0,'[23]Calculo ISR '!$CD$34)</f>
        <v>0</v>
      </c>
      <c r="R32" s="110">
        <f t="shared" si="11"/>
        <v>132.678</v>
      </c>
      <c r="S32" s="110"/>
      <c r="T32" s="110"/>
      <c r="U32" s="110"/>
      <c r="V32" s="110"/>
      <c r="W32" s="26">
        <f t="shared" si="9"/>
        <v>132.678</v>
      </c>
      <c r="X32" s="110">
        <f>IF('[23]Calculo ISR '!$CD$34&gt;0,0,('[23]Calculo ISR '!$CD$34)*-1)</f>
        <v>127.76263999999999</v>
      </c>
      <c r="Y32" s="26">
        <f t="shared" si="3"/>
        <v>1306.8846399999998</v>
      </c>
      <c r="Z32" s="26">
        <f t="shared" si="6"/>
        <v>93.12</v>
      </c>
      <c r="AA32" s="141"/>
      <c r="AB32" s="116"/>
      <c r="AC32" s="114"/>
    </row>
    <row r="33" spans="1:32" s="111" customFormat="1" ht="45" customHeight="1">
      <c r="A33" s="21" t="s">
        <v>112</v>
      </c>
      <c r="B33" s="33" t="s">
        <v>113</v>
      </c>
      <c r="C33" s="112">
        <v>5</v>
      </c>
      <c r="D33" s="112">
        <v>0</v>
      </c>
      <c r="E33" s="108">
        <v>315.89999999999998</v>
      </c>
      <c r="F33" s="108">
        <v>360.15</v>
      </c>
      <c r="G33" s="108">
        <f t="shared" si="10"/>
        <v>1579.5</v>
      </c>
      <c r="H33" s="108">
        <f t="shared" si="10"/>
        <v>0</v>
      </c>
      <c r="I33" s="26">
        <f t="shared" si="1"/>
        <v>1579.5</v>
      </c>
      <c r="J33" s="26">
        <f t="shared" si="8"/>
        <v>116.4</v>
      </c>
      <c r="K33" s="26">
        <f t="shared" si="4"/>
        <v>60.25</v>
      </c>
      <c r="L33" s="26">
        <f t="shared" si="2"/>
        <v>0</v>
      </c>
      <c r="M33" s="26"/>
      <c r="N33" s="26"/>
      <c r="O33" s="26"/>
      <c r="P33" s="26">
        <f t="shared" si="7"/>
        <v>1756.15</v>
      </c>
      <c r="Q33" s="109">
        <f>IF('[23]Calculo ISR '!$CE$34&lt;0,0,'[23]Calculo ISR '!$CE$34)</f>
        <v>0</v>
      </c>
      <c r="R33" s="110">
        <f t="shared" si="11"/>
        <v>165.8475</v>
      </c>
      <c r="S33" s="110"/>
      <c r="T33" s="110"/>
      <c r="U33" s="110"/>
      <c r="V33" s="110"/>
      <c r="W33" s="26">
        <f t="shared" si="9"/>
        <v>165.8475</v>
      </c>
      <c r="X33" s="110">
        <f>IF('[23]Calculo ISR '!$CE$34&gt;0,0,('[23]Calculo ISR '!$CE$34)*-1)</f>
        <v>106.77383999999998</v>
      </c>
      <c r="Y33" s="26">
        <f t="shared" si="3"/>
        <v>1580.67634</v>
      </c>
      <c r="Z33" s="26">
        <f t="shared" si="6"/>
        <v>116.4</v>
      </c>
      <c r="AA33" s="141"/>
      <c r="AB33" s="116"/>
      <c r="AC33" s="114"/>
    </row>
    <row r="34" spans="1:32" s="111" customFormat="1" ht="45" customHeight="1">
      <c r="A34" s="21" t="s">
        <v>125</v>
      </c>
      <c r="B34" s="33" t="s">
        <v>126</v>
      </c>
      <c r="C34" s="112">
        <v>15</v>
      </c>
      <c r="D34" s="112">
        <v>0</v>
      </c>
      <c r="E34" s="108">
        <v>315.89999999999998</v>
      </c>
      <c r="F34" s="108">
        <v>360.15</v>
      </c>
      <c r="G34" s="108">
        <f t="shared" si="10"/>
        <v>4738.5</v>
      </c>
      <c r="H34" s="108">
        <f t="shared" si="10"/>
        <v>0</v>
      </c>
      <c r="I34" s="26">
        <f t="shared" si="1"/>
        <v>4738.5</v>
      </c>
      <c r="J34" s="26">
        <f t="shared" si="8"/>
        <v>349.20000000000005</v>
      </c>
      <c r="K34" s="26">
        <f t="shared" si="4"/>
        <v>180.75</v>
      </c>
      <c r="L34" s="26">
        <f t="shared" si="2"/>
        <v>0</v>
      </c>
      <c r="M34" s="26"/>
      <c r="N34" s="26"/>
      <c r="O34" s="26"/>
      <c r="P34" s="26">
        <f t="shared" si="7"/>
        <v>5268.45</v>
      </c>
      <c r="Q34" s="109">
        <f>IF('[23]Calculo ISR '!$CF$34&lt;0,0,'[23]Calculo ISR '!$CF$34)</f>
        <v>509.03508800000009</v>
      </c>
      <c r="R34" s="110">
        <f t="shared" si="11"/>
        <v>497.54249999999996</v>
      </c>
      <c r="S34" s="110"/>
      <c r="T34" s="110"/>
      <c r="U34" s="110"/>
      <c r="V34" s="113"/>
      <c r="W34" s="26">
        <f t="shared" si="9"/>
        <v>1006.5775880000001</v>
      </c>
      <c r="X34" s="110">
        <f>IF('[23]Calculo ISR '!$CF$34&gt;0,0,('[23]Calculo ISR '!$CF$34)*-1)</f>
        <v>0</v>
      </c>
      <c r="Y34" s="26">
        <f t="shared" si="3"/>
        <v>3912.6724119999999</v>
      </c>
      <c r="Z34" s="26">
        <f t="shared" si="6"/>
        <v>349.20000000000005</v>
      </c>
      <c r="AA34" s="141"/>
      <c r="AB34" s="116"/>
      <c r="AC34" s="114"/>
    </row>
    <row r="35" spans="1:32" s="111" customFormat="1" ht="45" customHeight="1">
      <c r="A35" s="21" t="s">
        <v>127</v>
      </c>
      <c r="B35" s="33" t="s">
        <v>128</v>
      </c>
      <c r="C35" s="112">
        <v>5</v>
      </c>
      <c r="D35" s="112">
        <v>0</v>
      </c>
      <c r="E35" s="108">
        <v>315.89999999999998</v>
      </c>
      <c r="F35" s="108">
        <v>360.15</v>
      </c>
      <c r="G35" s="108">
        <f t="shared" si="10"/>
        <v>1579.5</v>
      </c>
      <c r="H35" s="108">
        <f t="shared" si="10"/>
        <v>0</v>
      </c>
      <c r="I35" s="26">
        <f t="shared" si="1"/>
        <v>1579.5</v>
      </c>
      <c r="J35" s="26">
        <f t="shared" si="8"/>
        <v>116.4</v>
      </c>
      <c r="K35" s="26">
        <f t="shared" si="4"/>
        <v>60.25</v>
      </c>
      <c r="L35" s="26">
        <f t="shared" si="2"/>
        <v>0</v>
      </c>
      <c r="M35" s="26"/>
      <c r="N35" s="26"/>
      <c r="O35" s="26"/>
      <c r="P35" s="26">
        <f t="shared" si="7"/>
        <v>1756.15</v>
      </c>
      <c r="Q35" s="109">
        <f>IF('[23]Calculo ISR '!$CG$34&lt;0,0,'[23]Calculo ISR '!$CG$34)</f>
        <v>0</v>
      </c>
      <c r="R35" s="110">
        <f t="shared" si="11"/>
        <v>165.8475</v>
      </c>
      <c r="S35" s="110"/>
      <c r="T35" s="110"/>
      <c r="U35" s="110"/>
      <c r="V35" s="110"/>
      <c r="W35" s="26">
        <f t="shared" si="9"/>
        <v>165.8475</v>
      </c>
      <c r="X35" s="110">
        <f>IF('[23]Calculo ISR '!$CG$34&gt;0,0,('[23]Calculo ISR '!$CG$34)*-1)</f>
        <v>106.77383999999998</v>
      </c>
      <c r="Y35" s="26">
        <f t="shared" si="3"/>
        <v>1580.67634</v>
      </c>
      <c r="Z35" s="26">
        <f t="shared" si="6"/>
        <v>116.4</v>
      </c>
      <c r="AA35" s="141"/>
      <c r="AB35" s="116"/>
      <c r="AC35" s="114"/>
    </row>
    <row r="36" spans="1:32" s="111" customFormat="1" ht="45" customHeight="1">
      <c r="A36" s="21" t="s">
        <v>129</v>
      </c>
      <c r="B36" s="33" t="s">
        <v>130</v>
      </c>
      <c r="C36" s="112">
        <v>10</v>
      </c>
      <c r="D36" s="112">
        <v>0</v>
      </c>
      <c r="E36" s="108">
        <v>315.89999999999998</v>
      </c>
      <c r="F36" s="108">
        <v>360.15</v>
      </c>
      <c r="G36" s="108">
        <f t="shared" si="10"/>
        <v>3159</v>
      </c>
      <c r="H36" s="108">
        <f t="shared" si="10"/>
        <v>0</v>
      </c>
      <c r="I36" s="26">
        <f t="shared" si="1"/>
        <v>3159</v>
      </c>
      <c r="J36" s="26">
        <f t="shared" si="8"/>
        <v>232.8</v>
      </c>
      <c r="K36" s="26">
        <f t="shared" si="4"/>
        <v>120.5</v>
      </c>
      <c r="L36" s="26">
        <f t="shared" si="2"/>
        <v>0</v>
      </c>
      <c r="M36" s="26"/>
      <c r="N36" s="26"/>
      <c r="O36" s="26"/>
      <c r="P36" s="26">
        <f t="shared" si="7"/>
        <v>3512.3</v>
      </c>
      <c r="Q36" s="109">
        <f>IF('[23]Calculo ISR '!$CH$34&lt;0,0,'[23]Calculo ISR '!$CH$34)</f>
        <v>127.62651199999996</v>
      </c>
      <c r="R36" s="110">
        <f t="shared" si="11"/>
        <v>331.69499999999999</v>
      </c>
      <c r="S36" s="110"/>
      <c r="T36" s="110"/>
      <c r="U36" s="110"/>
      <c r="V36" s="110"/>
      <c r="W36" s="26">
        <f t="shared" si="9"/>
        <v>459.32151199999998</v>
      </c>
      <c r="X36" s="110">
        <f>IF('[23]Calculo ISR '!$CH$34&gt;0,0,('[23]Calculo ISR '!$CH$34)*-1)</f>
        <v>0</v>
      </c>
      <c r="Y36" s="26">
        <f t="shared" si="3"/>
        <v>2820.178488</v>
      </c>
      <c r="Z36" s="26">
        <f t="shared" si="6"/>
        <v>232.8</v>
      </c>
      <c r="AA36" s="141"/>
      <c r="AB36" s="116"/>
      <c r="AC36" s="114"/>
    </row>
    <row r="37" spans="1:32" s="111" customFormat="1" ht="45" customHeight="1">
      <c r="A37" s="33" t="s">
        <v>131</v>
      </c>
      <c r="B37" s="33" t="s">
        <v>132</v>
      </c>
      <c r="C37" s="112">
        <v>14</v>
      </c>
      <c r="D37" s="112">
        <v>0</v>
      </c>
      <c r="E37" s="108">
        <v>315.89999999999998</v>
      </c>
      <c r="F37" s="108">
        <v>360.15</v>
      </c>
      <c r="G37" s="108">
        <f t="shared" si="10"/>
        <v>4422.5999999999995</v>
      </c>
      <c r="H37" s="108">
        <f t="shared" si="10"/>
        <v>0</v>
      </c>
      <c r="I37" s="26">
        <f t="shared" si="1"/>
        <v>4422.5999999999995</v>
      </c>
      <c r="J37" s="26">
        <f t="shared" si="8"/>
        <v>325.92</v>
      </c>
      <c r="K37" s="26">
        <f t="shared" si="4"/>
        <v>168.70000000000002</v>
      </c>
      <c r="L37" s="26">
        <f t="shared" si="2"/>
        <v>0</v>
      </c>
      <c r="M37" s="26"/>
      <c r="N37" s="26"/>
      <c r="O37" s="26"/>
      <c r="P37" s="26">
        <f t="shared" si="7"/>
        <v>4917.2199999999993</v>
      </c>
      <c r="Q37" s="109">
        <f>IF('[23]Calculo ISR '!$CI$34&lt;0,0,'[23]Calculo ISR '!$CI$34)</f>
        <v>450.26644799999997</v>
      </c>
      <c r="R37" s="110">
        <f t="shared" si="11"/>
        <v>464.37299999999993</v>
      </c>
      <c r="S37" s="110"/>
      <c r="T37" s="110"/>
      <c r="U37" s="110"/>
      <c r="V37" s="110"/>
      <c r="W37" s="26">
        <f t="shared" si="9"/>
        <v>914.6394479999999</v>
      </c>
      <c r="X37" s="110">
        <f>IF('[23]Calculo ISR '!$CI$34&gt;0,0,('[23]Calculo ISR '!$CI$34)*-1)</f>
        <v>0</v>
      </c>
      <c r="Y37" s="26">
        <f t="shared" si="3"/>
        <v>3676.6605519999994</v>
      </c>
      <c r="Z37" s="26">
        <f t="shared" si="6"/>
        <v>325.92</v>
      </c>
      <c r="AA37" s="141"/>
      <c r="AB37" s="116"/>
      <c r="AC37" s="114"/>
    </row>
    <row r="38" spans="1:32" s="57" customFormat="1" ht="30" customHeight="1" thickBot="1">
      <c r="A38" s="86"/>
      <c r="B38" s="38" t="s">
        <v>74</v>
      </c>
      <c r="C38" s="39">
        <f t="shared" ref="C38:Y38" si="12">SUM(C10:C37)</f>
        <v>304</v>
      </c>
      <c r="D38" s="39">
        <f t="shared" si="12"/>
        <v>60</v>
      </c>
      <c r="E38" s="40">
        <f t="shared" si="12"/>
        <v>8845.1999999999953</v>
      </c>
      <c r="F38" s="117">
        <f t="shared" si="12"/>
        <v>10084.199999999995</v>
      </c>
      <c r="G38" s="40">
        <f t="shared" si="12"/>
        <v>96033.60000000002</v>
      </c>
      <c r="H38" s="40">
        <f t="shared" si="12"/>
        <v>21609</v>
      </c>
      <c r="I38" s="40">
        <f t="shared" si="12"/>
        <v>117642.6</v>
      </c>
      <c r="J38" s="40">
        <f t="shared" si="12"/>
        <v>8473.9199999999983</v>
      </c>
      <c r="K38" s="40">
        <f t="shared" si="12"/>
        <v>3663.1999999999994</v>
      </c>
      <c r="L38" s="40">
        <f t="shared" si="12"/>
        <v>789</v>
      </c>
      <c r="M38" s="40">
        <f t="shared" si="12"/>
        <v>1838.6399999999999</v>
      </c>
      <c r="N38" s="40">
        <f t="shared" si="12"/>
        <v>351.28800000000001</v>
      </c>
      <c r="O38" s="40">
        <f t="shared" si="12"/>
        <v>0</v>
      </c>
      <c r="P38" s="40">
        <f t="shared" si="12"/>
        <v>132758.64799999999</v>
      </c>
      <c r="Q38" s="40">
        <f t="shared" si="12"/>
        <v>12331.0214008</v>
      </c>
      <c r="R38" s="40">
        <f t="shared" si="12"/>
        <v>12352.472999999994</v>
      </c>
      <c r="S38" s="40">
        <f>SUM(S10:S37)</f>
        <v>6766</v>
      </c>
      <c r="T38" s="40">
        <f t="shared" si="12"/>
        <v>813.14099999999996</v>
      </c>
      <c r="U38" s="40">
        <f t="shared" si="12"/>
        <v>0</v>
      </c>
      <c r="V38" s="118">
        <f t="shared" si="12"/>
        <v>78.974999999999994</v>
      </c>
      <c r="W38" s="40">
        <f t="shared" si="12"/>
        <v>32341.610400799997</v>
      </c>
      <c r="X38" s="40">
        <f t="shared" si="12"/>
        <v>615.40756799999997</v>
      </c>
      <c r="Y38" s="40">
        <f t="shared" si="12"/>
        <v>92558.52516720003</v>
      </c>
      <c r="Z38" s="40">
        <f>SUM(Z9:Z37)</f>
        <v>8473.9199999999983</v>
      </c>
      <c r="AA38" s="41"/>
      <c r="AB38" s="42"/>
      <c r="AC38" s="119"/>
      <c r="AD38" s="120"/>
    </row>
    <row r="39" spans="1:32" s="91" customFormat="1" ht="8.25" customHeight="1">
      <c r="A39" s="121"/>
      <c r="B39" s="60">
        <v>28</v>
      </c>
      <c r="C39" s="123"/>
      <c r="D39" s="123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124"/>
      <c r="AB39" s="90"/>
      <c r="AC39" s="125"/>
    </row>
    <row r="40" spans="1:32" s="91" customFormat="1" ht="8.25" customHeight="1">
      <c r="A40" s="121"/>
      <c r="B40" s="122"/>
      <c r="C40" s="123"/>
      <c r="D40" s="123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124"/>
      <c r="AB40" s="90"/>
      <c r="AC40" s="90"/>
    </row>
    <row r="41" spans="1:32" s="2" customFormat="1" ht="15" customHeight="1">
      <c r="A41" s="69"/>
      <c r="C41" s="140" t="s">
        <v>75</v>
      </c>
      <c r="D41" s="1"/>
      <c r="E41" s="1"/>
      <c r="F41" s="1"/>
      <c r="G41" s="1"/>
      <c r="H41" s="1"/>
      <c r="I41" s="66" t="s">
        <v>76</v>
      </c>
      <c r="L41" s="66"/>
      <c r="M41" s="66"/>
      <c r="N41" s="66"/>
      <c r="O41" s="66"/>
      <c r="P41" s="66"/>
      <c r="Q41" s="49"/>
      <c r="R41" s="50"/>
      <c r="S41" s="1"/>
      <c r="T41" s="1"/>
      <c r="U41" s="1"/>
      <c r="V41" s="1"/>
      <c r="W41" s="1" t="s">
        <v>152</v>
      </c>
      <c r="X41" s="1"/>
      <c r="Y41" s="1"/>
      <c r="Z41" s="1"/>
      <c r="AA41" s="1"/>
      <c r="AC41" s="42"/>
      <c r="AF41" s="1"/>
    </row>
    <row r="42" spans="1:32" s="2" customFormat="1" hidden="1">
      <c r="A42" s="69"/>
      <c r="B42" s="1"/>
      <c r="C42" s="1"/>
      <c r="D42" s="1"/>
      <c r="E42" s="1"/>
      <c r="F42" s="1"/>
      <c r="G42" s="126"/>
      <c r="H42" s="1"/>
      <c r="K42" s="1"/>
      <c r="L42" s="1"/>
      <c r="M42" s="1"/>
      <c r="N42" s="1"/>
      <c r="O42" s="1"/>
      <c r="P42" s="51"/>
      <c r="Q42" s="51"/>
      <c r="R42" s="51"/>
      <c r="S42" s="1"/>
      <c r="T42" s="1"/>
      <c r="U42" s="1"/>
      <c r="V42" s="1"/>
      <c r="W42" s="1"/>
      <c r="X42" s="1"/>
      <c r="Y42" s="1"/>
      <c r="Z42" s="1"/>
      <c r="AA42" s="1"/>
      <c r="AC42" s="42"/>
      <c r="AF42" s="1"/>
    </row>
    <row r="43" spans="1:32" s="2" customFormat="1" hidden="1">
      <c r="A43" s="69"/>
      <c r="B43" s="1"/>
      <c r="C43" s="1"/>
      <c r="D43" s="1"/>
      <c r="E43" s="1"/>
      <c r="F43" s="1"/>
      <c r="G43" s="1"/>
      <c r="H43" s="1"/>
      <c r="K43" s="1"/>
      <c r="L43" s="1"/>
      <c r="M43" s="1"/>
      <c r="N43" s="1"/>
      <c r="O43" s="1"/>
      <c r="P43" s="51"/>
      <c r="Q43" s="51"/>
      <c r="R43" s="51"/>
      <c r="S43" s="1"/>
      <c r="T43" s="1"/>
      <c r="U43" s="1"/>
      <c r="V43" s="1"/>
      <c r="W43" s="1"/>
      <c r="X43" s="1"/>
      <c r="Y43" s="1"/>
      <c r="Z43" s="1"/>
      <c r="AA43" s="1"/>
      <c r="AC43" s="42"/>
      <c r="AF43" s="1"/>
    </row>
    <row r="44" spans="1:32" s="2" customFormat="1" hidden="1">
      <c r="A44" s="69"/>
      <c r="B44" s="1"/>
      <c r="C44" s="1"/>
      <c r="D44" s="1"/>
      <c r="E44" s="1"/>
      <c r="F44" s="1"/>
      <c r="G44" s="1"/>
      <c r="H44" s="1"/>
      <c r="K44" s="1"/>
      <c r="L44" s="1"/>
      <c r="M44" s="1"/>
      <c r="N44" s="1"/>
      <c r="O44" s="1"/>
      <c r="P44" s="52"/>
      <c r="Q44" s="52"/>
      <c r="R44" s="52"/>
      <c r="S44" s="1"/>
      <c r="T44" s="3"/>
      <c r="U44" s="1"/>
      <c r="V44" s="1"/>
      <c r="W44" s="1"/>
      <c r="X44" s="1"/>
      <c r="Y44" s="1"/>
      <c r="Z44" s="1"/>
      <c r="AA44" s="1"/>
      <c r="AF44" s="1"/>
    </row>
    <row r="45" spans="1:32" s="2" customFormat="1">
      <c r="A45" s="69"/>
      <c r="B45" s="140" t="s">
        <v>133</v>
      </c>
      <c r="C45" s="1"/>
      <c r="D45" s="1"/>
      <c r="E45" s="1"/>
      <c r="F45" s="1"/>
      <c r="G45" s="1"/>
      <c r="H45" s="1"/>
      <c r="I45" s="53" t="s">
        <v>79</v>
      </c>
      <c r="L45" s="53"/>
      <c r="M45" s="53"/>
      <c r="N45" s="53"/>
      <c r="O45" s="53"/>
      <c r="P45" s="53"/>
      <c r="Q45" s="52"/>
      <c r="R45" s="49"/>
      <c r="S45" s="1"/>
      <c r="T45" s="1"/>
      <c r="U45" s="1"/>
      <c r="W45" s="127" t="s">
        <v>134</v>
      </c>
      <c r="Y45" s="53"/>
      <c r="Z45" s="53"/>
      <c r="AA45" s="1"/>
      <c r="AF45" s="1"/>
    </row>
    <row r="46" spans="1:32" ht="12.75" customHeight="1">
      <c r="B46" s="54" t="s">
        <v>135</v>
      </c>
      <c r="I46" s="53" t="s">
        <v>82</v>
      </c>
      <c r="L46" s="53"/>
      <c r="M46" s="53"/>
      <c r="N46" s="53"/>
      <c r="O46" s="53"/>
      <c r="P46" s="53"/>
      <c r="Q46" s="53"/>
      <c r="R46" s="52"/>
      <c r="W46" s="53" t="s">
        <v>83</v>
      </c>
      <c r="Y46" s="53"/>
      <c r="Z46" s="53"/>
      <c r="AB46" s="3"/>
    </row>
    <row r="47" spans="1:32">
      <c r="AB47" s="3"/>
    </row>
    <row r="48" spans="1:32">
      <c r="S48" s="3"/>
      <c r="AB48" s="3"/>
    </row>
    <row r="49" spans="1:28">
      <c r="AB49" s="3"/>
    </row>
    <row r="50" spans="1:28">
      <c r="AB50" s="3"/>
    </row>
    <row r="51" spans="1:28">
      <c r="P51" s="6"/>
      <c r="AB51" s="3"/>
    </row>
    <row r="52" spans="1:28">
      <c r="AB52" s="3"/>
    </row>
    <row r="53" spans="1:28">
      <c r="AB53" s="3"/>
    </row>
    <row r="54" spans="1:28" s="56" customFormat="1">
      <c r="A54" s="6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8" s="56" customFormat="1">
      <c r="A55" s="6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8" s="57" customFormat="1">
      <c r="A56" s="6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8" s="57" customFormat="1">
      <c r="A57" s="6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8" s="57" customFormat="1">
      <c r="A58" s="6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8" s="57" customFormat="1">
      <c r="A59" s="6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8" s="57" customFormat="1">
      <c r="A60" s="6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8" s="57" customFormat="1">
      <c r="A61" s="6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6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8" s="57" customFormat="1">
      <c r="A62" s="6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8" s="57" customFormat="1">
      <c r="A63" s="6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8" s="57" customFormat="1">
      <c r="A64" s="6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s="57" customFormat="1">
      <c r="A65" s="6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7" spans="1:27">
      <c r="T67" s="3"/>
    </row>
  </sheetData>
  <mergeCells count="26">
    <mergeCell ref="AA27:AB27"/>
    <mergeCell ref="AA28:AB28"/>
    <mergeCell ref="AA21:AB21"/>
    <mergeCell ref="AA22:AB22"/>
    <mergeCell ref="AA23:AB23"/>
    <mergeCell ref="AA24:AB24"/>
    <mergeCell ref="AA25:AB25"/>
    <mergeCell ref="AA26:AB26"/>
    <mergeCell ref="AA15:AB15"/>
    <mergeCell ref="AA16:AB16"/>
    <mergeCell ref="AA17:AB17"/>
    <mergeCell ref="AA18:AB18"/>
    <mergeCell ref="AA19:AB19"/>
    <mergeCell ref="AA20:AB20"/>
    <mergeCell ref="AA9:AB9"/>
    <mergeCell ref="AA10:AB10"/>
    <mergeCell ref="AA11:AB11"/>
    <mergeCell ref="AA12:AB12"/>
    <mergeCell ref="AA13:AB13"/>
    <mergeCell ref="AA14:AB14"/>
    <mergeCell ref="A8:A9"/>
    <mergeCell ref="B8:B9"/>
    <mergeCell ref="C8:I8"/>
    <mergeCell ref="J8:P8"/>
    <mergeCell ref="Q8:W8"/>
    <mergeCell ref="X8:Z8"/>
  </mergeCells>
  <pageMargins left="0.86614173228346458" right="0.19685039370078741" top="0.15748031496062992" bottom="0.15748031496062992" header="0.31496062992125984" footer="0.31496062992125984"/>
  <pageSetup paperSize="5" scale="5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3399"/>
  </sheetPr>
  <dimension ref="A2:AF67"/>
  <sheetViews>
    <sheetView tabSelected="1" topLeftCell="A3" zoomScale="80" zoomScaleNormal="80" zoomScaleSheetLayoutView="100" workbookViewId="0">
      <pane xSplit="2" ySplit="7" topLeftCell="C37" activePane="bottomRight" state="frozen"/>
      <selection activeCell="A3" sqref="A3"/>
      <selection pane="topRight" activeCell="C3" sqref="C3"/>
      <selection pane="bottomLeft" activeCell="A10" sqref="A10"/>
      <selection pane="bottomRight" activeCell="I55" sqref="I55"/>
    </sheetView>
  </sheetViews>
  <sheetFormatPr baseColWidth="10" defaultRowHeight="12.75"/>
  <cols>
    <col min="1" max="1" width="12.28515625" style="69" customWidth="1"/>
    <col min="2" max="2" width="19.85546875" style="1" customWidth="1"/>
    <col min="3" max="3" width="8" style="1" customWidth="1"/>
    <col min="4" max="4" width="7.140625" style="1" customWidth="1"/>
    <col min="5" max="6" width="11.28515625" style="1" customWidth="1"/>
    <col min="7" max="7" width="11.140625" style="1" customWidth="1"/>
    <col min="8" max="8" width="10.85546875" style="1" customWidth="1"/>
    <col min="9" max="9" width="12.5703125" style="1" customWidth="1"/>
    <col min="10" max="10" width="10.5703125" style="1" customWidth="1"/>
    <col min="11" max="11" width="10.7109375" style="1" customWidth="1"/>
    <col min="12" max="12" width="10.42578125" style="1" customWidth="1"/>
    <col min="13" max="13" width="9.85546875" style="1" customWidth="1"/>
    <col min="14" max="14" width="8.5703125" style="1" customWidth="1"/>
    <col min="15" max="15" width="10.5703125" style="1" customWidth="1"/>
    <col min="16" max="16" width="13.7109375" style="1" customWidth="1"/>
    <col min="17" max="17" width="11" style="1" hidden="1" customWidth="1"/>
    <col min="18" max="18" width="11.140625" style="1" hidden="1" customWidth="1"/>
    <col min="19" max="19" width="9.85546875" style="1" hidden="1" customWidth="1"/>
    <col min="20" max="20" width="8.5703125" style="1" hidden="1" customWidth="1"/>
    <col min="21" max="21" width="4.140625" style="1" hidden="1" customWidth="1"/>
    <col min="22" max="22" width="8.7109375" style="1" hidden="1" customWidth="1"/>
    <col min="23" max="23" width="13.85546875" style="1" customWidth="1"/>
    <col min="24" max="24" width="9.140625" style="1" customWidth="1"/>
    <col min="25" max="25" width="12.42578125" style="1" customWidth="1"/>
    <col min="26" max="26" width="12" style="1" hidden="1" customWidth="1"/>
    <col min="27" max="27" width="20.140625" style="1" hidden="1" customWidth="1"/>
    <col min="28" max="28" width="12.28515625" style="1" hidden="1" customWidth="1"/>
    <col min="29" max="16384" width="11.42578125" style="1"/>
  </cols>
  <sheetData>
    <row r="2" spans="1:28">
      <c r="B2" s="2" t="s">
        <v>0</v>
      </c>
    </row>
    <row r="3" spans="1:28" s="91" customFormat="1">
      <c r="A3" s="92"/>
    </row>
    <row r="4" spans="1:28" s="91" customFormat="1">
      <c r="A4" s="92"/>
    </row>
    <row r="5" spans="1:28" s="91" customFormat="1">
      <c r="A5" s="92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90"/>
    </row>
    <row r="6" spans="1:28" s="91" customFormat="1">
      <c r="A6" s="92"/>
      <c r="E6" s="4">
        <v>26.08</v>
      </c>
      <c r="F6" s="4"/>
      <c r="G6" s="4"/>
      <c r="H6" s="4"/>
      <c r="I6" s="4">
        <v>12.05</v>
      </c>
      <c r="J6" s="4"/>
      <c r="K6" s="65"/>
      <c r="L6" s="65"/>
      <c r="M6" s="65"/>
      <c r="N6" s="65"/>
      <c r="O6" s="128">
        <v>0.105</v>
      </c>
      <c r="U6" s="5">
        <v>0.01</v>
      </c>
    </row>
    <row r="7" spans="1:28" s="91" customFormat="1" ht="13.5" thickBot="1">
      <c r="A7" s="85" t="s">
        <v>0</v>
      </c>
      <c r="E7" s="4">
        <v>26.08</v>
      </c>
      <c r="F7" s="4"/>
      <c r="G7" s="4"/>
      <c r="H7" s="4"/>
      <c r="I7" s="7">
        <v>0.02</v>
      </c>
      <c r="J7" s="8">
        <v>0.04</v>
      </c>
      <c r="K7" s="129">
        <v>0.06</v>
      </c>
      <c r="L7" s="130">
        <v>13.15</v>
      </c>
      <c r="M7" s="6" t="s">
        <v>171</v>
      </c>
      <c r="N7" s="65"/>
      <c r="O7" s="65"/>
    </row>
    <row r="8" spans="1:28" ht="15.75" customHeight="1" thickBot="1">
      <c r="A8" s="199" t="s">
        <v>2</v>
      </c>
      <c r="B8" s="201" t="s">
        <v>3</v>
      </c>
      <c r="C8" s="203" t="s">
        <v>4</v>
      </c>
      <c r="D8" s="204"/>
      <c r="E8" s="204"/>
      <c r="F8" s="204"/>
      <c r="G8" s="204"/>
      <c r="H8" s="204"/>
      <c r="I8" s="205"/>
      <c r="J8" s="206" t="s">
        <v>5</v>
      </c>
      <c r="K8" s="207"/>
      <c r="L8" s="207"/>
      <c r="M8" s="208"/>
      <c r="N8" s="208"/>
      <c r="O8" s="208"/>
      <c r="P8" s="209"/>
      <c r="Q8" s="210" t="s">
        <v>6</v>
      </c>
      <c r="R8" s="211"/>
      <c r="S8" s="211"/>
      <c r="T8" s="211"/>
      <c r="U8" s="211"/>
      <c r="V8" s="211"/>
      <c r="W8" s="211"/>
      <c r="X8" s="198" t="s">
        <v>7</v>
      </c>
      <c r="Y8" s="198"/>
      <c r="Z8" s="198"/>
      <c r="AA8" s="95"/>
      <c r="AB8" s="95"/>
    </row>
    <row r="9" spans="1:28" s="20" customFormat="1" ht="75" customHeight="1">
      <c r="A9" s="200"/>
      <c r="B9" s="202"/>
      <c r="C9" s="96" t="s">
        <v>117</v>
      </c>
      <c r="D9" s="96" t="s">
        <v>118</v>
      </c>
      <c r="E9" s="96" t="s">
        <v>119</v>
      </c>
      <c r="F9" s="96" t="s">
        <v>120</v>
      </c>
      <c r="G9" s="96" t="s">
        <v>91</v>
      </c>
      <c r="H9" s="96" t="s">
        <v>92</v>
      </c>
      <c r="I9" s="96" t="s">
        <v>10</v>
      </c>
      <c r="J9" s="97" t="s">
        <v>121</v>
      </c>
      <c r="K9" s="97" t="s">
        <v>122</v>
      </c>
      <c r="L9" s="98" t="s">
        <v>123</v>
      </c>
      <c r="M9" s="99" t="s">
        <v>13</v>
      </c>
      <c r="N9" s="99" t="s">
        <v>14</v>
      </c>
      <c r="O9" s="14" t="s">
        <v>139</v>
      </c>
      <c r="P9" s="99" t="s">
        <v>16</v>
      </c>
      <c r="Q9" s="101" t="s">
        <v>17</v>
      </c>
      <c r="R9" s="102" t="s">
        <v>18</v>
      </c>
      <c r="S9" s="102" t="s">
        <v>19</v>
      </c>
      <c r="T9" s="102" t="s">
        <v>20</v>
      </c>
      <c r="U9" s="103" t="s">
        <v>21</v>
      </c>
      <c r="V9" s="103" t="s">
        <v>22</v>
      </c>
      <c r="W9" s="102" t="s">
        <v>23</v>
      </c>
      <c r="X9" s="104" t="s">
        <v>24</v>
      </c>
      <c r="Y9" s="105" t="s">
        <v>25</v>
      </c>
      <c r="Z9" s="106" t="s">
        <v>26</v>
      </c>
      <c r="AA9" s="214" t="s">
        <v>27</v>
      </c>
      <c r="AB9" s="214"/>
    </row>
    <row r="10" spans="1:28" s="111" customFormat="1" ht="45" customHeight="1">
      <c r="A10" s="21" t="s">
        <v>32</v>
      </c>
      <c r="B10" s="33" t="s">
        <v>99</v>
      </c>
      <c r="C10" s="107">
        <v>10</v>
      </c>
      <c r="D10" s="107">
        <v>0</v>
      </c>
      <c r="E10" s="108">
        <v>315.89999999999998</v>
      </c>
      <c r="F10" s="108">
        <v>360.15</v>
      </c>
      <c r="G10" s="108">
        <f t="shared" ref="G10:H30" si="0">C10*E10</f>
        <v>3159</v>
      </c>
      <c r="H10" s="108">
        <f t="shared" si="0"/>
        <v>0</v>
      </c>
      <c r="I10" s="26">
        <f t="shared" ref="I10:I37" si="1">G10+H10</f>
        <v>3159</v>
      </c>
      <c r="J10" s="26">
        <f>(C10+D10)*23.28</f>
        <v>232.8</v>
      </c>
      <c r="K10" s="26">
        <f>C10*I$6</f>
        <v>120.5</v>
      </c>
      <c r="L10" s="26">
        <f t="shared" ref="L10:L37" si="2">D10*L$7</f>
        <v>0</v>
      </c>
      <c r="M10" s="26"/>
      <c r="N10" s="26">
        <f>I10*J7</f>
        <v>126.36</v>
      </c>
      <c r="O10" s="26">
        <v>0</v>
      </c>
      <c r="P10" s="26">
        <f>SUM(I10:O10)</f>
        <v>3638.6600000000003</v>
      </c>
      <c r="Q10" s="109">
        <f>IF('[24]Calculo ISR '!$BH$34&lt;0,0,'[24]Calculo ISR '!$BH$34)</f>
        <v>141.37447999999998</v>
      </c>
      <c r="R10" s="110">
        <f>I10*O6</f>
        <v>331.69499999999999</v>
      </c>
      <c r="S10" s="110">
        <v>0</v>
      </c>
      <c r="T10" s="110">
        <f>I10*U6</f>
        <v>31.59</v>
      </c>
      <c r="U10" s="110">
        <f>'[24]HT-DOCENTE'!R11</f>
        <v>0</v>
      </c>
      <c r="V10" s="110"/>
      <c r="W10" s="26">
        <f>Q10+R10+S10+T10+V10+U10</f>
        <v>504.65947999999997</v>
      </c>
      <c r="X10" s="110">
        <f>IF('[24]Calculo ISR '!$BH$34&gt;0,0,('[24]Calculo ISR '!$BH$34)*-1)</f>
        <v>0</v>
      </c>
      <c r="Y10" s="26">
        <f t="shared" ref="Y10:Y37" si="3">P10-W10-J10+X10</f>
        <v>2901.2005200000003</v>
      </c>
      <c r="Z10" s="26">
        <f>J10</f>
        <v>232.8</v>
      </c>
      <c r="AA10" s="212"/>
      <c r="AB10" s="213"/>
    </row>
    <row r="11" spans="1:28" s="111" customFormat="1" ht="45" customHeight="1">
      <c r="A11" s="21" t="s">
        <v>34</v>
      </c>
      <c r="B11" s="33" t="s">
        <v>35</v>
      </c>
      <c r="C11" s="107">
        <v>12</v>
      </c>
      <c r="D11" s="107">
        <v>7.5</v>
      </c>
      <c r="E11" s="108">
        <v>315.89999999999998</v>
      </c>
      <c r="F11" s="108">
        <v>360.15</v>
      </c>
      <c r="G11" s="108">
        <f t="shared" si="0"/>
        <v>3790.7999999999997</v>
      </c>
      <c r="H11" s="108">
        <f>D11*F11</f>
        <v>2701.125</v>
      </c>
      <c r="I11" s="26">
        <f t="shared" si="1"/>
        <v>6491.9249999999993</v>
      </c>
      <c r="J11" s="26">
        <f>(C11+D11)*23.28</f>
        <v>453.96000000000004</v>
      </c>
      <c r="K11" s="26">
        <f t="shared" ref="K11:K37" si="4">C11*I$6</f>
        <v>144.60000000000002</v>
      </c>
      <c r="L11" s="26">
        <f t="shared" si="2"/>
        <v>98.625</v>
      </c>
      <c r="M11" s="26"/>
      <c r="N11" s="26">
        <f>I11*I7</f>
        <v>129.83849999999998</v>
      </c>
      <c r="O11" s="26">
        <f>'[24]HT-DOCENTE'!J12</f>
        <v>0</v>
      </c>
      <c r="P11" s="26">
        <f>SUM(I11:O11)</f>
        <v>7318.9484999999995</v>
      </c>
      <c r="Q11" s="109">
        <f>IF('[24]Calculo ISR '!$BI$34&lt;0,0,'[24]Calculo ISR '!$BI$34)</f>
        <v>919.17236759999992</v>
      </c>
      <c r="R11" s="110">
        <f>I11*O6</f>
        <v>681.65212499999984</v>
      </c>
      <c r="S11" s="110">
        <f>'[24]HT-DOCENTE'!P12</f>
        <v>0</v>
      </c>
      <c r="T11" s="110">
        <f>I11*U6</f>
        <v>64.919249999999991</v>
      </c>
      <c r="U11" s="110">
        <f>'[24]HT-DOCENTE'!R12</f>
        <v>0</v>
      </c>
      <c r="V11" s="110"/>
      <c r="W11" s="26">
        <f t="shared" ref="W11:W21" si="5">Q11+R11+S11+T11+V11+U11</f>
        <v>1665.7437425999997</v>
      </c>
      <c r="X11" s="110">
        <f>IF('[24]Calculo ISR '!$BI$34&gt;0,0,('[24]Calculo ISR '!$BI$34)*-1)</f>
        <v>0</v>
      </c>
      <c r="Y11" s="26">
        <f t="shared" si="3"/>
        <v>5199.2447573999998</v>
      </c>
      <c r="Z11" s="26">
        <f t="shared" ref="Z11:Z37" si="6">J11</f>
        <v>453.96000000000004</v>
      </c>
      <c r="AA11" s="212"/>
      <c r="AB11" s="213"/>
    </row>
    <row r="12" spans="1:28" s="111" customFormat="1" ht="45" customHeight="1">
      <c r="A12" s="21" t="s">
        <v>36</v>
      </c>
      <c r="B12" s="33" t="s">
        <v>37</v>
      </c>
      <c r="C12" s="107">
        <v>6.5</v>
      </c>
      <c r="D12" s="107">
        <v>7.5</v>
      </c>
      <c r="E12" s="108">
        <v>315.89999999999998</v>
      </c>
      <c r="F12" s="108">
        <v>360.15</v>
      </c>
      <c r="G12" s="108">
        <f t="shared" si="0"/>
        <v>2053.35</v>
      </c>
      <c r="H12" s="108">
        <f t="shared" si="0"/>
        <v>2701.125</v>
      </c>
      <c r="I12" s="26">
        <f t="shared" si="1"/>
        <v>4754.4750000000004</v>
      </c>
      <c r="J12" s="26">
        <f>(C12+D12)*23.28</f>
        <v>325.92</v>
      </c>
      <c r="K12" s="26">
        <f t="shared" si="4"/>
        <v>78.325000000000003</v>
      </c>
      <c r="L12" s="26">
        <f t="shared" si="2"/>
        <v>98.625</v>
      </c>
      <c r="M12" s="26">
        <f>(C12+D12)*E7</f>
        <v>365.12</v>
      </c>
      <c r="N12" s="26">
        <f>I12*I7</f>
        <v>95.089500000000015</v>
      </c>
      <c r="O12" s="26">
        <v>2103</v>
      </c>
      <c r="P12" s="26">
        <f t="shared" ref="P12:P37" si="7">SUM(I12:O12)</f>
        <v>7820.5545000000002</v>
      </c>
      <c r="Q12" s="109">
        <f>IF('[24]Calculo ISR '!$BJ$34&lt;0,0,'[24]Calculo ISR '!$BJ$34)</f>
        <v>1053.6647532000002</v>
      </c>
      <c r="R12" s="110">
        <f>I12*O6</f>
        <v>499.219875</v>
      </c>
      <c r="S12" s="110">
        <v>1431</v>
      </c>
      <c r="T12" s="110">
        <f>I12*U6</f>
        <v>47.544750000000008</v>
      </c>
      <c r="U12" s="110">
        <f>'[24]HT-DOCENTE'!R13</f>
        <v>0</v>
      </c>
      <c r="V12" s="110"/>
      <c r="W12" s="26">
        <f t="shared" si="5"/>
        <v>3031.4293782000004</v>
      </c>
      <c r="X12" s="110">
        <f>IF('[24]Calculo ISR '!$BJ$34&gt;0,0,('[24]Calculo ISR '!$BJ$34)*-1)</f>
        <v>0</v>
      </c>
      <c r="Y12" s="26">
        <f t="shared" si="3"/>
        <v>4463.2051217999997</v>
      </c>
      <c r="Z12" s="26">
        <f t="shared" si="6"/>
        <v>325.92</v>
      </c>
      <c r="AA12" s="212"/>
      <c r="AB12" s="213"/>
    </row>
    <row r="13" spans="1:28" s="111" customFormat="1" ht="45" customHeight="1">
      <c r="A13" s="21" t="s">
        <v>38</v>
      </c>
      <c r="B13" s="33" t="s">
        <v>39</v>
      </c>
      <c r="C13" s="107">
        <v>11.5</v>
      </c>
      <c r="D13" s="107">
        <v>7.5</v>
      </c>
      <c r="E13" s="108">
        <v>315.89999999999998</v>
      </c>
      <c r="F13" s="108">
        <v>360.15</v>
      </c>
      <c r="G13" s="108">
        <f t="shared" si="0"/>
        <v>3632.85</v>
      </c>
      <c r="H13" s="108">
        <f t="shared" si="0"/>
        <v>2701.125</v>
      </c>
      <c r="I13" s="26">
        <f t="shared" si="1"/>
        <v>6333.9750000000004</v>
      </c>
      <c r="J13" s="26">
        <f t="shared" ref="J13:J37" si="8">(C13+D13)*23.28</f>
        <v>442.32000000000005</v>
      </c>
      <c r="K13" s="26">
        <f t="shared" si="4"/>
        <v>138.57500000000002</v>
      </c>
      <c r="L13" s="26">
        <f t="shared" si="2"/>
        <v>98.625</v>
      </c>
      <c r="M13" s="26">
        <f>(C13+D13)*E7</f>
        <v>495.52</v>
      </c>
      <c r="N13" s="26"/>
      <c r="O13" s="26">
        <v>2103</v>
      </c>
      <c r="P13" s="26">
        <f t="shared" si="7"/>
        <v>9612.0149999999994</v>
      </c>
      <c r="Q13" s="109">
        <f>IF('[24]Calculo ISR '!$BK$34&lt;0,0,'[24]Calculo ISR '!$BK$34)</f>
        <v>1411.457676</v>
      </c>
      <c r="R13" s="110">
        <f>I13*O6</f>
        <v>665.06737499999997</v>
      </c>
      <c r="S13" s="110">
        <v>1655</v>
      </c>
      <c r="T13" s="110">
        <f>I13*U6</f>
        <v>63.339750000000002</v>
      </c>
      <c r="U13" s="110">
        <f>'[24]HT-DOCENTE'!R14</f>
        <v>0</v>
      </c>
      <c r="V13" s="110"/>
      <c r="W13" s="26">
        <f t="shared" si="5"/>
        <v>3794.8648010000002</v>
      </c>
      <c r="X13" s="110">
        <f>IF('[24]Calculo ISR '!$BK$34&gt;0,0,('[24]Calculo ISR '!$BK$34)*-1)</f>
        <v>0</v>
      </c>
      <c r="Y13" s="26">
        <f t="shared" si="3"/>
        <v>5374.830199</v>
      </c>
      <c r="Z13" s="26">
        <f t="shared" si="6"/>
        <v>442.32000000000005</v>
      </c>
      <c r="AA13" s="212"/>
      <c r="AB13" s="213"/>
    </row>
    <row r="14" spans="1:28" s="111" customFormat="1" ht="45" customHeight="1">
      <c r="A14" s="21" t="s">
        <v>40</v>
      </c>
      <c r="B14" s="33" t="s">
        <v>41</v>
      </c>
      <c r="C14" s="107">
        <v>18.5</v>
      </c>
      <c r="D14" s="107">
        <v>0</v>
      </c>
      <c r="E14" s="108">
        <v>315.89999999999998</v>
      </c>
      <c r="F14" s="108">
        <v>360.15</v>
      </c>
      <c r="G14" s="108">
        <f t="shared" si="0"/>
        <v>5844.15</v>
      </c>
      <c r="H14" s="108">
        <f t="shared" si="0"/>
        <v>0</v>
      </c>
      <c r="I14" s="26">
        <f t="shared" si="1"/>
        <v>5844.15</v>
      </c>
      <c r="J14" s="26">
        <f t="shared" si="8"/>
        <v>430.68</v>
      </c>
      <c r="K14" s="26">
        <f t="shared" si="4"/>
        <v>222.92500000000001</v>
      </c>
      <c r="L14" s="26">
        <f t="shared" si="2"/>
        <v>0</v>
      </c>
      <c r="M14" s="26">
        <f>(C14+D14)*E7</f>
        <v>482.47999999999996</v>
      </c>
      <c r="N14" s="26"/>
      <c r="O14" s="26">
        <f>'[24]HT-DOCENTE'!J15</f>
        <v>0</v>
      </c>
      <c r="P14" s="26">
        <f t="shared" si="7"/>
        <v>6980.2349999999997</v>
      </c>
      <c r="Q14" s="109">
        <f>IF('[24]Calculo ISR '!$BL$34&lt;0,0,'[24]Calculo ISR '!$BL$34)</f>
        <v>851.79577199999994</v>
      </c>
      <c r="R14" s="110">
        <f>I14*O6</f>
        <v>613.63574999999992</v>
      </c>
      <c r="S14" s="110">
        <f>'[24]HT-DOCENTE'!P15</f>
        <v>0</v>
      </c>
      <c r="T14" s="110">
        <f>I14*U6</f>
        <v>58.441499999999998</v>
      </c>
      <c r="U14" s="110">
        <v>0</v>
      </c>
      <c r="V14" s="110"/>
      <c r="W14" s="26">
        <f t="shared" si="5"/>
        <v>1523.8730219999998</v>
      </c>
      <c r="X14" s="110">
        <f>IF('[24]Calculo ISR '!$BL$34&gt;0,0,('[24]Calculo ISR '!$BL$34)*-1)</f>
        <v>0</v>
      </c>
      <c r="Y14" s="26">
        <f t="shared" si="3"/>
        <v>5025.6819779999996</v>
      </c>
      <c r="Z14" s="26">
        <f t="shared" si="6"/>
        <v>430.68</v>
      </c>
      <c r="AA14" s="212"/>
      <c r="AB14" s="213"/>
    </row>
    <row r="15" spans="1:28" s="111" customFormat="1" ht="45" customHeight="1">
      <c r="A15" s="21" t="s">
        <v>44</v>
      </c>
      <c r="B15" s="33" t="s">
        <v>45</v>
      </c>
      <c r="C15" s="112">
        <v>9.5</v>
      </c>
      <c r="D15" s="112">
        <v>7.5</v>
      </c>
      <c r="E15" s="108">
        <v>315.89999999999998</v>
      </c>
      <c r="F15" s="108">
        <v>360.15</v>
      </c>
      <c r="G15" s="108">
        <f t="shared" si="0"/>
        <v>3001.0499999999997</v>
      </c>
      <c r="H15" s="108">
        <f t="shared" si="0"/>
        <v>2701.125</v>
      </c>
      <c r="I15" s="26">
        <f t="shared" si="1"/>
        <v>5702.1749999999993</v>
      </c>
      <c r="J15" s="26">
        <f t="shared" si="8"/>
        <v>395.76</v>
      </c>
      <c r="K15" s="26">
        <f t="shared" si="4"/>
        <v>114.47500000000001</v>
      </c>
      <c r="L15" s="26">
        <f t="shared" si="2"/>
        <v>98.625</v>
      </c>
      <c r="M15" s="26"/>
      <c r="N15" s="26"/>
      <c r="O15" s="26">
        <f>'[24]HT-DOCENTE'!J17</f>
        <v>0</v>
      </c>
      <c r="P15" s="26">
        <f t="shared" si="7"/>
        <v>6311.0349999999999</v>
      </c>
      <c r="Q15" s="109">
        <f>IF('[24]Calculo ISR '!$BN$34&lt;0,0,'[24]Calculo ISR '!$BN$34)</f>
        <v>716.31356400000004</v>
      </c>
      <c r="R15" s="110">
        <f>I15*O6</f>
        <v>598.72837499999991</v>
      </c>
      <c r="S15" s="110">
        <f>'[24]HT-DOCENTE'!P17</f>
        <v>0</v>
      </c>
      <c r="T15" s="110">
        <f>I15*U6</f>
        <v>57.021749999999997</v>
      </c>
      <c r="U15" s="110">
        <f>'[24]HT-DOCENTE'!R17</f>
        <v>0</v>
      </c>
      <c r="V15" s="110"/>
      <c r="W15" s="26">
        <f t="shared" si="5"/>
        <v>1372.0636890000001</v>
      </c>
      <c r="X15" s="110">
        <f>IF('[24]Calculo ISR '!$BN$34&gt;0,0,('[24]Calculo ISR '!$BN$34)*-1)</f>
        <v>0</v>
      </c>
      <c r="Y15" s="26">
        <f t="shared" si="3"/>
        <v>4543.2113109999991</v>
      </c>
      <c r="Z15" s="26">
        <f t="shared" si="6"/>
        <v>395.76</v>
      </c>
      <c r="AA15" s="212"/>
      <c r="AB15" s="213"/>
    </row>
    <row r="16" spans="1:28" s="111" customFormat="1" ht="45" customHeight="1">
      <c r="A16" s="21" t="s">
        <v>48</v>
      </c>
      <c r="B16" s="33" t="s">
        <v>49</v>
      </c>
      <c r="C16" s="112">
        <v>18</v>
      </c>
      <c r="D16" s="112">
        <v>0</v>
      </c>
      <c r="E16" s="108">
        <v>315.89999999999998</v>
      </c>
      <c r="F16" s="108">
        <v>360.15</v>
      </c>
      <c r="G16" s="108">
        <f t="shared" si="0"/>
        <v>5686.2</v>
      </c>
      <c r="H16" s="108">
        <f t="shared" si="0"/>
        <v>0</v>
      </c>
      <c r="I16" s="26">
        <f t="shared" si="1"/>
        <v>5686.2</v>
      </c>
      <c r="J16" s="26">
        <f t="shared" si="8"/>
        <v>419.04</v>
      </c>
      <c r="K16" s="26">
        <f t="shared" si="4"/>
        <v>216.9</v>
      </c>
      <c r="L16" s="26">
        <f t="shared" si="2"/>
        <v>0</v>
      </c>
      <c r="M16" s="26"/>
      <c r="N16" s="26"/>
      <c r="O16" s="26">
        <v>0</v>
      </c>
      <c r="P16" s="26">
        <f t="shared" si="7"/>
        <v>6322.1399999999994</v>
      </c>
      <c r="Q16" s="109">
        <f>IF('[24]Calculo ISR '!$BP$34&lt;0,0,'[24]Calculo ISR '!$BP$34)</f>
        <v>713.71298400000001</v>
      </c>
      <c r="R16" s="110">
        <f>I16*O6</f>
        <v>597.05099999999993</v>
      </c>
      <c r="S16" s="110">
        <f>'[24]HT-DOCENTE'!P19</f>
        <v>0</v>
      </c>
      <c r="T16" s="110">
        <f>I16*U6</f>
        <v>56.862000000000002</v>
      </c>
      <c r="U16" s="110">
        <f>'[24]HT-DOCENTE'!R19</f>
        <v>0</v>
      </c>
      <c r="V16" s="113">
        <f>[24]descuentos!D11</f>
        <v>0</v>
      </c>
      <c r="W16" s="26">
        <f>Q16+R16+S16+T16+V16+U16</f>
        <v>1367.625984</v>
      </c>
      <c r="X16" s="110">
        <f>IF('[24]Calculo ISR '!$BP$34&gt;0,0,('[24]Calculo ISR '!$BP$34)*-1)</f>
        <v>0</v>
      </c>
      <c r="Y16" s="26">
        <f t="shared" si="3"/>
        <v>4535.4740159999992</v>
      </c>
      <c r="Z16" s="26">
        <f t="shared" si="6"/>
        <v>419.04</v>
      </c>
      <c r="AA16" s="212"/>
      <c r="AB16" s="213"/>
    </row>
    <row r="17" spans="1:29" s="111" customFormat="1" ht="45" customHeight="1">
      <c r="A17" s="21" t="s">
        <v>50</v>
      </c>
      <c r="B17" s="33" t="s">
        <v>51</v>
      </c>
      <c r="C17" s="112">
        <v>10.5</v>
      </c>
      <c r="D17" s="112">
        <v>7.5</v>
      </c>
      <c r="E17" s="108">
        <v>315.89999999999998</v>
      </c>
      <c r="F17" s="108">
        <v>360.15</v>
      </c>
      <c r="G17" s="108">
        <f t="shared" si="0"/>
        <v>3316.95</v>
      </c>
      <c r="H17" s="108">
        <f t="shared" si="0"/>
        <v>2701.125</v>
      </c>
      <c r="I17" s="26">
        <f t="shared" si="1"/>
        <v>6018.0749999999998</v>
      </c>
      <c r="J17" s="26">
        <f t="shared" si="8"/>
        <v>419.04</v>
      </c>
      <c r="K17" s="26">
        <f t="shared" si="4"/>
        <v>126.52500000000001</v>
      </c>
      <c r="L17" s="26">
        <f t="shared" si="2"/>
        <v>98.625</v>
      </c>
      <c r="M17" s="26"/>
      <c r="N17" s="26"/>
      <c r="O17" s="26">
        <v>0</v>
      </c>
      <c r="P17" s="26">
        <f t="shared" si="7"/>
        <v>6662.2649999999994</v>
      </c>
      <c r="Q17" s="109">
        <f>IF('[24]Calculo ISR '!$BQ$34&lt;0,0,'[24]Calculo ISR '!$BQ$34)</f>
        <v>786.36368399999992</v>
      </c>
      <c r="R17" s="110">
        <f>I17*O6</f>
        <v>631.897875</v>
      </c>
      <c r="S17" s="110">
        <v>1570</v>
      </c>
      <c r="T17" s="110">
        <f>I17*U6</f>
        <v>60.180749999999996</v>
      </c>
      <c r="U17" s="110"/>
      <c r="V17" s="110"/>
      <c r="W17" s="26">
        <f t="shared" si="5"/>
        <v>3048.442309</v>
      </c>
      <c r="X17" s="110">
        <f>IF('[24]Calculo ISR '!$BQ$34&gt;0,0,('[24]Calculo ISR '!$BQ$34)*-1)</f>
        <v>0</v>
      </c>
      <c r="Y17" s="26">
        <f t="shared" si="3"/>
        <v>3194.7826909999994</v>
      </c>
      <c r="Z17" s="26">
        <f t="shared" si="6"/>
        <v>419.04</v>
      </c>
      <c r="AA17" s="212"/>
      <c r="AB17" s="213"/>
    </row>
    <row r="18" spans="1:29" s="111" customFormat="1" ht="45" customHeight="1">
      <c r="A18" s="21" t="s">
        <v>52</v>
      </c>
      <c r="B18" s="33" t="s">
        <v>53</v>
      </c>
      <c r="C18" s="112">
        <v>12</v>
      </c>
      <c r="D18" s="112">
        <v>7.5</v>
      </c>
      <c r="E18" s="108">
        <v>315.89999999999998</v>
      </c>
      <c r="F18" s="108">
        <v>360.15</v>
      </c>
      <c r="G18" s="108">
        <f t="shared" si="0"/>
        <v>3790.7999999999997</v>
      </c>
      <c r="H18" s="108">
        <f t="shared" si="0"/>
        <v>2701.125</v>
      </c>
      <c r="I18" s="26">
        <f t="shared" si="1"/>
        <v>6491.9249999999993</v>
      </c>
      <c r="J18" s="26">
        <f t="shared" si="8"/>
        <v>453.96000000000004</v>
      </c>
      <c r="K18" s="26">
        <f t="shared" si="4"/>
        <v>144.60000000000002</v>
      </c>
      <c r="L18" s="26">
        <f t="shared" si="2"/>
        <v>98.625</v>
      </c>
      <c r="M18" s="26"/>
      <c r="N18" s="26"/>
      <c r="O18" s="26">
        <v>2103</v>
      </c>
      <c r="P18" s="26">
        <f t="shared" si="7"/>
        <v>9292.11</v>
      </c>
      <c r="Q18" s="109">
        <f>IF('[24]Calculo ISR '!$BR$34&lt;0,0,'[24]Calculo ISR '!$BR$34)</f>
        <v>1340.6396640000003</v>
      </c>
      <c r="R18" s="110">
        <f>I18*O6</f>
        <v>681.65212499999984</v>
      </c>
      <c r="S18" s="110">
        <f>'[24]HT-DOCENTE'!P21</f>
        <v>0</v>
      </c>
      <c r="T18" s="110">
        <f>I18*U6</f>
        <v>64.919249999999991</v>
      </c>
      <c r="U18" s="110"/>
      <c r="V18" s="110"/>
      <c r="W18" s="26">
        <f t="shared" si="5"/>
        <v>2087.2110390000003</v>
      </c>
      <c r="X18" s="110">
        <f>IF('[24]Calculo ISR '!$BR$34&gt;0,0,('[24]Calculo ISR '!$BR$34)*-1)</f>
        <v>0</v>
      </c>
      <c r="Y18" s="26">
        <f t="shared" si="3"/>
        <v>6750.9389610000007</v>
      </c>
      <c r="Z18" s="26">
        <f t="shared" si="6"/>
        <v>453.96000000000004</v>
      </c>
      <c r="AA18" s="212"/>
      <c r="AB18" s="213"/>
    </row>
    <row r="19" spans="1:29" s="111" customFormat="1" ht="45" customHeight="1">
      <c r="A19" s="21" t="s">
        <v>54</v>
      </c>
      <c r="B19" s="33" t="s">
        <v>55</v>
      </c>
      <c r="C19" s="112">
        <v>11</v>
      </c>
      <c r="D19" s="112">
        <v>7.5</v>
      </c>
      <c r="E19" s="108">
        <v>315.89999999999998</v>
      </c>
      <c r="F19" s="108">
        <v>360.15</v>
      </c>
      <c r="G19" s="108">
        <f t="shared" si="0"/>
        <v>3474.8999999999996</v>
      </c>
      <c r="H19" s="108">
        <f t="shared" si="0"/>
        <v>2701.125</v>
      </c>
      <c r="I19" s="26">
        <f t="shared" si="1"/>
        <v>6176.0249999999996</v>
      </c>
      <c r="J19" s="26">
        <f t="shared" si="8"/>
        <v>430.68</v>
      </c>
      <c r="K19" s="26">
        <f t="shared" si="4"/>
        <v>132.55000000000001</v>
      </c>
      <c r="L19" s="26">
        <f t="shared" si="2"/>
        <v>98.625</v>
      </c>
      <c r="M19" s="26"/>
      <c r="N19" s="26"/>
      <c r="O19" s="26">
        <v>0</v>
      </c>
      <c r="P19" s="26">
        <f t="shared" si="7"/>
        <v>6837.88</v>
      </c>
      <c r="Q19" s="109">
        <f>IF('[24]Calculo ISR '!$BS$34&lt;0,0,'[24]Calculo ISR '!$BS$34)</f>
        <v>821.38874400000009</v>
      </c>
      <c r="R19" s="110">
        <f>I19*O6</f>
        <v>648.48262499999998</v>
      </c>
      <c r="S19" s="110">
        <v>1324</v>
      </c>
      <c r="T19" s="110">
        <f>I19*U6</f>
        <v>61.760249999999999</v>
      </c>
      <c r="U19" s="110">
        <f>'[24]HT-DOCENTE'!R22</f>
        <v>0</v>
      </c>
      <c r="V19" s="110"/>
      <c r="W19" s="26">
        <f t="shared" si="5"/>
        <v>2855.6316189999998</v>
      </c>
      <c r="X19" s="110">
        <f>IF('[24]Calculo ISR '!$BS$34&gt;0,0,('[24]Calculo ISR '!$BS$34)*-1)</f>
        <v>0</v>
      </c>
      <c r="Y19" s="26">
        <f t="shared" si="3"/>
        <v>3551.5683810000005</v>
      </c>
      <c r="Z19" s="26">
        <f t="shared" si="6"/>
        <v>430.68</v>
      </c>
      <c r="AA19" s="212"/>
      <c r="AB19" s="213"/>
    </row>
    <row r="20" spans="1:29" s="111" customFormat="1" ht="45" customHeight="1">
      <c r="A20" s="21" t="s">
        <v>56</v>
      </c>
      <c r="B20" s="33" t="s">
        <v>57</v>
      </c>
      <c r="C20" s="112">
        <v>11.5</v>
      </c>
      <c r="D20" s="112">
        <v>7.5</v>
      </c>
      <c r="E20" s="108">
        <v>315.89999999999998</v>
      </c>
      <c r="F20" s="108">
        <v>360.15</v>
      </c>
      <c r="G20" s="108">
        <f t="shared" si="0"/>
        <v>3632.85</v>
      </c>
      <c r="H20" s="108">
        <f>D20*F20</f>
        <v>2701.125</v>
      </c>
      <c r="I20" s="26">
        <f t="shared" si="1"/>
        <v>6333.9750000000004</v>
      </c>
      <c r="J20" s="26">
        <f t="shared" si="8"/>
        <v>442.32000000000005</v>
      </c>
      <c r="K20" s="26">
        <f t="shared" si="4"/>
        <v>138.57500000000002</v>
      </c>
      <c r="L20" s="26">
        <f t="shared" si="2"/>
        <v>98.625</v>
      </c>
      <c r="M20" s="26">
        <f>(C20+D20)*E7</f>
        <v>495.52</v>
      </c>
      <c r="N20" s="26"/>
      <c r="O20" s="26">
        <v>0</v>
      </c>
      <c r="P20" s="26">
        <f t="shared" si="7"/>
        <v>7509.0149999999994</v>
      </c>
      <c r="Q20" s="109">
        <f>IF('[24]Calculo ISR '!$BT$34&lt;0,0,'[24]Calculo ISR '!$BT$34)</f>
        <v>962.25687600000003</v>
      </c>
      <c r="R20" s="110">
        <f>I20*O6</f>
        <v>665.06737499999997</v>
      </c>
      <c r="S20" s="110">
        <f>'[24]HT-DOCENTE'!P23</f>
        <v>0</v>
      </c>
      <c r="T20" s="110">
        <f>I20*U6</f>
        <v>63.339750000000002</v>
      </c>
      <c r="U20" s="110">
        <f>'[24]HT-DOCENTE'!R23</f>
        <v>0</v>
      </c>
      <c r="V20" s="113"/>
      <c r="W20" s="26">
        <f t="shared" si="5"/>
        <v>1690.6640010000001</v>
      </c>
      <c r="X20" s="110">
        <f>IF('[24]Calculo ISR '!$BT$34&gt;0,0,('[24]Calculo ISR '!$BT$34)*-1)</f>
        <v>0</v>
      </c>
      <c r="Y20" s="26">
        <f t="shared" si="3"/>
        <v>5376.0309989999996</v>
      </c>
      <c r="Z20" s="26">
        <f t="shared" si="6"/>
        <v>442.32000000000005</v>
      </c>
      <c r="AA20" s="212"/>
      <c r="AB20" s="213"/>
    </row>
    <row r="21" spans="1:29" s="111" customFormat="1" ht="45" customHeight="1">
      <c r="A21" s="21" t="s">
        <v>58</v>
      </c>
      <c r="B21" s="33" t="s">
        <v>59</v>
      </c>
      <c r="C21" s="112">
        <v>11</v>
      </c>
      <c r="D21" s="112">
        <v>0</v>
      </c>
      <c r="E21" s="108">
        <v>315.89999999999998</v>
      </c>
      <c r="F21" s="108">
        <v>360.15</v>
      </c>
      <c r="G21" s="108">
        <f t="shared" si="0"/>
        <v>3474.8999999999996</v>
      </c>
      <c r="H21" s="108">
        <f t="shared" si="0"/>
        <v>0</v>
      </c>
      <c r="I21" s="26">
        <f t="shared" si="1"/>
        <v>3474.8999999999996</v>
      </c>
      <c r="J21" s="26">
        <f t="shared" si="8"/>
        <v>256.08000000000004</v>
      </c>
      <c r="K21" s="26">
        <f t="shared" si="4"/>
        <v>132.55000000000001</v>
      </c>
      <c r="L21" s="26">
        <f t="shared" si="2"/>
        <v>0</v>
      </c>
      <c r="M21" s="26"/>
      <c r="N21" s="26"/>
      <c r="O21" s="26"/>
      <c r="P21" s="26">
        <f t="shared" si="7"/>
        <v>3863.5299999999997</v>
      </c>
      <c r="Q21" s="109">
        <f>IF('[24]Calculo ISR '!$BU$34&lt;0,0,'[24]Calculo ISR '!$BU$34)</f>
        <v>181.00747199999992</v>
      </c>
      <c r="R21" s="110">
        <f>I21*O6</f>
        <v>364.86449999999996</v>
      </c>
      <c r="S21" s="110">
        <v>786</v>
      </c>
      <c r="T21" s="110">
        <f>I21*U6</f>
        <v>34.748999999999995</v>
      </c>
      <c r="U21" s="110"/>
      <c r="V21" s="110"/>
      <c r="W21" s="26">
        <f t="shared" si="5"/>
        <v>1366.6209719999999</v>
      </c>
      <c r="X21" s="110">
        <f>IF('[24]Calculo ISR '!$BU$34&gt;0,0,('[24]Calculo ISR '!$BU$34)*-1)</f>
        <v>0</v>
      </c>
      <c r="Y21" s="26">
        <f t="shared" si="3"/>
        <v>2240.8290280000001</v>
      </c>
      <c r="Z21" s="26">
        <f t="shared" si="6"/>
        <v>256.08000000000004</v>
      </c>
      <c r="AA21" s="212"/>
      <c r="AB21" s="213"/>
    </row>
    <row r="22" spans="1:29" s="111" customFormat="1" ht="45" customHeight="1">
      <c r="A22" s="21" t="s">
        <v>60</v>
      </c>
      <c r="B22" s="33" t="s">
        <v>100</v>
      </c>
      <c r="C22" s="112">
        <v>16</v>
      </c>
      <c r="D22" s="112">
        <v>0</v>
      </c>
      <c r="E22" s="108">
        <v>315.89999999999998</v>
      </c>
      <c r="F22" s="108">
        <v>360.15</v>
      </c>
      <c r="G22" s="108">
        <f t="shared" si="0"/>
        <v>5054.3999999999996</v>
      </c>
      <c r="H22" s="108">
        <f t="shared" si="0"/>
        <v>0</v>
      </c>
      <c r="I22" s="26">
        <f t="shared" si="1"/>
        <v>5054.3999999999996</v>
      </c>
      <c r="J22" s="26">
        <f t="shared" si="8"/>
        <v>372.48</v>
      </c>
      <c r="K22" s="26">
        <f t="shared" si="4"/>
        <v>192.8</v>
      </c>
      <c r="L22" s="26">
        <f t="shared" si="2"/>
        <v>0</v>
      </c>
      <c r="M22" s="26"/>
      <c r="N22" s="26"/>
      <c r="O22" s="26"/>
      <c r="P22" s="26">
        <f t="shared" si="7"/>
        <v>5619.6799999999994</v>
      </c>
      <c r="Q22" s="109">
        <f>IF('[24]Calculo ISR '!$BV$34&lt;0,0,'[24]Calculo ISR '!$BV$34)</f>
        <v>573.61274399999979</v>
      </c>
      <c r="R22" s="110">
        <f>I22*O6</f>
        <v>530.71199999999999</v>
      </c>
      <c r="S22" s="110"/>
      <c r="T22" s="110"/>
      <c r="U22" s="110"/>
      <c r="V22" s="110"/>
      <c r="W22" s="26">
        <f t="shared" ref="W22:W37" si="9">Q22+R22+S22+T22+U22+V22</f>
        <v>1104.3247439999998</v>
      </c>
      <c r="X22" s="110">
        <f>IF('[24]Calculo ISR '!$BV$34&gt;0,0,('[24]Calculo ISR '!$BV$34)*-1)</f>
        <v>0</v>
      </c>
      <c r="Y22" s="26">
        <f t="shared" si="3"/>
        <v>4142.8752559999994</v>
      </c>
      <c r="Z22" s="26">
        <f t="shared" si="6"/>
        <v>372.48</v>
      </c>
      <c r="AA22" s="212"/>
      <c r="AB22" s="213"/>
    </row>
    <row r="23" spans="1:29" s="111" customFormat="1" ht="45" customHeight="1">
      <c r="A23" s="21" t="s">
        <v>62</v>
      </c>
      <c r="B23" s="33" t="s">
        <v>63</v>
      </c>
      <c r="C23" s="112">
        <v>18</v>
      </c>
      <c r="D23" s="112">
        <v>0</v>
      </c>
      <c r="E23" s="108">
        <v>315.89999999999998</v>
      </c>
      <c r="F23" s="108">
        <v>360.15</v>
      </c>
      <c r="G23" s="108">
        <f t="shared" si="0"/>
        <v>5686.2</v>
      </c>
      <c r="H23" s="108">
        <f t="shared" si="0"/>
        <v>0</v>
      </c>
      <c r="I23" s="26">
        <f t="shared" si="1"/>
        <v>5686.2</v>
      </c>
      <c r="J23" s="26">
        <f t="shared" si="8"/>
        <v>419.04</v>
      </c>
      <c r="K23" s="26">
        <f t="shared" si="4"/>
        <v>216.9</v>
      </c>
      <c r="L23" s="26">
        <f t="shared" si="2"/>
        <v>0</v>
      </c>
      <c r="M23" s="26"/>
      <c r="N23" s="26"/>
      <c r="O23" s="26">
        <v>0</v>
      </c>
      <c r="P23" s="26">
        <f t="shared" si="7"/>
        <v>6322.1399999999994</v>
      </c>
      <c r="Q23" s="109">
        <f>IF('[24]Calculo ISR '!$BW$34&lt;0,0,'[24]Calculo ISR '!$BW$34)</f>
        <v>713.71298400000001</v>
      </c>
      <c r="R23" s="110">
        <f>I23*O6</f>
        <v>597.05099999999993</v>
      </c>
      <c r="S23" s="110"/>
      <c r="T23" s="110">
        <f>I23*U6</f>
        <v>56.862000000000002</v>
      </c>
      <c r="U23" s="110"/>
      <c r="V23" s="110"/>
      <c r="W23" s="26">
        <f t="shared" si="9"/>
        <v>1367.625984</v>
      </c>
      <c r="X23" s="110">
        <f>IF('[24]Calculo ISR '!$BW$34&gt;0,0,('[24]Calculo ISR '!$BW$34)*-1)</f>
        <v>0</v>
      </c>
      <c r="Y23" s="26">
        <f t="shared" si="3"/>
        <v>4535.4740159999992</v>
      </c>
      <c r="Z23" s="26">
        <f t="shared" si="6"/>
        <v>419.04</v>
      </c>
      <c r="AA23" s="212"/>
      <c r="AB23" s="213"/>
    </row>
    <row r="24" spans="1:29" s="111" customFormat="1" ht="45" customHeight="1">
      <c r="A24" s="21" t="s">
        <v>64</v>
      </c>
      <c r="B24" s="33" t="s">
        <v>65</v>
      </c>
      <c r="C24" s="112">
        <v>17.5</v>
      </c>
      <c r="D24" s="112">
        <v>0</v>
      </c>
      <c r="E24" s="108">
        <v>315.89999999999998</v>
      </c>
      <c r="F24" s="108">
        <v>360.15</v>
      </c>
      <c r="G24" s="108">
        <f t="shared" si="0"/>
        <v>5528.25</v>
      </c>
      <c r="H24" s="108">
        <f t="shared" si="0"/>
        <v>0</v>
      </c>
      <c r="I24" s="26">
        <f t="shared" si="1"/>
        <v>5528.25</v>
      </c>
      <c r="J24" s="26">
        <f t="shared" si="8"/>
        <v>407.40000000000003</v>
      </c>
      <c r="K24" s="26">
        <f t="shared" si="4"/>
        <v>210.875</v>
      </c>
      <c r="L24" s="26">
        <f t="shared" si="2"/>
        <v>0</v>
      </c>
      <c r="M24" s="26"/>
      <c r="N24" s="26"/>
      <c r="O24" s="26">
        <v>0</v>
      </c>
      <c r="P24" s="26">
        <f t="shared" si="7"/>
        <v>6146.5249999999996</v>
      </c>
      <c r="Q24" s="109">
        <f>IF('[24]Calculo ISR '!$BX$34&lt;0,0,'[24]Calculo ISR '!$BX$34)</f>
        <v>678.68792400000007</v>
      </c>
      <c r="R24" s="110">
        <f>I24*O6</f>
        <v>580.46624999999995</v>
      </c>
      <c r="S24" s="110"/>
      <c r="T24" s="110">
        <f>I24*U6</f>
        <v>55.282499999999999</v>
      </c>
      <c r="U24" s="110"/>
      <c r="V24" s="110"/>
      <c r="W24" s="26">
        <f t="shared" si="9"/>
        <v>1314.436674</v>
      </c>
      <c r="X24" s="110">
        <f>IF('[24]Calculo ISR '!$BX$34&gt;0,0,('[24]Calculo ISR '!$BX$34)*-1)</f>
        <v>0</v>
      </c>
      <c r="Y24" s="26">
        <f t="shared" si="3"/>
        <v>4424.6883259999995</v>
      </c>
      <c r="Z24" s="26">
        <f t="shared" si="6"/>
        <v>407.40000000000003</v>
      </c>
      <c r="AA24" s="212"/>
      <c r="AB24" s="213"/>
    </row>
    <row r="25" spans="1:29" s="111" customFormat="1" ht="45" customHeight="1">
      <c r="A25" s="21" t="s">
        <v>66</v>
      </c>
      <c r="B25" s="33" t="s">
        <v>67</v>
      </c>
      <c r="C25" s="112">
        <v>10</v>
      </c>
      <c r="D25" s="112">
        <v>0</v>
      </c>
      <c r="E25" s="108">
        <v>315.89999999999998</v>
      </c>
      <c r="F25" s="108">
        <v>360.15</v>
      </c>
      <c r="G25" s="108">
        <f t="shared" si="0"/>
        <v>3159</v>
      </c>
      <c r="H25" s="108">
        <f t="shared" si="0"/>
        <v>0</v>
      </c>
      <c r="I25" s="26">
        <f t="shared" si="1"/>
        <v>3159</v>
      </c>
      <c r="J25" s="26">
        <f t="shared" si="8"/>
        <v>232.8</v>
      </c>
      <c r="K25" s="26">
        <f t="shared" si="4"/>
        <v>120.5</v>
      </c>
      <c r="L25" s="26">
        <f t="shared" si="2"/>
        <v>0</v>
      </c>
      <c r="M25" s="26"/>
      <c r="N25" s="26"/>
      <c r="O25" s="26">
        <v>0</v>
      </c>
      <c r="P25" s="26">
        <f t="shared" si="7"/>
        <v>3512.3</v>
      </c>
      <c r="Q25" s="109">
        <f>IF('[24]Calculo ISR '!$BY$34&lt;0,0,'[24]Calculo ISR '!$BY$34)</f>
        <v>127.62651199999996</v>
      </c>
      <c r="R25" s="110">
        <f>I25*O6</f>
        <v>331.69499999999999</v>
      </c>
      <c r="S25" s="110"/>
      <c r="T25" s="110"/>
      <c r="U25" s="110"/>
      <c r="V25" s="110"/>
      <c r="W25" s="26">
        <f t="shared" si="9"/>
        <v>459.32151199999998</v>
      </c>
      <c r="X25" s="110">
        <f>IF('[24]Calculo ISR '!$BY$34&gt;0,0,('[24]Calculo ISR '!$BY$34)*-1)</f>
        <v>0</v>
      </c>
      <c r="Y25" s="26">
        <f t="shared" si="3"/>
        <v>2820.178488</v>
      </c>
      <c r="Z25" s="26">
        <f t="shared" si="6"/>
        <v>232.8</v>
      </c>
      <c r="AA25" s="212"/>
      <c r="AB25" s="213"/>
    </row>
    <row r="26" spans="1:29" s="111" customFormat="1" ht="45" customHeight="1">
      <c r="A26" s="21" t="s">
        <v>68</v>
      </c>
      <c r="B26" s="33" t="s">
        <v>69</v>
      </c>
      <c r="C26" s="112">
        <v>4.5</v>
      </c>
      <c r="D26" s="112">
        <v>0</v>
      </c>
      <c r="E26" s="108">
        <v>315.89999999999998</v>
      </c>
      <c r="F26" s="108">
        <v>360.15</v>
      </c>
      <c r="G26" s="108">
        <f t="shared" si="0"/>
        <v>1421.55</v>
      </c>
      <c r="H26" s="108">
        <f t="shared" si="0"/>
        <v>0</v>
      </c>
      <c r="I26" s="26">
        <f t="shared" si="1"/>
        <v>1421.55</v>
      </c>
      <c r="J26" s="26">
        <f t="shared" si="8"/>
        <v>104.76</v>
      </c>
      <c r="K26" s="26">
        <f t="shared" si="4"/>
        <v>54.225000000000001</v>
      </c>
      <c r="L26" s="26">
        <f t="shared" si="2"/>
        <v>0</v>
      </c>
      <c r="M26" s="26"/>
      <c r="N26" s="26"/>
      <c r="O26" s="26">
        <v>0</v>
      </c>
      <c r="P26" s="26">
        <f t="shared" si="7"/>
        <v>1580.5349999999999</v>
      </c>
      <c r="Q26" s="109">
        <f>IF('[24]Calculo ISR '!$BZ$34&lt;0,0,'[24]Calculo ISR '!$BZ$34)</f>
        <v>0</v>
      </c>
      <c r="R26" s="110">
        <f>I26*O6</f>
        <v>149.26274999999998</v>
      </c>
      <c r="S26" s="110"/>
      <c r="T26" s="110">
        <f>I26*U6</f>
        <v>14.2155</v>
      </c>
      <c r="U26" s="110"/>
      <c r="V26" s="110"/>
      <c r="W26" s="26">
        <f t="shared" si="9"/>
        <v>163.47824999999997</v>
      </c>
      <c r="X26" s="110">
        <f>IF('[24]Calculo ISR '!$BZ$34&gt;0,0,('[24]Calculo ISR '!$BZ$34)*-1)</f>
        <v>117.26823999999999</v>
      </c>
      <c r="Y26" s="26">
        <f t="shared" si="3"/>
        <v>1429.5649899999999</v>
      </c>
      <c r="Z26" s="26">
        <f t="shared" si="6"/>
        <v>104.76</v>
      </c>
      <c r="AA26" s="212"/>
      <c r="AB26" s="213"/>
    </row>
    <row r="27" spans="1:29" s="111" customFormat="1" ht="45" customHeight="1">
      <c r="A27" s="21" t="s">
        <v>70</v>
      </c>
      <c r="B27" s="33" t="s">
        <v>71</v>
      </c>
      <c r="C27" s="112">
        <v>7</v>
      </c>
      <c r="D27" s="112">
        <v>0</v>
      </c>
      <c r="E27" s="108">
        <v>315.89999999999998</v>
      </c>
      <c r="F27" s="108">
        <v>360.15</v>
      </c>
      <c r="G27" s="108">
        <f t="shared" si="0"/>
        <v>2211.2999999999997</v>
      </c>
      <c r="H27" s="108">
        <f t="shared" si="0"/>
        <v>0</v>
      </c>
      <c r="I27" s="26">
        <f t="shared" si="1"/>
        <v>2211.2999999999997</v>
      </c>
      <c r="J27" s="26">
        <f t="shared" si="8"/>
        <v>162.96</v>
      </c>
      <c r="K27" s="26">
        <f t="shared" si="4"/>
        <v>84.350000000000009</v>
      </c>
      <c r="L27" s="26">
        <f t="shared" si="2"/>
        <v>0</v>
      </c>
      <c r="M27" s="26"/>
      <c r="N27" s="26"/>
      <c r="O27" s="26"/>
      <c r="P27" s="26">
        <f t="shared" si="7"/>
        <v>2458.6099999999997</v>
      </c>
      <c r="Q27" s="109">
        <f>IF('[24]Calculo ISR '!$CA$34&lt;0,0,'[24]Calculo ISR '!$CA$34)</f>
        <v>0</v>
      </c>
      <c r="R27" s="110">
        <f>I27*O6</f>
        <v>232.18649999999997</v>
      </c>
      <c r="S27" s="110"/>
      <c r="T27" s="110">
        <f>I27*U6</f>
        <v>22.112999999999996</v>
      </c>
      <c r="U27" s="110"/>
      <c r="V27" s="113">
        <f>[24]descuentos!D10</f>
        <v>0</v>
      </c>
      <c r="W27" s="26">
        <f t="shared" si="9"/>
        <v>254.29949999999997</v>
      </c>
      <c r="X27" s="110">
        <f>IF('[24]Calculo ISR '!$CA$34&gt;0,0,('[24]Calculo ISR '!$CA$34)*-1)</f>
        <v>29.066368000000068</v>
      </c>
      <c r="Y27" s="26">
        <f t="shared" si="3"/>
        <v>2070.4168679999998</v>
      </c>
      <c r="Z27" s="26">
        <f t="shared" si="6"/>
        <v>162.96</v>
      </c>
      <c r="AA27" s="212"/>
      <c r="AB27" s="213"/>
    </row>
    <row r="28" spans="1:29" s="111" customFormat="1" ht="45" customHeight="1">
      <c r="A28" s="21" t="s">
        <v>72</v>
      </c>
      <c r="B28" s="33" t="s">
        <v>73</v>
      </c>
      <c r="C28" s="112">
        <v>7.5</v>
      </c>
      <c r="D28" s="112">
        <v>0</v>
      </c>
      <c r="E28" s="108">
        <v>315.89999999999998</v>
      </c>
      <c r="F28" s="108">
        <v>360.15</v>
      </c>
      <c r="G28" s="108">
        <f t="shared" si="0"/>
        <v>2369.25</v>
      </c>
      <c r="H28" s="108">
        <f t="shared" si="0"/>
        <v>0</v>
      </c>
      <c r="I28" s="26">
        <f t="shared" si="1"/>
        <v>2369.25</v>
      </c>
      <c r="J28" s="26">
        <f t="shared" si="8"/>
        <v>174.60000000000002</v>
      </c>
      <c r="K28" s="26">
        <f t="shared" si="4"/>
        <v>90.375</v>
      </c>
      <c r="L28" s="26">
        <f t="shared" si="2"/>
        <v>0</v>
      </c>
      <c r="M28" s="26"/>
      <c r="N28" s="26"/>
      <c r="O28" s="26"/>
      <c r="P28" s="26">
        <f t="shared" si="7"/>
        <v>2634.2249999999999</v>
      </c>
      <c r="Q28" s="109">
        <f>IF('[24]Calculo ISR '!$CB$34&lt;0,0,'[24]Calculo ISR '!$CB$34)</f>
        <v>3.1741119999999796</v>
      </c>
      <c r="R28" s="110">
        <f>I28*O6</f>
        <v>248.77124999999998</v>
      </c>
      <c r="S28" s="110"/>
      <c r="T28" s="110"/>
      <c r="U28" s="110"/>
      <c r="V28" s="113"/>
      <c r="W28" s="26">
        <f t="shared" si="9"/>
        <v>251.94536199999996</v>
      </c>
      <c r="X28" s="110">
        <f>IF('[24]Calculo ISR '!$CB$34&gt;0,0,('[24]Calculo ISR '!$CB$34)*-1)</f>
        <v>0</v>
      </c>
      <c r="Y28" s="26">
        <f t="shared" si="3"/>
        <v>2207.6796380000001</v>
      </c>
      <c r="Z28" s="26">
        <f t="shared" si="6"/>
        <v>174.60000000000002</v>
      </c>
      <c r="AA28" s="215"/>
      <c r="AB28" s="216"/>
      <c r="AC28" s="114"/>
    </row>
    <row r="29" spans="1:29" s="111" customFormat="1" ht="45" customHeight="1">
      <c r="A29" s="21" t="s">
        <v>94</v>
      </c>
      <c r="B29" s="33" t="s">
        <v>101</v>
      </c>
      <c r="C29" s="112">
        <v>10.5</v>
      </c>
      <c r="D29" s="112">
        <v>0</v>
      </c>
      <c r="E29" s="108">
        <v>315.89999999999998</v>
      </c>
      <c r="F29" s="108">
        <v>360.15</v>
      </c>
      <c r="G29" s="108">
        <f t="shared" si="0"/>
        <v>3316.95</v>
      </c>
      <c r="H29" s="108">
        <f t="shared" si="0"/>
        <v>0</v>
      </c>
      <c r="I29" s="26">
        <f t="shared" si="1"/>
        <v>3316.95</v>
      </c>
      <c r="J29" s="26">
        <f t="shared" si="8"/>
        <v>244.44</v>
      </c>
      <c r="K29" s="26">
        <f t="shared" si="4"/>
        <v>126.52500000000001</v>
      </c>
      <c r="L29" s="26">
        <f t="shared" si="2"/>
        <v>0</v>
      </c>
      <c r="M29" s="26"/>
      <c r="N29" s="26"/>
      <c r="O29" s="26"/>
      <c r="P29" s="26">
        <f t="shared" si="7"/>
        <v>3687.915</v>
      </c>
      <c r="Q29" s="109">
        <f>IF('[24]Calculo ISR '!$CC$34&lt;0,0,'[24]Calculo ISR '!$CC$34)</f>
        <v>145.46699199999998</v>
      </c>
      <c r="R29" s="110">
        <f>I29*10.5%</f>
        <v>348.27974999999998</v>
      </c>
      <c r="S29" s="110"/>
      <c r="T29" s="110"/>
      <c r="U29" s="110"/>
      <c r="V29" s="110"/>
      <c r="W29" s="26">
        <f t="shared" si="9"/>
        <v>493.74674199999993</v>
      </c>
      <c r="X29" s="110">
        <f>IF('[24]Calculo ISR '!$CC$34&gt;0,0,('[24]Calculo ISR '!$CC$34)*-1)</f>
        <v>0</v>
      </c>
      <c r="Y29" s="26">
        <f t="shared" si="3"/>
        <v>2949.7282580000001</v>
      </c>
      <c r="Z29" s="26">
        <f t="shared" si="6"/>
        <v>244.44</v>
      </c>
      <c r="AA29" s="141"/>
      <c r="AB29" s="116"/>
      <c r="AC29" s="114"/>
    </row>
    <row r="30" spans="1:29" s="111" customFormat="1" ht="45" customHeight="1">
      <c r="A30" s="21" t="s">
        <v>96</v>
      </c>
      <c r="B30" s="33" t="s">
        <v>102</v>
      </c>
      <c r="C30" s="112">
        <v>14</v>
      </c>
      <c r="D30" s="112">
        <v>0</v>
      </c>
      <c r="E30" s="108">
        <v>315.89999999999998</v>
      </c>
      <c r="F30" s="108">
        <v>360.15</v>
      </c>
      <c r="G30" s="108">
        <f t="shared" si="0"/>
        <v>4422.5999999999995</v>
      </c>
      <c r="H30" s="108">
        <f t="shared" si="0"/>
        <v>0</v>
      </c>
      <c r="I30" s="26">
        <f t="shared" si="1"/>
        <v>4422.5999999999995</v>
      </c>
      <c r="J30" s="26">
        <f t="shared" si="8"/>
        <v>325.92</v>
      </c>
      <c r="K30" s="26">
        <f t="shared" si="4"/>
        <v>168.70000000000002</v>
      </c>
      <c r="L30" s="26">
        <f t="shared" si="2"/>
        <v>0</v>
      </c>
      <c r="M30" s="26"/>
      <c r="N30" s="26"/>
      <c r="O30" s="26"/>
      <c r="P30" s="26">
        <f t="shared" si="7"/>
        <v>4917.2199999999993</v>
      </c>
      <c r="Q30" s="109">
        <f>IF('[24]Calculo ISR '!$CD$34&lt;0,0,'[24]Calculo ISR '!$CD$34)</f>
        <v>450.26644799999997</v>
      </c>
      <c r="R30" s="110">
        <f>I30*10.5%</f>
        <v>464.37299999999993</v>
      </c>
      <c r="S30" s="110"/>
      <c r="T30" s="110"/>
      <c r="U30" s="110"/>
      <c r="V30" s="113">
        <f>[24]descuentos!D13</f>
        <v>0</v>
      </c>
      <c r="W30" s="26">
        <f t="shared" si="9"/>
        <v>914.6394479999999</v>
      </c>
      <c r="X30" s="110">
        <f>IF('[24]Calculo ISR '!$CD$34&gt;0,0,('[24]Calculo ISR '!$CD$34)*-1)</f>
        <v>0</v>
      </c>
      <c r="Y30" s="26">
        <f t="shared" si="3"/>
        <v>3676.6605519999994</v>
      </c>
      <c r="Z30" s="26">
        <f t="shared" si="6"/>
        <v>325.92</v>
      </c>
      <c r="AA30" s="141"/>
      <c r="AB30" s="116"/>
      <c r="AC30" s="114"/>
    </row>
    <row r="31" spans="1:29" s="111" customFormat="1" ht="45" customHeight="1">
      <c r="A31" s="21" t="s">
        <v>103</v>
      </c>
      <c r="B31" s="33" t="s">
        <v>124</v>
      </c>
      <c r="C31" s="112">
        <v>4</v>
      </c>
      <c r="D31" s="112">
        <v>0</v>
      </c>
      <c r="E31" s="108">
        <v>315.89999999999998</v>
      </c>
      <c r="F31" s="108">
        <v>360.15</v>
      </c>
      <c r="G31" s="108">
        <f t="shared" ref="G31:H37" si="10">C31*E31</f>
        <v>1263.5999999999999</v>
      </c>
      <c r="H31" s="108">
        <f t="shared" si="10"/>
        <v>0</v>
      </c>
      <c r="I31" s="26">
        <f t="shared" si="1"/>
        <v>1263.5999999999999</v>
      </c>
      <c r="J31" s="26">
        <f t="shared" si="8"/>
        <v>93.12</v>
      </c>
      <c r="K31" s="26">
        <f t="shared" si="4"/>
        <v>48.2</v>
      </c>
      <c r="L31" s="26">
        <f t="shared" si="2"/>
        <v>0</v>
      </c>
      <c r="M31" s="26"/>
      <c r="N31" s="26"/>
      <c r="O31" s="26"/>
      <c r="P31" s="26">
        <f t="shared" si="7"/>
        <v>1404.9199999999998</v>
      </c>
      <c r="Q31" s="109">
        <f>IF('[24]Calculo ISR '!$CE$34&lt;0,0,'[24]Calculo ISR '!$CE$34)</f>
        <v>0</v>
      </c>
      <c r="R31" s="110">
        <f t="shared" ref="R31:R37" si="11">I31*10.5%</f>
        <v>132.678</v>
      </c>
      <c r="S31" s="110"/>
      <c r="T31" s="110"/>
      <c r="U31" s="110"/>
      <c r="V31" s="110"/>
      <c r="W31" s="26">
        <f t="shared" si="9"/>
        <v>132.678</v>
      </c>
      <c r="X31" s="110">
        <f>IF('[24]Calculo ISR '!$CE$34&gt;0,0,('[24]Calculo ISR '!$CE$34)*-1)</f>
        <v>127.76263999999999</v>
      </c>
      <c r="Y31" s="26">
        <f t="shared" si="3"/>
        <v>1306.8846399999998</v>
      </c>
      <c r="Z31" s="26">
        <f t="shared" si="6"/>
        <v>93.12</v>
      </c>
      <c r="AA31" s="141"/>
      <c r="AB31" s="116"/>
      <c r="AC31" s="114"/>
    </row>
    <row r="32" spans="1:29" s="111" customFormat="1" ht="45" customHeight="1">
      <c r="A32" s="21" t="s">
        <v>105</v>
      </c>
      <c r="B32" s="33" t="s">
        <v>106</v>
      </c>
      <c r="C32" s="112">
        <v>4</v>
      </c>
      <c r="D32" s="112">
        <v>0</v>
      </c>
      <c r="E32" s="108">
        <v>315.89999999999998</v>
      </c>
      <c r="F32" s="108">
        <v>360.15</v>
      </c>
      <c r="G32" s="108">
        <f t="shared" si="10"/>
        <v>1263.5999999999999</v>
      </c>
      <c r="H32" s="108">
        <f t="shared" si="10"/>
        <v>0</v>
      </c>
      <c r="I32" s="26">
        <f t="shared" si="1"/>
        <v>1263.5999999999999</v>
      </c>
      <c r="J32" s="26">
        <f t="shared" si="8"/>
        <v>93.12</v>
      </c>
      <c r="K32" s="26">
        <f t="shared" si="4"/>
        <v>48.2</v>
      </c>
      <c r="L32" s="26">
        <f t="shared" si="2"/>
        <v>0</v>
      </c>
      <c r="M32" s="26"/>
      <c r="N32" s="26"/>
      <c r="O32" s="26"/>
      <c r="P32" s="26">
        <f t="shared" si="7"/>
        <v>1404.9199999999998</v>
      </c>
      <c r="Q32" s="109">
        <f>IF('[24]Calculo ISR '!$CF$34&lt;0,0,'[24]Calculo ISR '!$CF$34)</f>
        <v>0</v>
      </c>
      <c r="R32" s="110">
        <f t="shared" si="11"/>
        <v>132.678</v>
      </c>
      <c r="S32" s="110"/>
      <c r="T32" s="110"/>
      <c r="U32" s="110"/>
      <c r="V32" s="110"/>
      <c r="W32" s="26">
        <f t="shared" si="9"/>
        <v>132.678</v>
      </c>
      <c r="X32" s="110">
        <f>IF('[24]Calculo ISR '!$CF$34&gt;0,0,('[24]Calculo ISR '!$CF$34)*-1)</f>
        <v>127.76263999999999</v>
      </c>
      <c r="Y32" s="26">
        <f t="shared" si="3"/>
        <v>1306.8846399999998</v>
      </c>
      <c r="Z32" s="26">
        <f t="shared" si="6"/>
        <v>93.12</v>
      </c>
      <c r="AA32" s="141"/>
      <c r="AB32" s="116"/>
      <c r="AC32" s="114"/>
    </row>
    <row r="33" spans="1:32" s="111" customFormat="1" ht="45" customHeight="1">
      <c r="A33" s="21" t="s">
        <v>112</v>
      </c>
      <c r="B33" s="33" t="s">
        <v>113</v>
      </c>
      <c r="C33" s="112">
        <v>5</v>
      </c>
      <c r="D33" s="112">
        <v>0</v>
      </c>
      <c r="E33" s="108">
        <v>315.89999999999998</v>
      </c>
      <c r="F33" s="108">
        <v>360.15</v>
      </c>
      <c r="G33" s="108">
        <f t="shared" si="10"/>
        <v>1579.5</v>
      </c>
      <c r="H33" s="108">
        <f t="shared" si="10"/>
        <v>0</v>
      </c>
      <c r="I33" s="26">
        <f t="shared" si="1"/>
        <v>1579.5</v>
      </c>
      <c r="J33" s="26">
        <f t="shared" si="8"/>
        <v>116.4</v>
      </c>
      <c r="K33" s="26">
        <f t="shared" si="4"/>
        <v>60.25</v>
      </c>
      <c r="L33" s="26">
        <f t="shared" si="2"/>
        <v>0</v>
      </c>
      <c r="M33" s="26"/>
      <c r="N33" s="26"/>
      <c r="O33" s="26"/>
      <c r="P33" s="26">
        <f t="shared" si="7"/>
        <v>1756.15</v>
      </c>
      <c r="Q33" s="109">
        <f>IF('[24]Calculo ISR '!$CG$34&lt;0,0,'[24]Calculo ISR '!$CG$34)</f>
        <v>0</v>
      </c>
      <c r="R33" s="110">
        <f t="shared" si="11"/>
        <v>165.8475</v>
      </c>
      <c r="S33" s="110"/>
      <c r="T33" s="110"/>
      <c r="U33" s="110"/>
      <c r="V33" s="110"/>
      <c r="W33" s="26">
        <f t="shared" si="9"/>
        <v>165.8475</v>
      </c>
      <c r="X33" s="110">
        <f>IF('[24]Calculo ISR '!$CG$34&gt;0,0,('[24]Calculo ISR '!$CG$34)*-1)</f>
        <v>106.77383999999998</v>
      </c>
      <c r="Y33" s="26">
        <f t="shared" si="3"/>
        <v>1580.67634</v>
      </c>
      <c r="Z33" s="26">
        <f t="shared" si="6"/>
        <v>116.4</v>
      </c>
      <c r="AA33" s="141"/>
      <c r="AB33" s="116"/>
      <c r="AC33" s="114"/>
    </row>
    <row r="34" spans="1:32" s="111" customFormat="1" ht="45" customHeight="1">
      <c r="A34" s="21" t="s">
        <v>125</v>
      </c>
      <c r="B34" s="33" t="s">
        <v>126</v>
      </c>
      <c r="C34" s="112">
        <v>15</v>
      </c>
      <c r="D34" s="112">
        <v>0</v>
      </c>
      <c r="E34" s="108">
        <v>315.89999999999998</v>
      </c>
      <c r="F34" s="108">
        <v>360.15</v>
      </c>
      <c r="G34" s="108">
        <f t="shared" si="10"/>
        <v>4738.5</v>
      </c>
      <c r="H34" s="108">
        <f t="shared" si="10"/>
        <v>0</v>
      </c>
      <c r="I34" s="26">
        <f t="shared" si="1"/>
        <v>4738.5</v>
      </c>
      <c r="J34" s="26">
        <f t="shared" si="8"/>
        <v>349.20000000000005</v>
      </c>
      <c r="K34" s="26">
        <f t="shared" si="4"/>
        <v>180.75</v>
      </c>
      <c r="L34" s="26">
        <f t="shared" si="2"/>
        <v>0</v>
      </c>
      <c r="M34" s="26"/>
      <c r="N34" s="26"/>
      <c r="O34" s="26"/>
      <c r="P34" s="26">
        <f t="shared" si="7"/>
        <v>5268.45</v>
      </c>
      <c r="Q34" s="109">
        <f>IF('[24]Calculo ISR '!$CH$34&lt;0,0,'[24]Calculo ISR '!$CH$34)</f>
        <v>509.03508800000009</v>
      </c>
      <c r="R34" s="110">
        <f t="shared" si="11"/>
        <v>497.54249999999996</v>
      </c>
      <c r="S34" s="110"/>
      <c r="T34" s="110"/>
      <c r="U34" s="110"/>
      <c r="V34" s="113"/>
      <c r="W34" s="26">
        <f t="shared" si="9"/>
        <v>1006.5775880000001</v>
      </c>
      <c r="X34" s="110">
        <f>IF('[24]Calculo ISR '!$CH$34&gt;0,0,('[24]Calculo ISR '!$CH$34)*-1)</f>
        <v>0</v>
      </c>
      <c r="Y34" s="26">
        <f t="shared" si="3"/>
        <v>3912.6724119999999</v>
      </c>
      <c r="Z34" s="26">
        <f t="shared" si="6"/>
        <v>349.20000000000005</v>
      </c>
      <c r="AA34" s="141"/>
      <c r="AB34" s="116"/>
      <c r="AC34" s="114"/>
    </row>
    <row r="35" spans="1:32" s="111" customFormat="1" ht="45" customHeight="1">
      <c r="A35" s="21" t="s">
        <v>127</v>
      </c>
      <c r="B35" s="33" t="s">
        <v>128</v>
      </c>
      <c r="C35" s="112">
        <v>5</v>
      </c>
      <c r="D35" s="112">
        <v>0</v>
      </c>
      <c r="E35" s="108">
        <v>315.89999999999998</v>
      </c>
      <c r="F35" s="108">
        <v>360.15</v>
      </c>
      <c r="G35" s="108">
        <f t="shared" si="10"/>
        <v>1579.5</v>
      </c>
      <c r="H35" s="108">
        <f t="shared" si="10"/>
        <v>0</v>
      </c>
      <c r="I35" s="26">
        <f t="shared" si="1"/>
        <v>1579.5</v>
      </c>
      <c r="J35" s="26">
        <f t="shared" si="8"/>
        <v>116.4</v>
      </c>
      <c r="K35" s="26">
        <f t="shared" si="4"/>
        <v>60.25</v>
      </c>
      <c r="L35" s="26">
        <f t="shared" si="2"/>
        <v>0</v>
      </c>
      <c r="M35" s="26"/>
      <c r="N35" s="26"/>
      <c r="O35" s="26"/>
      <c r="P35" s="26">
        <f t="shared" si="7"/>
        <v>1756.15</v>
      </c>
      <c r="Q35" s="109">
        <f>IF('[24]Calculo ISR '!$CI$34&lt;0,0,'[24]Calculo ISR '!$CI$34)</f>
        <v>0</v>
      </c>
      <c r="R35" s="110">
        <f t="shared" si="11"/>
        <v>165.8475</v>
      </c>
      <c r="S35" s="110"/>
      <c r="T35" s="110"/>
      <c r="U35" s="110"/>
      <c r="V35" s="110"/>
      <c r="W35" s="26">
        <f t="shared" si="9"/>
        <v>165.8475</v>
      </c>
      <c r="X35" s="110">
        <f>IF('[24]Calculo ISR '!$CI$34&gt;0,0,('[24]Calculo ISR '!$CI$34)*-1)</f>
        <v>106.77383999999998</v>
      </c>
      <c r="Y35" s="26">
        <f t="shared" si="3"/>
        <v>1580.67634</v>
      </c>
      <c r="Z35" s="26">
        <f t="shared" si="6"/>
        <v>116.4</v>
      </c>
      <c r="AA35" s="141"/>
      <c r="AB35" s="116"/>
      <c r="AC35" s="114"/>
    </row>
    <row r="36" spans="1:32" s="111" customFormat="1" ht="45" customHeight="1">
      <c r="A36" s="21" t="s">
        <v>129</v>
      </c>
      <c r="B36" s="33" t="s">
        <v>130</v>
      </c>
      <c r="C36" s="112">
        <v>10</v>
      </c>
      <c r="D36" s="112">
        <v>0</v>
      </c>
      <c r="E36" s="108">
        <v>315.89999999999998</v>
      </c>
      <c r="F36" s="108">
        <v>360.15</v>
      </c>
      <c r="G36" s="108">
        <f t="shared" si="10"/>
        <v>3159</v>
      </c>
      <c r="H36" s="108">
        <f t="shared" si="10"/>
        <v>0</v>
      </c>
      <c r="I36" s="26">
        <f t="shared" si="1"/>
        <v>3159</v>
      </c>
      <c r="J36" s="26">
        <f t="shared" si="8"/>
        <v>232.8</v>
      </c>
      <c r="K36" s="26">
        <f t="shared" si="4"/>
        <v>120.5</v>
      </c>
      <c r="L36" s="26">
        <f t="shared" si="2"/>
        <v>0</v>
      </c>
      <c r="M36" s="26"/>
      <c r="N36" s="26"/>
      <c r="O36" s="26"/>
      <c r="P36" s="26">
        <f t="shared" si="7"/>
        <v>3512.3</v>
      </c>
      <c r="Q36" s="109">
        <f>IF('[24]Calculo ISR '!$CJ$34&lt;0,0,'[24]Calculo ISR '!$CJ$34)</f>
        <v>127.62651199999996</v>
      </c>
      <c r="R36" s="110">
        <f t="shared" si="11"/>
        <v>331.69499999999999</v>
      </c>
      <c r="S36" s="110"/>
      <c r="T36" s="110"/>
      <c r="U36" s="110"/>
      <c r="V36" s="110"/>
      <c r="W36" s="26">
        <f t="shared" si="9"/>
        <v>459.32151199999998</v>
      </c>
      <c r="X36" s="110">
        <f>IF('[24]Calculo ISR '!$CJ$34&gt;0,0,('[24]Calculo ISR '!$CJ$34)*-1)</f>
        <v>0</v>
      </c>
      <c r="Y36" s="26">
        <f t="shared" si="3"/>
        <v>2820.178488</v>
      </c>
      <c r="Z36" s="26">
        <f t="shared" si="6"/>
        <v>232.8</v>
      </c>
      <c r="AA36" s="141"/>
      <c r="AB36" s="116"/>
      <c r="AC36" s="114"/>
    </row>
    <row r="37" spans="1:32" s="111" customFormat="1" ht="45" customHeight="1">
      <c r="A37" s="33" t="s">
        <v>131</v>
      </c>
      <c r="B37" s="33" t="s">
        <v>132</v>
      </c>
      <c r="C37" s="112">
        <v>14</v>
      </c>
      <c r="D37" s="112">
        <v>0</v>
      </c>
      <c r="E37" s="108">
        <v>315.89999999999998</v>
      </c>
      <c r="F37" s="108">
        <v>360.15</v>
      </c>
      <c r="G37" s="108">
        <f t="shared" si="10"/>
        <v>4422.5999999999995</v>
      </c>
      <c r="H37" s="108">
        <f t="shared" si="10"/>
        <v>0</v>
      </c>
      <c r="I37" s="26">
        <f t="shared" si="1"/>
        <v>4422.5999999999995</v>
      </c>
      <c r="J37" s="26">
        <f t="shared" si="8"/>
        <v>325.92</v>
      </c>
      <c r="K37" s="26">
        <f t="shared" si="4"/>
        <v>168.70000000000002</v>
      </c>
      <c r="L37" s="26">
        <f t="shared" si="2"/>
        <v>0</v>
      </c>
      <c r="M37" s="26"/>
      <c r="N37" s="26"/>
      <c r="O37" s="26"/>
      <c r="P37" s="26">
        <f t="shared" si="7"/>
        <v>4917.2199999999993</v>
      </c>
      <c r="Q37" s="109">
        <f>IF('[24]Calculo ISR '!$CK$34&lt;0,0,'[24]Calculo ISR '!$CK$34)</f>
        <v>450.26644799999997</v>
      </c>
      <c r="R37" s="110">
        <f t="shared" si="11"/>
        <v>464.37299999999993</v>
      </c>
      <c r="S37" s="110"/>
      <c r="T37" s="110"/>
      <c r="U37" s="110"/>
      <c r="V37" s="110"/>
      <c r="W37" s="26">
        <f t="shared" si="9"/>
        <v>914.6394479999999</v>
      </c>
      <c r="X37" s="110">
        <f>IF('[24]Calculo ISR '!$CK$34&gt;0,0,('[24]Calculo ISR '!$CK$34)*-1)</f>
        <v>0</v>
      </c>
      <c r="Y37" s="26">
        <f t="shared" si="3"/>
        <v>3676.6605519999994</v>
      </c>
      <c r="Z37" s="26">
        <f t="shared" si="6"/>
        <v>325.92</v>
      </c>
      <c r="AA37" s="141"/>
      <c r="AB37" s="116"/>
      <c r="AC37" s="114"/>
    </row>
    <row r="38" spans="1:32" s="57" customFormat="1" ht="30" customHeight="1" thickBot="1">
      <c r="A38" s="86"/>
      <c r="B38" s="38" t="s">
        <v>74</v>
      </c>
      <c r="C38" s="39">
        <f t="shared" ref="C38:Y38" si="12">SUM(C10:C37)</f>
        <v>304</v>
      </c>
      <c r="D38" s="39">
        <f t="shared" si="12"/>
        <v>60</v>
      </c>
      <c r="E38" s="40">
        <f t="shared" si="12"/>
        <v>8845.1999999999953</v>
      </c>
      <c r="F38" s="117">
        <f t="shared" si="12"/>
        <v>10084.199999999995</v>
      </c>
      <c r="G38" s="40">
        <f t="shared" si="12"/>
        <v>96033.60000000002</v>
      </c>
      <c r="H38" s="40">
        <f t="shared" si="12"/>
        <v>21609</v>
      </c>
      <c r="I38" s="40">
        <f t="shared" si="12"/>
        <v>117642.6</v>
      </c>
      <c r="J38" s="40">
        <f t="shared" si="12"/>
        <v>8473.9199999999983</v>
      </c>
      <c r="K38" s="40">
        <f t="shared" si="12"/>
        <v>3663.1999999999994</v>
      </c>
      <c r="L38" s="40">
        <f t="shared" si="12"/>
        <v>789</v>
      </c>
      <c r="M38" s="40">
        <f t="shared" si="12"/>
        <v>1838.6399999999999</v>
      </c>
      <c r="N38" s="40">
        <f t="shared" si="12"/>
        <v>351.28800000000001</v>
      </c>
      <c r="O38" s="40">
        <f t="shared" si="12"/>
        <v>6309</v>
      </c>
      <c r="P38" s="40">
        <f t="shared" si="12"/>
        <v>139067.64799999999</v>
      </c>
      <c r="Q38" s="40">
        <f t="shared" si="12"/>
        <v>13678.623800800002</v>
      </c>
      <c r="R38" s="40">
        <f t="shared" si="12"/>
        <v>12352.472999999994</v>
      </c>
      <c r="S38" s="40">
        <f>SUM(S10:S37)</f>
        <v>6766</v>
      </c>
      <c r="T38" s="40">
        <f t="shared" si="12"/>
        <v>813.14099999999996</v>
      </c>
      <c r="U38" s="40">
        <f t="shared" si="12"/>
        <v>0</v>
      </c>
      <c r="V38" s="118">
        <f t="shared" si="12"/>
        <v>0</v>
      </c>
      <c r="W38" s="40">
        <f t="shared" si="12"/>
        <v>33610.237800799994</v>
      </c>
      <c r="X38" s="40">
        <f t="shared" si="12"/>
        <v>615.40756799999997</v>
      </c>
      <c r="Y38" s="40">
        <f t="shared" si="12"/>
        <v>97598.897767200033</v>
      </c>
      <c r="Z38" s="40">
        <f>SUM(Z9:Z37)</f>
        <v>8473.9199999999983</v>
      </c>
      <c r="AA38" s="41"/>
      <c r="AB38" s="42"/>
      <c r="AC38" s="119"/>
      <c r="AD38" s="120"/>
    </row>
    <row r="39" spans="1:32" s="91" customFormat="1" ht="11.25" customHeight="1">
      <c r="A39" s="121"/>
      <c r="B39" s="60">
        <v>28</v>
      </c>
      <c r="C39" s="123"/>
      <c r="D39" s="123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124"/>
      <c r="AB39" s="90"/>
      <c r="AC39" s="125"/>
    </row>
    <row r="40" spans="1:32" s="91" customFormat="1" ht="11.25" customHeight="1">
      <c r="A40" s="121"/>
      <c r="B40" s="122"/>
      <c r="C40" s="123"/>
      <c r="D40" s="123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124"/>
      <c r="AB40" s="90"/>
      <c r="AC40" s="90"/>
    </row>
    <row r="41" spans="1:32" s="2" customFormat="1" ht="15" customHeight="1">
      <c r="A41" s="69"/>
      <c r="C41" s="140" t="s">
        <v>75</v>
      </c>
      <c r="D41" s="1"/>
      <c r="E41" s="1"/>
      <c r="F41" s="1"/>
      <c r="G41" s="1"/>
      <c r="H41" s="1"/>
      <c r="I41" s="64"/>
      <c r="J41" s="66" t="s">
        <v>76</v>
      </c>
      <c r="L41" s="66"/>
      <c r="M41" s="66"/>
      <c r="N41" s="66"/>
      <c r="O41" s="66"/>
      <c r="P41" s="66"/>
      <c r="Q41" s="49"/>
      <c r="R41" s="50"/>
      <c r="S41" s="1"/>
      <c r="T41" s="1"/>
      <c r="U41" s="1"/>
      <c r="V41" s="1"/>
      <c r="W41" s="1" t="s">
        <v>136</v>
      </c>
      <c r="X41" s="1"/>
      <c r="Y41" s="1"/>
      <c r="Z41" s="1"/>
      <c r="AA41" s="1"/>
      <c r="AC41" s="42"/>
      <c r="AF41" s="1"/>
    </row>
    <row r="42" spans="1:32" s="2" customFormat="1" hidden="1">
      <c r="A42" s="69"/>
      <c r="B42" s="1"/>
      <c r="C42" s="1"/>
      <c r="D42" s="1"/>
      <c r="E42" s="1"/>
      <c r="F42" s="1"/>
      <c r="G42" s="126"/>
      <c r="H42" s="1"/>
      <c r="K42" s="1"/>
      <c r="L42" s="1"/>
      <c r="M42" s="1"/>
      <c r="N42" s="1"/>
      <c r="O42" s="1"/>
      <c r="P42" s="51"/>
      <c r="Q42" s="51"/>
      <c r="R42" s="51"/>
      <c r="S42" s="1"/>
      <c r="T42" s="1"/>
      <c r="U42" s="1"/>
      <c r="V42" s="1"/>
      <c r="W42" s="1"/>
      <c r="X42" s="1"/>
      <c r="Y42" s="1"/>
      <c r="Z42" s="1"/>
      <c r="AA42" s="1"/>
      <c r="AC42" s="42"/>
      <c r="AF42" s="1"/>
    </row>
    <row r="43" spans="1:32" s="2" customFormat="1" hidden="1">
      <c r="A43" s="69"/>
      <c r="B43" s="1"/>
      <c r="C43" s="1"/>
      <c r="D43" s="1"/>
      <c r="E43" s="1"/>
      <c r="F43" s="1"/>
      <c r="G43" s="1"/>
      <c r="H43" s="1"/>
      <c r="K43" s="1"/>
      <c r="L43" s="1"/>
      <c r="M43" s="1"/>
      <c r="N43" s="1"/>
      <c r="O43" s="1"/>
      <c r="P43" s="51"/>
      <c r="Q43" s="51"/>
      <c r="R43" s="51"/>
      <c r="S43" s="1"/>
      <c r="T43" s="1"/>
      <c r="U43" s="1"/>
      <c r="V43" s="1"/>
      <c r="W43" s="1"/>
      <c r="X43" s="1"/>
      <c r="Y43" s="1"/>
      <c r="Z43" s="1"/>
      <c r="AA43" s="1"/>
      <c r="AC43" s="42"/>
      <c r="AF43" s="1"/>
    </row>
    <row r="44" spans="1:32" s="2" customFormat="1" hidden="1">
      <c r="A44" s="69"/>
      <c r="B44" s="1"/>
      <c r="C44" s="1"/>
      <c r="D44" s="1"/>
      <c r="E44" s="1"/>
      <c r="F44" s="1"/>
      <c r="G44" s="1"/>
      <c r="H44" s="1"/>
      <c r="K44" s="1"/>
      <c r="L44" s="1"/>
      <c r="M44" s="1"/>
      <c r="N44" s="1"/>
      <c r="O44" s="1"/>
      <c r="P44" s="52"/>
      <c r="Q44" s="52"/>
      <c r="R44" s="52"/>
      <c r="S44" s="1"/>
      <c r="T44" s="3"/>
      <c r="U44" s="1"/>
      <c r="V44" s="1"/>
      <c r="W44" s="1"/>
      <c r="X44" s="1"/>
      <c r="Y44" s="1"/>
      <c r="Z44" s="1"/>
      <c r="AA44" s="1"/>
      <c r="AF44" s="1"/>
    </row>
    <row r="45" spans="1:32" s="2" customFormat="1">
      <c r="A45" s="69"/>
      <c r="B45" s="140" t="s">
        <v>133</v>
      </c>
      <c r="C45" s="1"/>
      <c r="D45" s="1"/>
      <c r="E45" s="1"/>
      <c r="F45" s="1"/>
      <c r="G45" s="1"/>
      <c r="H45" s="1"/>
      <c r="I45" s="42"/>
      <c r="J45" s="53" t="s">
        <v>79</v>
      </c>
      <c r="L45" s="53"/>
      <c r="M45" s="53"/>
      <c r="N45" s="53"/>
      <c r="O45" s="53"/>
      <c r="P45" s="53"/>
      <c r="Q45" s="52"/>
      <c r="R45" s="49"/>
      <c r="S45" s="1"/>
      <c r="T45" s="1"/>
      <c r="U45" s="1"/>
      <c r="W45" s="127" t="s">
        <v>134</v>
      </c>
      <c r="X45" s="53"/>
      <c r="Y45" s="53"/>
      <c r="Z45" s="53"/>
      <c r="AA45" s="1"/>
      <c r="AF45" s="1"/>
    </row>
    <row r="46" spans="1:32" ht="12.75" customHeight="1">
      <c r="B46" s="54" t="s">
        <v>135</v>
      </c>
      <c r="J46" s="53" t="s">
        <v>82</v>
      </c>
      <c r="L46" s="53"/>
      <c r="M46" s="53"/>
      <c r="N46" s="53"/>
      <c r="O46" s="53"/>
      <c r="P46" s="53"/>
      <c r="Q46" s="53"/>
      <c r="R46" s="52"/>
      <c r="W46" s="53" t="s">
        <v>83</v>
      </c>
      <c r="X46" s="53"/>
      <c r="Y46" s="53"/>
      <c r="Z46" s="53"/>
      <c r="AB46" s="3"/>
    </row>
    <row r="47" spans="1:32">
      <c r="AB47" s="3"/>
    </row>
    <row r="48" spans="1:32">
      <c r="S48" s="3"/>
      <c r="AB48" s="3"/>
    </row>
    <row r="49" spans="1:28">
      <c r="AB49" s="3"/>
    </row>
    <row r="50" spans="1:28">
      <c r="AB50" s="3"/>
    </row>
    <row r="51" spans="1:28">
      <c r="P51" s="6"/>
      <c r="AB51" s="3"/>
    </row>
    <row r="52" spans="1:28">
      <c r="AB52" s="3"/>
    </row>
    <row r="53" spans="1:28">
      <c r="AB53" s="3"/>
    </row>
    <row r="54" spans="1:28" s="56" customFormat="1">
      <c r="A54" s="6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8" s="56" customFormat="1">
      <c r="A55" s="6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8" s="57" customFormat="1">
      <c r="A56" s="6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8" s="57" customFormat="1">
      <c r="A57" s="6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8" s="57" customFormat="1">
      <c r="A58" s="6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8" s="57" customFormat="1">
      <c r="A59" s="6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8" s="57" customFormat="1">
      <c r="A60" s="6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8" s="57" customFormat="1">
      <c r="A61" s="6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6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8" s="57" customFormat="1">
      <c r="A62" s="6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8" s="57" customFormat="1">
      <c r="A63" s="6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8" s="57" customFormat="1">
      <c r="A64" s="6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s="57" customFormat="1">
      <c r="A65" s="6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7" spans="1:27">
      <c r="T67" s="3"/>
    </row>
  </sheetData>
  <mergeCells count="26">
    <mergeCell ref="AA27:AB27"/>
    <mergeCell ref="AA28:AB28"/>
    <mergeCell ref="AA21:AB21"/>
    <mergeCell ref="AA22:AB22"/>
    <mergeCell ref="AA23:AB23"/>
    <mergeCell ref="AA24:AB24"/>
    <mergeCell ref="AA25:AB25"/>
    <mergeCell ref="AA26:AB26"/>
    <mergeCell ref="AA15:AB15"/>
    <mergeCell ref="AA16:AB16"/>
    <mergeCell ref="AA17:AB17"/>
    <mergeCell ref="AA18:AB18"/>
    <mergeCell ref="AA19:AB19"/>
    <mergeCell ref="AA20:AB20"/>
    <mergeCell ref="AA9:AB9"/>
    <mergeCell ref="AA10:AB10"/>
    <mergeCell ref="AA11:AB11"/>
    <mergeCell ref="AA12:AB12"/>
    <mergeCell ref="AA13:AB13"/>
    <mergeCell ref="AA14:AB14"/>
    <mergeCell ref="A8:A9"/>
    <mergeCell ref="B8:B9"/>
    <mergeCell ref="C8:I8"/>
    <mergeCell ref="J8:P8"/>
    <mergeCell ref="Q8:W8"/>
    <mergeCell ref="X8:Z8"/>
  </mergeCells>
  <pageMargins left="0.86614173228346458" right="0.19685039370078741" top="0.15748031496062992" bottom="0.15748031496062992" header="0.31496062992125984" footer="0.31496062992125984"/>
  <pageSetup paperSize="5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62"/>
  <sheetViews>
    <sheetView topLeftCell="A3" zoomScale="90" zoomScaleNormal="90" zoomScaleSheetLayoutView="100" workbookViewId="0">
      <pane xSplit="2" ySplit="7" topLeftCell="C34" activePane="bottomRight" state="frozen"/>
      <selection activeCell="A3" sqref="A3"/>
      <selection pane="topRight" activeCell="C3" sqref="C3"/>
      <selection pane="bottomLeft" activeCell="A10" sqref="A10"/>
      <selection pane="bottomRight" activeCell="O44" sqref="O44"/>
    </sheetView>
  </sheetViews>
  <sheetFormatPr baseColWidth="10" defaultRowHeight="12.75"/>
  <cols>
    <col min="1" max="1" width="12.7109375" style="1" customWidth="1"/>
    <col min="2" max="2" width="31.5703125" style="1" customWidth="1"/>
    <col min="3" max="4" width="7.140625" style="1" customWidth="1"/>
    <col min="5" max="6" width="10.42578125" style="1" customWidth="1"/>
    <col min="7" max="7" width="11.7109375" style="1" customWidth="1"/>
    <col min="8" max="8" width="10.7109375" style="1" customWidth="1"/>
    <col min="9" max="9" width="13" style="1" customWidth="1"/>
    <col min="10" max="10" width="10.5703125" style="1" customWidth="1"/>
    <col min="11" max="11" width="9.85546875" style="1" customWidth="1"/>
    <col min="12" max="12" width="10.140625" style="1" customWidth="1"/>
    <col min="13" max="13" width="8.42578125" style="1" customWidth="1"/>
    <col min="14" max="14" width="5" style="1" customWidth="1"/>
    <col min="15" max="15" width="12.42578125" style="1" customWidth="1"/>
    <col min="16" max="16" width="11" style="1" hidden="1" customWidth="1"/>
    <col min="17" max="17" width="10.85546875" style="1" hidden="1" customWidth="1"/>
    <col min="18" max="18" width="11.140625" style="1" hidden="1" customWidth="1"/>
    <col min="19" max="19" width="8.5703125" style="1" hidden="1" customWidth="1"/>
    <col min="20" max="20" width="6.7109375" style="1" hidden="1" customWidth="1"/>
    <col min="21" max="21" width="8.7109375" style="1" hidden="1" customWidth="1"/>
    <col min="22" max="22" width="11.7109375" style="1" customWidth="1"/>
    <col min="23" max="23" width="8.28515625" style="1" customWidth="1"/>
    <col min="24" max="24" width="16" style="1" customWidth="1"/>
    <col min="25" max="25" width="10.5703125" style="1" hidden="1" customWidth="1"/>
    <col min="26" max="26" width="31" style="1" hidden="1" customWidth="1"/>
    <col min="27" max="27" width="12.28515625" style="1" hidden="1" customWidth="1"/>
    <col min="28" max="16384" width="11.42578125" style="1"/>
  </cols>
  <sheetData>
    <row r="2" spans="1:27">
      <c r="B2" s="2" t="s">
        <v>0</v>
      </c>
    </row>
    <row r="3" spans="1:27">
      <c r="B3" s="2"/>
    </row>
    <row r="4" spans="1:27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7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2"/>
      <c r="P5" s="2"/>
      <c r="Q5" s="2"/>
      <c r="R5" s="2"/>
      <c r="S5" s="2"/>
      <c r="T5" s="2"/>
      <c r="U5" s="2"/>
      <c r="V5" s="2"/>
      <c r="W5" s="2"/>
    </row>
    <row r="6" spans="1:27">
      <c r="B6" s="2"/>
      <c r="C6" s="2"/>
      <c r="D6" s="2"/>
      <c r="E6" s="4">
        <v>19.28</v>
      </c>
      <c r="G6" s="4"/>
      <c r="H6" s="4"/>
      <c r="I6" s="4">
        <v>10.95</v>
      </c>
      <c r="J6" s="4"/>
      <c r="K6" s="65"/>
      <c r="L6" s="65"/>
      <c r="M6" s="65"/>
      <c r="N6" s="58">
        <v>0.105</v>
      </c>
      <c r="O6" s="65"/>
      <c r="P6" s="65"/>
      <c r="Q6" s="65"/>
      <c r="R6" s="65"/>
      <c r="S6" s="65"/>
      <c r="T6" s="5">
        <v>0.01</v>
      </c>
      <c r="U6" s="65"/>
      <c r="V6" s="65"/>
      <c r="W6" s="65"/>
    </row>
    <row r="7" spans="1:27" ht="13.5" thickBot="1">
      <c r="A7" s="6" t="s">
        <v>0</v>
      </c>
      <c r="C7" s="2"/>
      <c r="D7" s="2"/>
      <c r="E7" s="4">
        <v>22.3</v>
      </c>
      <c r="F7" s="4"/>
      <c r="G7" s="4"/>
      <c r="I7" s="7">
        <v>0.02</v>
      </c>
      <c r="J7" s="8">
        <v>0.04</v>
      </c>
      <c r="K7" s="6" t="s">
        <v>86</v>
      </c>
      <c r="L7" s="2"/>
      <c r="M7" s="2"/>
      <c r="N7" s="2"/>
      <c r="P7" s="2"/>
      <c r="Q7" s="2"/>
      <c r="R7" s="2"/>
      <c r="S7" s="2"/>
      <c r="T7" s="2"/>
      <c r="U7" s="2"/>
      <c r="V7" s="2"/>
      <c r="W7" s="2"/>
    </row>
    <row r="8" spans="1:27" ht="15.75" customHeight="1" thickBot="1">
      <c r="A8" s="164" t="s">
        <v>2</v>
      </c>
      <c r="B8" s="166" t="s">
        <v>3</v>
      </c>
      <c r="C8" s="168" t="s">
        <v>4</v>
      </c>
      <c r="D8" s="169"/>
      <c r="E8" s="169"/>
      <c r="F8" s="169"/>
      <c r="G8" s="169"/>
      <c r="H8" s="169"/>
      <c r="I8" s="170"/>
      <c r="J8" s="171" t="s">
        <v>5</v>
      </c>
      <c r="K8" s="172"/>
      <c r="L8" s="172"/>
      <c r="M8" s="173"/>
      <c r="N8" s="173"/>
      <c r="O8" s="174"/>
      <c r="P8" s="175" t="s">
        <v>6</v>
      </c>
      <c r="Q8" s="176"/>
      <c r="R8" s="176"/>
      <c r="S8" s="176"/>
      <c r="T8" s="176"/>
      <c r="U8" s="176"/>
      <c r="V8" s="176"/>
      <c r="W8" s="177" t="s">
        <v>7</v>
      </c>
      <c r="X8" s="177"/>
      <c r="Y8" s="177"/>
    </row>
    <row r="9" spans="1:27" s="20" customFormat="1" ht="72">
      <c r="A9" s="165"/>
      <c r="B9" s="167"/>
      <c r="C9" s="9" t="s">
        <v>87</v>
      </c>
      <c r="D9" s="9" t="s">
        <v>88</v>
      </c>
      <c r="E9" s="9" t="s">
        <v>89</v>
      </c>
      <c r="F9" s="9" t="s">
        <v>90</v>
      </c>
      <c r="G9" s="9" t="s">
        <v>91</v>
      </c>
      <c r="H9" s="9" t="s">
        <v>92</v>
      </c>
      <c r="I9" s="67" t="s">
        <v>10</v>
      </c>
      <c r="J9" s="11" t="s">
        <v>11</v>
      </c>
      <c r="K9" s="11" t="s">
        <v>12</v>
      </c>
      <c r="L9" s="12" t="s">
        <v>13</v>
      </c>
      <c r="M9" s="13" t="s">
        <v>14</v>
      </c>
      <c r="N9" s="14" t="s">
        <v>15</v>
      </c>
      <c r="O9" s="14" t="s">
        <v>16</v>
      </c>
      <c r="P9" s="15" t="s">
        <v>17</v>
      </c>
      <c r="Q9" s="16" t="s">
        <v>18</v>
      </c>
      <c r="R9" s="16" t="s">
        <v>19</v>
      </c>
      <c r="S9" s="16" t="s">
        <v>20</v>
      </c>
      <c r="T9" s="16" t="s">
        <v>21</v>
      </c>
      <c r="U9" s="16" t="s">
        <v>22</v>
      </c>
      <c r="V9" s="16" t="s">
        <v>23</v>
      </c>
      <c r="W9" s="17" t="s">
        <v>24</v>
      </c>
      <c r="X9" s="18" t="s">
        <v>25</v>
      </c>
      <c r="Y9" s="19" t="s">
        <v>26</v>
      </c>
      <c r="Z9" s="178" t="s">
        <v>27</v>
      </c>
      <c r="AA9" s="178"/>
    </row>
    <row r="10" spans="1:27" s="69" customFormat="1" ht="45" customHeight="1">
      <c r="A10" s="21" t="s">
        <v>28</v>
      </c>
      <c r="B10" s="68" t="s">
        <v>29</v>
      </c>
      <c r="C10" s="32">
        <v>7.5</v>
      </c>
      <c r="D10" s="23">
        <v>0</v>
      </c>
      <c r="E10" s="24">
        <v>305.5</v>
      </c>
      <c r="F10" s="24">
        <v>348.3</v>
      </c>
      <c r="G10" s="24">
        <f>C10*E10</f>
        <v>2291.25</v>
      </c>
      <c r="H10" s="24">
        <f>D10*F10</f>
        <v>0</v>
      </c>
      <c r="I10" s="25">
        <f>G10+H10</f>
        <v>2291.25</v>
      </c>
      <c r="J10" s="25">
        <f>(C10+D10)*19.28</f>
        <v>144.60000000000002</v>
      </c>
      <c r="K10" s="25">
        <f>(C10+D10)*I6</f>
        <v>82.125</v>
      </c>
      <c r="L10" s="25"/>
      <c r="M10" s="25">
        <f>I10*J7</f>
        <v>91.65</v>
      </c>
      <c r="N10" s="26">
        <v>0</v>
      </c>
      <c r="O10" s="25">
        <f>SUM(I10:N10)</f>
        <v>2609.625</v>
      </c>
      <c r="P10" s="27">
        <f>IF('[3]Calculo ISR '!$AZ$34&lt;0,0,'[3]Calculo ISR '!$AZ$34)</f>
        <v>3.7616319999999916</v>
      </c>
      <c r="Q10" s="28">
        <f>I10*N6</f>
        <v>240.58124999999998</v>
      </c>
      <c r="R10" s="29">
        <v>450.66</v>
      </c>
      <c r="S10" s="28">
        <f>I10*T6</f>
        <v>22.912500000000001</v>
      </c>
      <c r="T10" s="28"/>
      <c r="U10" s="30">
        <f>[3]descuentos!D5</f>
        <v>611</v>
      </c>
      <c r="V10" s="25">
        <f t="shared" ref="V10:V24" si="0">P10+Q10+R10+S10+U10+T10</f>
        <v>1328.9153820000001</v>
      </c>
      <c r="W10" s="28">
        <f>IF('[3]Calculo ISR '!$AZ$34&gt;0,0,('[3]Calculo ISR '!$AZ$34)*-1)</f>
        <v>0</v>
      </c>
      <c r="X10" s="25">
        <f>O10-V10-Y10+W10</f>
        <v>1136.109618</v>
      </c>
      <c r="Y10" s="25">
        <f t="shared" ref="Y10:Y32" si="1">J10</f>
        <v>144.60000000000002</v>
      </c>
      <c r="Z10" s="183"/>
      <c r="AA10" s="163"/>
    </row>
    <row r="11" spans="1:27" s="35" customFormat="1" ht="45" customHeight="1">
      <c r="A11" s="21" t="s">
        <v>30</v>
      </c>
      <c r="B11" s="33" t="s">
        <v>31</v>
      </c>
      <c r="C11" s="32">
        <v>12</v>
      </c>
      <c r="D11" s="32">
        <v>7.5</v>
      </c>
      <c r="E11" s="24">
        <v>348.3</v>
      </c>
      <c r="F11" s="24">
        <v>348.3</v>
      </c>
      <c r="G11" s="24">
        <f t="shared" ref="G11:H32" si="2">C11*E11</f>
        <v>4179.6000000000004</v>
      </c>
      <c r="H11" s="24">
        <f t="shared" si="2"/>
        <v>2612.25</v>
      </c>
      <c r="I11" s="25">
        <f t="shared" ref="I11:I32" si="3">G11+H11</f>
        <v>6791.85</v>
      </c>
      <c r="J11" s="25">
        <f t="shared" ref="J11:J32" si="4">(C11+D11)*19.28</f>
        <v>375.96000000000004</v>
      </c>
      <c r="K11" s="25">
        <f>(C11+D11)*I6</f>
        <v>213.52499999999998</v>
      </c>
      <c r="L11" s="25"/>
      <c r="M11" s="25">
        <f>I11*J7</f>
        <v>271.67400000000004</v>
      </c>
      <c r="N11" s="25">
        <f>'[3]HT-DOCENTE'!J10</f>
        <v>0</v>
      </c>
      <c r="O11" s="25">
        <f>SUM(I11:N11)</f>
        <v>7653.009</v>
      </c>
      <c r="P11" s="27">
        <f>IF('[3]Calculo ISR '!$BA$34&lt;0,0,'[3]Calculo ISR '!$BA$34)</f>
        <v>1007.1884904000001</v>
      </c>
      <c r="Q11" s="28">
        <f>I11*N6</f>
        <v>713.14425000000006</v>
      </c>
      <c r="R11" s="28">
        <v>1919</v>
      </c>
      <c r="S11" s="28">
        <f>I11*T6</f>
        <v>67.918500000000009</v>
      </c>
      <c r="T11" s="28">
        <f>'[3]HT-DOCENTE'!R10</f>
        <v>0</v>
      </c>
      <c r="U11" s="28"/>
      <c r="V11" s="25">
        <f t="shared" si="0"/>
        <v>3707.2512404000004</v>
      </c>
      <c r="W11" s="28">
        <f>IF('[3]Calculo ISR '!$BA$34&gt;0,0,('[3]Calculo ISR '!$BA$34)*-1)</f>
        <v>0</v>
      </c>
      <c r="X11" s="25">
        <f>O11-V11-Y11+W11</f>
        <v>3569.7977595999996</v>
      </c>
      <c r="Y11" s="25">
        <f t="shared" si="1"/>
        <v>375.96000000000004</v>
      </c>
      <c r="Z11" s="161"/>
      <c r="AA11" s="162"/>
    </row>
    <row r="12" spans="1:27" s="35" customFormat="1" ht="45" customHeight="1">
      <c r="A12" s="21" t="s">
        <v>32</v>
      </c>
      <c r="B12" s="33" t="s">
        <v>33</v>
      </c>
      <c r="C12" s="32">
        <v>10</v>
      </c>
      <c r="D12" s="32">
        <v>0</v>
      </c>
      <c r="E12" s="24">
        <v>305.5</v>
      </c>
      <c r="F12" s="24">
        <v>348.3</v>
      </c>
      <c r="G12" s="24">
        <f t="shared" si="2"/>
        <v>3055</v>
      </c>
      <c r="H12" s="24">
        <f t="shared" si="2"/>
        <v>0</v>
      </c>
      <c r="I12" s="25">
        <f t="shared" si="3"/>
        <v>3055</v>
      </c>
      <c r="J12" s="25">
        <f t="shared" si="4"/>
        <v>192.8</v>
      </c>
      <c r="K12" s="25">
        <f>(C12+D12)*I6</f>
        <v>109.5</v>
      </c>
      <c r="L12" s="25"/>
      <c r="M12" s="25">
        <f>I12*J7</f>
        <v>122.2</v>
      </c>
      <c r="N12" s="25">
        <v>0</v>
      </c>
      <c r="O12" s="25">
        <f t="shared" ref="O12:O32" si="5">SUM(I12:N12)</f>
        <v>3479.5</v>
      </c>
      <c r="P12" s="27">
        <f>IF('[3]Calculo ISR '!$BB$34&lt;0,0,'[3]Calculo ISR '!$BB$34)</f>
        <v>128.40987199999998</v>
      </c>
      <c r="Q12" s="28">
        <f>I12*N6</f>
        <v>320.77499999999998</v>
      </c>
      <c r="R12" s="28">
        <v>873</v>
      </c>
      <c r="S12" s="28">
        <f>I12*T6</f>
        <v>30.55</v>
      </c>
      <c r="T12" s="28">
        <f>'[3]HT-DOCENTE'!R11</f>
        <v>0</v>
      </c>
      <c r="U12" s="28"/>
      <c r="V12" s="25">
        <f t="shared" si="0"/>
        <v>1352.7348719999998</v>
      </c>
      <c r="W12" s="28">
        <f>IF('[3]Calculo ISR '!$BB$34&gt;0,0,('[3]Calculo ISR '!$BB$34)*-1)</f>
        <v>0</v>
      </c>
      <c r="X12" s="25">
        <f>O12-V12-Y12+W12</f>
        <v>1933.965128</v>
      </c>
      <c r="Y12" s="25">
        <f t="shared" si="1"/>
        <v>192.8</v>
      </c>
      <c r="Z12" s="161"/>
      <c r="AA12" s="162"/>
    </row>
    <row r="13" spans="1:27" s="35" customFormat="1" ht="45" customHeight="1">
      <c r="A13" s="21" t="s">
        <v>34</v>
      </c>
      <c r="B13" s="33" t="s">
        <v>35</v>
      </c>
      <c r="C13" s="32">
        <v>12</v>
      </c>
      <c r="D13" s="32">
        <v>7.5</v>
      </c>
      <c r="E13" s="24">
        <v>348.3</v>
      </c>
      <c r="F13" s="24">
        <v>348.3</v>
      </c>
      <c r="G13" s="24">
        <f t="shared" si="2"/>
        <v>4179.6000000000004</v>
      </c>
      <c r="H13" s="24">
        <f t="shared" si="2"/>
        <v>2612.25</v>
      </c>
      <c r="I13" s="25">
        <f t="shared" si="3"/>
        <v>6791.85</v>
      </c>
      <c r="J13" s="25">
        <f t="shared" si="4"/>
        <v>375.96000000000004</v>
      </c>
      <c r="K13" s="25">
        <f>(C13+D13)*I6</f>
        <v>213.52499999999998</v>
      </c>
      <c r="L13" s="25"/>
      <c r="M13" s="25">
        <f>I13*I7</f>
        <v>135.83700000000002</v>
      </c>
      <c r="N13" s="25">
        <f>'[3]HT-DOCENTE'!J12</f>
        <v>0</v>
      </c>
      <c r="O13" s="25">
        <f t="shared" si="5"/>
        <v>7517.1720000000005</v>
      </c>
      <c r="P13" s="27">
        <f>IF('[3]Calculo ISR '!$BC$34&lt;0,0,'[3]Calculo ISR '!$BC$34)</f>
        <v>978.17370720000019</v>
      </c>
      <c r="Q13" s="28">
        <f>I13*N6</f>
        <v>713.14425000000006</v>
      </c>
      <c r="R13" s="28">
        <f>'[3]HT-DOCENTE'!P12</f>
        <v>0</v>
      </c>
      <c r="S13" s="28">
        <f>I13*T6</f>
        <v>67.918500000000009</v>
      </c>
      <c r="T13" s="28">
        <f>'[3]HT-DOCENTE'!R12</f>
        <v>0</v>
      </c>
      <c r="U13" s="28"/>
      <c r="V13" s="25">
        <f t="shared" si="0"/>
        <v>1759.2364572000004</v>
      </c>
      <c r="W13" s="28">
        <f>IF('[3]Calculo ISR '!$BC$34&gt;0,0,('[3]Calculo ISR '!$BC$34)*-1)</f>
        <v>0</v>
      </c>
      <c r="X13" s="25">
        <f t="shared" ref="X13:X24" si="6">O13-V13-Y13+W13</f>
        <v>5381.9755427999999</v>
      </c>
      <c r="Y13" s="25">
        <f t="shared" si="1"/>
        <v>375.96000000000004</v>
      </c>
      <c r="Z13" s="161"/>
      <c r="AA13" s="162"/>
    </row>
    <row r="14" spans="1:27" s="35" customFormat="1" ht="45" customHeight="1">
      <c r="A14" s="21" t="s">
        <v>36</v>
      </c>
      <c r="B14" s="33" t="s">
        <v>37</v>
      </c>
      <c r="C14" s="32">
        <v>5.5</v>
      </c>
      <c r="D14" s="32">
        <v>7.5</v>
      </c>
      <c r="E14" s="24">
        <v>348.3</v>
      </c>
      <c r="F14" s="24">
        <v>348.3</v>
      </c>
      <c r="G14" s="24">
        <f t="shared" si="2"/>
        <v>1915.65</v>
      </c>
      <c r="H14" s="24">
        <f t="shared" si="2"/>
        <v>2612.25</v>
      </c>
      <c r="I14" s="25">
        <f t="shared" si="3"/>
        <v>4527.8999999999996</v>
      </c>
      <c r="J14" s="25">
        <f t="shared" si="4"/>
        <v>250.64000000000001</v>
      </c>
      <c r="K14" s="25">
        <f>(C14+D14)*I6</f>
        <v>142.35</v>
      </c>
      <c r="L14" s="25">
        <f>(C14+D14)*E7</f>
        <v>289.90000000000003</v>
      </c>
      <c r="M14" s="25"/>
      <c r="N14" s="25">
        <f>'[3]HT-DOCENTE'!J13</f>
        <v>0</v>
      </c>
      <c r="O14" s="25">
        <f>SUM(I14:N14)</f>
        <v>5210.79</v>
      </c>
      <c r="P14" s="27">
        <f>IF('[3]Calculo ISR '!$BD$34&lt;0,0,'[3]Calculo ISR '!$BD$34)</f>
        <v>516.36436800000001</v>
      </c>
      <c r="Q14" s="28">
        <f>I14*N6</f>
        <v>475.42949999999996</v>
      </c>
      <c r="R14" s="28">
        <v>1100</v>
      </c>
      <c r="S14" s="28">
        <f>I14*T6</f>
        <v>45.278999999999996</v>
      </c>
      <c r="T14" s="28">
        <f>'[3]HT-DOCENTE'!R13</f>
        <v>0</v>
      </c>
      <c r="U14" s="28"/>
      <c r="V14" s="25">
        <f t="shared" si="0"/>
        <v>2137.0728679999997</v>
      </c>
      <c r="W14" s="28">
        <f>IF('[3]Calculo ISR '!$BD$34&gt;0,0,('[3]Calculo ISR '!$BD$34)*-1)</f>
        <v>0</v>
      </c>
      <c r="X14" s="25">
        <f t="shared" si="6"/>
        <v>2823.0771320000003</v>
      </c>
      <c r="Y14" s="25">
        <f t="shared" si="1"/>
        <v>250.64000000000001</v>
      </c>
      <c r="Z14" s="161"/>
      <c r="AA14" s="162"/>
    </row>
    <row r="15" spans="1:27" s="35" customFormat="1" ht="45" customHeight="1">
      <c r="A15" s="21" t="s">
        <v>38</v>
      </c>
      <c r="B15" s="33" t="s">
        <v>39</v>
      </c>
      <c r="C15" s="32">
        <v>11</v>
      </c>
      <c r="D15" s="32">
        <v>7.5</v>
      </c>
      <c r="E15" s="24">
        <v>348.3</v>
      </c>
      <c r="F15" s="24">
        <v>348.3</v>
      </c>
      <c r="G15" s="24">
        <f t="shared" si="2"/>
        <v>3831.3</v>
      </c>
      <c r="H15" s="24">
        <f t="shared" si="2"/>
        <v>2612.25</v>
      </c>
      <c r="I15" s="25">
        <f t="shared" si="3"/>
        <v>6443.55</v>
      </c>
      <c r="J15" s="25">
        <f t="shared" si="4"/>
        <v>356.68</v>
      </c>
      <c r="K15" s="25">
        <f>(C15+D15)*I6</f>
        <v>202.57499999999999</v>
      </c>
      <c r="L15" s="25">
        <f>(C15+D15)*E7</f>
        <v>412.55</v>
      </c>
      <c r="M15" s="25"/>
      <c r="N15" s="25">
        <f>'[3]HT-DOCENTE'!J14</f>
        <v>0</v>
      </c>
      <c r="O15" s="25">
        <f t="shared" si="5"/>
        <v>7415.3550000000005</v>
      </c>
      <c r="P15" s="27">
        <f>IF('[3]Calculo ISR '!$BE$34&lt;0,0,'[3]Calculo ISR '!$BE$34)</f>
        <v>960.54380400000014</v>
      </c>
      <c r="Q15" s="28">
        <f>I15*N6</f>
        <v>676.57275000000004</v>
      </c>
      <c r="R15" s="28">
        <v>1655</v>
      </c>
      <c r="S15" s="28">
        <f>I15*T6</f>
        <v>64.435500000000005</v>
      </c>
      <c r="T15" s="28">
        <f>'[3]HT-DOCENTE'!R14</f>
        <v>0</v>
      </c>
      <c r="U15" s="28"/>
      <c r="V15" s="25">
        <f t="shared" si="0"/>
        <v>3356.5520540000002</v>
      </c>
      <c r="W15" s="28">
        <f>IF('[3]Calculo ISR '!$BE$34&gt;0,0,('[3]Calculo ISR '!$BE$34)*-1)</f>
        <v>0</v>
      </c>
      <c r="X15" s="25">
        <f t="shared" si="6"/>
        <v>3702.1229460000004</v>
      </c>
      <c r="Y15" s="25">
        <f t="shared" si="1"/>
        <v>356.68</v>
      </c>
      <c r="Z15" s="161"/>
      <c r="AA15" s="162"/>
    </row>
    <row r="16" spans="1:27" s="35" customFormat="1" ht="45" customHeight="1">
      <c r="A16" s="21" t="s">
        <v>40</v>
      </c>
      <c r="B16" s="33" t="s">
        <v>41</v>
      </c>
      <c r="C16" s="32">
        <f>'[3]HT-DOCENTE'!C15</f>
        <v>19.5</v>
      </c>
      <c r="D16" s="32">
        <v>0</v>
      </c>
      <c r="E16" s="24">
        <v>305.5</v>
      </c>
      <c r="F16" s="24">
        <v>348.3</v>
      </c>
      <c r="G16" s="24">
        <f t="shared" si="2"/>
        <v>5957.25</v>
      </c>
      <c r="H16" s="24">
        <f t="shared" si="2"/>
        <v>0</v>
      </c>
      <c r="I16" s="25">
        <f t="shared" si="3"/>
        <v>5957.25</v>
      </c>
      <c r="J16" s="25">
        <f t="shared" si="4"/>
        <v>375.96000000000004</v>
      </c>
      <c r="K16" s="25">
        <f>(C16+D16)*I6</f>
        <v>213.52499999999998</v>
      </c>
      <c r="L16" s="25">
        <f>(C16+D16)*E7</f>
        <v>434.85</v>
      </c>
      <c r="M16" s="25"/>
      <c r="N16" s="25">
        <f>'[3]HT-DOCENTE'!J15</f>
        <v>0</v>
      </c>
      <c r="O16" s="25">
        <f t="shared" si="5"/>
        <v>6981.585</v>
      </c>
      <c r="P16" s="27">
        <f>IF('[3]Calculo ISR '!$BF$34&lt;0,0,'[3]Calculo ISR '!$BF$34)</f>
        <v>863.77232400000003</v>
      </c>
      <c r="Q16" s="28">
        <f>I16*N6</f>
        <v>625.51125000000002</v>
      </c>
      <c r="R16" s="28">
        <f>'[3]HT-DOCENTE'!P15</f>
        <v>0</v>
      </c>
      <c r="S16" s="28">
        <f>I16*T6</f>
        <v>59.572499999999998</v>
      </c>
      <c r="T16" s="28">
        <v>0</v>
      </c>
      <c r="U16" s="28"/>
      <c r="V16" s="25">
        <f t="shared" si="0"/>
        <v>1548.856074</v>
      </c>
      <c r="W16" s="28">
        <f>IF('[3]Calculo ISR '!$BF$34&gt;0,0,('[3]Calculo ISR '!$BF$34)*-1)</f>
        <v>0</v>
      </c>
      <c r="X16" s="25">
        <f t="shared" si="6"/>
        <v>5056.7689259999997</v>
      </c>
      <c r="Y16" s="25">
        <f t="shared" si="1"/>
        <v>375.96000000000004</v>
      </c>
      <c r="Z16" s="161"/>
      <c r="AA16" s="162"/>
    </row>
    <row r="17" spans="1:27" s="35" customFormat="1" ht="45" customHeight="1">
      <c r="A17" s="21" t="s">
        <v>42</v>
      </c>
      <c r="B17" s="33" t="s">
        <v>43</v>
      </c>
      <c r="C17" s="32">
        <v>2</v>
      </c>
      <c r="D17" s="32">
        <v>0</v>
      </c>
      <c r="E17" s="24">
        <v>305.5</v>
      </c>
      <c r="F17" s="24">
        <v>348.3</v>
      </c>
      <c r="G17" s="24">
        <f t="shared" si="2"/>
        <v>611</v>
      </c>
      <c r="H17" s="24">
        <f t="shared" si="2"/>
        <v>0</v>
      </c>
      <c r="I17" s="25">
        <f t="shared" si="3"/>
        <v>611</v>
      </c>
      <c r="J17" s="25">
        <f t="shared" si="4"/>
        <v>38.56</v>
      </c>
      <c r="K17" s="25">
        <f>(C17+D17)*I6</f>
        <v>21.9</v>
      </c>
      <c r="L17" s="25">
        <f>(C17+D17)*E7*2</f>
        <v>89.2</v>
      </c>
      <c r="M17" s="25"/>
      <c r="N17" s="25">
        <f>'[3]HT-DOCENTE'!J16</f>
        <v>0</v>
      </c>
      <c r="O17" s="25">
        <f>SUM(I17:N17)</f>
        <v>760.66</v>
      </c>
      <c r="P17" s="27">
        <f>IF('[3]Calculo ISR '!$BG$34&lt;0,0,'[3]Calculo ISR '!$BG$34)</f>
        <v>0</v>
      </c>
      <c r="Q17" s="28">
        <f>I17*N6</f>
        <v>64.155000000000001</v>
      </c>
      <c r="R17" s="28">
        <v>0</v>
      </c>
      <c r="S17" s="28">
        <f>I17*T6</f>
        <v>6.11</v>
      </c>
      <c r="T17" s="28">
        <f>'[3]HT-DOCENTE'!R16</f>
        <v>0</v>
      </c>
      <c r="U17" s="28"/>
      <c r="V17" s="25">
        <f t="shared" si="0"/>
        <v>70.265000000000001</v>
      </c>
      <c r="W17" s="28">
        <f>IF('[3]Calculo ISR '!$BG$34&gt;0,0,('[3]Calculo ISR '!$BG$34)*-1)</f>
        <v>165.65343999999999</v>
      </c>
      <c r="X17" s="25">
        <f t="shared" si="6"/>
        <v>817.48844000000008</v>
      </c>
      <c r="Y17" s="25">
        <f t="shared" si="1"/>
        <v>38.56</v>
      </c>
      <c r="Z17" s="161"/>
      <c r="AA17" s="162"/>
    </row>
    <row r="18" spans="1:27" s="35" customFormat="1" ht="45" customHeight="1">
      <c r="A18" s="21" t="s">
        <v>44</v>
      </c>
      <c r="B18" s="33" t="s">
        <v>45</v>
      </c>
      <c r="C18" s="34">
        <v>11</v>
      </c>
      <c r="D18" s="34">
        <v>7.5</v>
      </c>
      <c r="E18" s="24">
        <v>348.3</v>
      </c>
      <c r="F18" s="24">
        <v>348.3</v>
      </c>
      <c r="G18" s="24">
        <f t="shared" si="2"/>
        <v>3831.3</v>
      </c>
      <c r="H18" s="24">
        <f t="shared" si="2"/>
        <v>2612.25</v>
      </c>
      <c r="I18" s="25">
        <f t="shared" si="3"/>
        <v>6443.55</v>
      </c>
      <c r="J18" s="25">
        <f t="shared" si="4"/>
        <v>356.68</v>
      </c>
      <c r="K18" s="25">
        <f>(C18+D18)*I6</f>
        <v>202.57499999999999</v>
      </c>
      <c r="L18" s="25"/>
      <c r="M18" s="25"/>
      <c r="N18" s="25">
        <f>'[3]HT-DOCENTE'!J17</f>
        <v>0</v>
      </c>
      <c r="O18" s="25">
        <f t="shared" si="5"/>
        <v>7002.8050000000003</v>
      </c>
      <c r="P18" s="27">
        <f>IF('[3]Calculo ISR '!$BH$34&lt;0,0,'[3]Calculo ISR '!$BH$34)</f>
        <v>872.42312400000014</v>
      </c>
      <c r="Q18" s="28">
        <f>I18*N6</f>
        <v>676.57275000000004</v>
      </c>
      <c r="R18" s="28">
        <f>'[3]HT-DOCENTE'!P17</f>
        <v>0</v>
      </c>
      <c r="S18" s="28">
        <f>I18*T6</f>
        <v>64.435500000000005</v>
      </c>
      <c r="T18" s="28">
        <f>'[3]HT-DOCENTE'!R17</f>
        <v>0</v>
      </c>
      <c r="U18" s="28"/>
      <c r="V18" s="25">
        <f t="shared" si="0"/>
        <v>1613.4313740000002</v>
      </c>
      <c r="W18" s="28">
        <f>IF('[3]Calculo ISR '!$BH$34&gt;0,0,('[3]Calculo ISR '!$BH$34)*-1)</f>
        <v>0</v>
      </c>
      <c r="X18" s="25">
        <f t="shared" si="6"/>
        <v>5032.6936260000002</v>
      </c>
      <c r="Y18" s="25">
        <f t="shared" si="1"/>
        <v>356.68</v>
      </c>
      <c r="Z18" s="161"/>
      <c r="AA18" s="162"/>
    </row>
    <row r="19" spans="1:27" s="35" customFormat="1" ht="45" customHeight="1">
      <c r="A19" s="21" t="s">
        <v>46</v>
      </c>
      <c r="B19" s="33" t="s">
        <v>47</v>
      </c>
      <c r="C19" s="34">
        <v>6.5</v>
      </c>
      <c r="D19" s="34">
        <v>0</v>
      </c>
      <c r="E19" s="24">
        <v>305.5</v>
      </c>
      <c r="F19" s="24">
        <v>348.3</v>
      </c>
      <c r="G19" s="24">
        <f t="shared" si="2"/>
        <v>1985.75</v>
      </c>
      <c r="H19" s="24">
        <f t="shared" si="2"/>
        <v>0</v>
      </c>
      <c r="I19" s="25">
        <f t="shared" si="3"/>
        <v>1985.75</v>
      </c>
      <c r="J19" s="25">
        <f t="shared" si="4"/>
        <v>125.32000000000001</v>
      </c>
      <c r="K19" s="25">
        <f>(C19+D19)*I6</f>
        <v>71.174999999999997</v>
      </c>
      <c r="L19" s="25"/>
      <c r="M19" s="25"/>
      <c r="N19" s="25">
        <v>0</v>
      </c>
      <c r="O19" s="25">
        <f t="shared" si="5"/>
        <v>2182.2450000000003</v>
      </c>
      <c r="P19" s="27">
        <f>IF('[3]Calculo ISR '!$BI$34&lt;0,0,'[3]Calculo ISR '!$BI$34)</f>
        <v>0</v>
      </c>
      <c r="Q19" s="28">
        <f>I19*N6</f>
        <v>208.50375</v>
      </c>
      <c r="R19" s="28">
        <v>1254.74</v>
      </c>
      <c r="S19" s="28">
        <f>I19*T6</f>
        <v>19.857500000000002</v>
      </c>
      <c r="T19" s="28">
        <f>'[3]HT-DOCENTE'!R18</f>
        <v>0</v>
      </c>
      <c r="U19" s="30"/>
      <c r="V19" s="25">
        <f>P19+Q19+R19+S19+U19+T19</f>
        <v>1483.1012500000002</v>
      </c>
      <c r="W19" s="28">
        <f>IF('[3]Calculo ISR '!$BI$34&gt;0,0,('[3]Calculo ISR '!$BI$34)*-1)</f>
        <v>68.07463999999996</v>
      </c>
      <c r="X19" s="25">
        <f t="shared" si="6"/>
        <v>641.89839000000006</v>
      </c>
      <c r="Y19" s="25">
        <f t="shared" si="1"/>
        <v>125.32000000000001</v>
      </c>
      <c r="Z19" s="163"/>
      <c r="AA19" s="163"/>
    </row>
    <row r="20" spans="1:27" s="35" customFormat="1" ht="45" customHeight="1">
      <c r="A20" s="21" t="s">
        <v>48</v>
      </c>
      <c r="B20" s="33" t="s">
        <v>49</v>
      </c>
      <c r="C20" s="34">
        <v>19.5</v>
      </c>
      <c r="D20" s="34">
        <v>0</v>
      </c>
      <c r="E20" s="24">
        <v>305.5</v>
      </c>
      <c r="F20" s="24">
        <v>348.3</v>
      </c>
      <c r="G20" s="24">
        <f t="shared" si="2"/>
        <v>5957.25</v>
      </c>
      <c r="H20" s="24">
        <f t="shared" si="2"/>
        <v>0</v>
      </c>
      <c r="I20" s="25">
        <f t="shared" si="3"/>
        <v>5957.25</v>
      </c>
      <c r="J20" s="25">
        <f t="shared" si="4"/>
        <v>375.96000000000004</v>
      </c>
      <c r="K20" s="25">
        <f>(C20+D20)*I6</f>
        <v>213.52499999999998</v>
      </c>
      <c r="L20" s="25"/>
      <c r="M20" s="25"/>
      <c r="N20" s="25">
        <v>0</v>
      </c>
      <c r="O20" s="25">
        <f t="shared" si="5"/>
        <v>6546.7349999999997</v>
      </c>
      <c r="P20" s="27">
        <f>IF('[3]Calculo ISR '!$BJ$34&lt;0,0,'[3]Calculo ISR '!$BJ$34)</f>
        <v>770.88836400000002</v>
      </c>
      <c r="Q20" s="28">
        <f>I20*N6</f>
        <v>625.51125000000002</v>
      </c>
      <c r="R20" s="28">
        <f>'[3]HT-DOCENTE'!P19</f>
        <v>0</v>
      </c>
      <c r="S20" s="28">
        <f>I20*T6</f>
        <v>59.572499999999998</v>
      </c>
      <c r="T20" s="28">
        <f>'[3]HT-DOCENTE'!R19</f>
        <v>0</v>
      </c>
      <c r="U20" s="28"/>
      <c r="V20" s="25">
        <f t="shared" si="0"/>
        <v>1455.9721139999999</v>
      </c>
      <c r="W20" s="28">
        <f>IF('[3]Calculo ISR '!$BJ$34&gt;0,0,('[3]Calculo ISR '!$BJ$34)*-1)</f>
        <v>0</v>
      </c>
      <c r="X20" s="25">
        <f t="shared" si="6"/>
        <v>4714.8028859999995</v>
      </c>
      <c r="Y20" s="25">
        <f t="shared" si="1"/>
        <v>375.96000000000004</v>
      </c>
      <c r="Z20" s="161"/>
      <c r="AA20" s="162"/>
    </row>
    <row r="21" spans="1:27" s="35" customFormat="1" ht="45" customHeight="1">
      <c r="A21" s="21" t="s">
        <v>50</v>
      </c>
      <c r="B21" s="33" t="s">
        <v>51</v>
      </c>
      <c r="C21" s="34">
        <v>18.5</v>
      </c>
      <c r="D21" s="34">
        <v>0</v>
      </c>
      <c r="E21" s="24">
        <v>305.5</v>
      </c>
      <c r="F21" s="24">
        <v>348.3</v>
      </c>
      <c r="G21" s="24">
        <f t="shared" si="2"/>
        <v>5651.75</v>
      </c>
      <c r="H21" s="24">
        <f t="shared" si="2"/>
        <v>0</v>
      </c>
      <c r="I21" s="25">
        <f t="shared" si="3"/>
        <v>5651.75</v>
      </c>
      <c r="J21" s="25">
        <f t="shared" si="4"/>
        <v>356.68</v>
      </c>
      <c r="K21" s="25">
        <f>(C21+D21)*I6</f>
        <v>202.57499999999999</v>
      </c>
      <c r="L21" s="25"/>
      <c r="M21" s="25"/>
      <c r="N21" s="25">
        <v>0</v>
      </c>
      <c r="O21" s="25">
        <f>SUM(I21:N21)</f>
        <v>6211.0050000000001</v>
      </c>
      <c r="P21" s="27">
        <f>IF('[3]Calculo ISR '!$BK$34&lt;0,0,'[3]Calculo ISR '!$BK$34)</f>
        <v>703.29464400000006</v>
      </c>
      <c r="Q21" s="28">
        <f>I21*N6</f>
        <v>593.43375000000003</v>
      </c>
      <c r="R21" s="28">
        <v>1279</v>
      </c>
      <c r="S21" s="28">
        <f>I21*T6</f>
        <v>56.517499999999998</v>
      </c>
      <c r="T21" s="28"/>
      <c r="U21" s="28"/>
      <c r="V21" s="25">
        <f t="shared" si="0"/>
        <v>2632.2458940000001</v>
      </c>
      <c r="W21" s="28">
        <f>IF('[3]Calculo ISR '!$BK$34&gt;0,0,('[3]Calculo ISR '!$BK$34)*-1)</f>
        <v>0</v>
      </c>
      <c r="X21" s="25">
        <f t="shared" si="6"/>
        <v>3222.0791060000001</v>
      </c>
      <c r="Y21" s="25">
        <f t="shared" si="1"/>
        <v>356.68</v>
      </c>
      <c r="Z21" s="161"/>
      <c r="AA21" s="162"/>
    </row>
    <row r="22" spans="1:27" s="35" customFormat="1" ht="45" customHeight="1">
      <c r="A22" s="21" t="s">
        <v>52</v>
      </c>
      <c r="B22" s="33" t="s">
        <v>53</v>
      </c>
      <c r="C22" s="34">
        <v>19.5</v>
      </c>
      <c r="D22" s="34">
        <v>0</v>
      </c>
      <c r="E22" s="24">
        <v>305.5</v>
      </c>
      <c r="F22" s="24">
        <v>348.3</v>
      </c>
      <c r="G22" s="24">
        <f t="shared" si="2"/>
        <v>5957.25</v>
      </c>
      <c r="H22" s="24">
        <f t="shared" si="2"/>
        <v>0</v>
      </c>
      <c r="I22" s="25">
        <f t="shared" si="3"/>
        <v>5957.25</v>
      </c>
      <c r="J22" s="25">
        <f t="shared" si="4"/>
        <v>375.96000000000004</v>
      </c>
      <c r="K22" s="25">
        <f>(C22+D22)*I6</f>
        <v>213.52499999999998</v>
      </c>
      <c r="L22" s="25"/>
      <c r="M22" s="25"/>
      <c r="N22" s="25">
        <v>0</v>
      </c>
      <c r="O22" s="25">
        <f t="shared" si="5"/>
        <v>6546.7349999999997</v>
      </c>
      <c r="P22" s="27">
        <f>IF('[3]Calculo ISR '!$BL$34&lt;0,0,'[3]Calculo ISR '!$BL$34)</f>
        <v>770.88836400000002</v>
      </c>
      <c r="Q22" s="28">
        <f>I22*N6</f>
        <v>625.51125000000002</v>
      </c>
      <c r="R22" s="28">
        <f>'[3]HT-DOCENTE'!P21</f>
        <v>0</v>
      </c>
      <c r="S22" s="28">
        <f>I22*T6</f>
        <v>59.572499999999998</v>
      </c>
      <c r="T22" s="28"/>
      <c r="U22" s="28"/>
      <c r="V22" s="25">
        <f t="shared" si="0"/>
        <v>1455.9721139999999</v>
      </c>
      <c r="W22" s="28">
        <f>IF('[3]Calculo ISR '!$BL$34&gt;0,0,('[3]Calculo ISR '!$BL$34)*-1)</f>
        <v>0</v>
      </c>
      <c r="X22" s="25">
        <f t="shared" si="6"/>
        <v>4714.8028859999995</v>
      </c>
      <c r="Y22" s="25">
        <f t="shared" si="1"/>
        <v>375.96000000000004</v>
      </c>
      <c r="Z22" s="161"/>
      <c r="AA22" s="162"/>
    </row>
    <row r="23" spans="1:27" s="35" customFormat="1" ht="45" customHeight="1">
      <c r="A23" s="21" t="s">
        <v>54</v>
      </c>
      <c r="B23" s="33" t="s">
        <v>55</v>
      </c>
      <c r="C23" s="34">
        <v>19.5</v>
      </c>
      <c r="D23" s="34">
        <v>0</v>
      </c>
      <c r="E23" s="24">
        <v>305.5</v>
      </c>
      <c r="F23" s="24">
        <v>348.3</v>
      </c>
      <c r="G23" s="24">
        <f t="shared" si="2"/>
        <v>5957.25</v>
      </c>
      <c r="H23" s="24">
        <f t="shared" si="2"/>
        <v>0</v>
      </c>
      <c r="I23" s="25">
        <f t="shared" si="3"/>
        <v>5957.25</v>
      </c>
      <c r="J23" s="25">
        <f t="shared" si="4"/>
        <v>375.96000000000004</v>
      </c>
      <c r="K23" s="25">
        <f>(C23+D23)*I6</f>
        <v>213.52499999999998</v>
      </c>
      <c r="L23" s="25"/>
      <c r="M23" s="25"/>
      <c r="N23" s="25">
        <v>0</v>
      </c>
      <c r="O23" s="25">
        <f t="shared" si="5"/>
        <v>6546.7349999999997</v>
      </c>
      <c r="P23" s="27">
        <f>IF('[3]Calculo ISR '!$BM$34&lt;0,0,'[3]Calculo ISR '!$BM$34)</f>
        <v>770.88836400000002</v>
      </c>
      <c r="Q23" s="28">
        <f>I23*N6</f>
        <v>625.51125000000002</v>
      </c>
      <c r="R23" s="28">
        <v>1324</v>
      </c>
      <c r="S23" s="28">
        <f>I23*T6</f>
        <v>59.572499999999998</v>
      </c>
      <c r="T23" s="28">
        <f>'[3]HT-DOCENTE'!R22</f>
        <v>0</v>
      </c>
      <c r="U23" s="28"/>
      <c r="V23" s="25">
        <f t="shared" si="0"/>
        <v>2779.9721140000001</v>
      </c>
      <c r="W23" s="28">
        <f>IF('[3]Calculo ISR '!$BM$34&gt;0,0,('[3]Calculo ISR '!$BM$34)*-1)</f>
        <v>0</v>
      </c>
      <c r="X23" s="25">
        <f t="shared" si="6"/>
        <v>3390.8028859999995</v>
      </c>
      <c r="Y23" s="25">
        <f t="shared" si="1"/>
        <v>375.96000000000004</v>
      </c>
      <c r="Z23" s="161"/>
      <c r="AA23" s="162"/>
    </row>
    <row r="24" spans="1:27" s="35" customFormat="1" ht="45" customHeight="1">
      <c r="A24" s="21" t="s">
        <v>56</v>
      </c>
      <c r="B24" s="33" t="s">
        <v>57</v>
      </c>
      <c r="C24" s="34">
        <v>19</v>
      </c>
      <c r="D24" s="34">
        <v>0</v>
      </c>
      <c r="E24" s="24">
        <v>305.5</v>
      </c>
      <c r="F24" s="24">
        <v>348.3</v>
      </c>
      <c r="G24" s="24">
        <f t="shared" si="2"/>
        <v>5804.5</v>
      </c>
      <c r="H24" s="24">
        <f t="shared" si="2"/>
        <v>0</v>
      </c>
      <c r="I24" s="25">
        <f t="shared" si="3"/>
        <v>5804.5</v>
      </c>
      <c r="J24" s="25">
        <f t="shared" si="4"/>
        <v>366.32000000000005</v>
      </c>
      <c r="K24" s="25">
        <f>(C24+D24)*I6</f>
        <v>208.04999999999998</v>
      </c>
      <c r="L24" s="25">
        <f>(C24+D24)*E7</f>
        <v>423.7</v>
      </c>
      <c r="M24" s="25"/>
      <c r="N24" s="25">
        <v>0</v>
      </c>
      <c r="O24" s="25">
        <f t="shared" si="5"/>
        <v>6802.57</v>
      </c>
      <c r="P24" s="27">
        <f>IF('[3]Calculo ISR '!$BN$34&lt;0,0,'[3]Calculo ISR '!$BN$34)</f>
        <v>827.59382400000004</v>
      </c>
      <c r="Q24" s="28">
        <f>I24*N6</f>
        <v>609.47249999999997</v>
      </c>
      <c r="R24" s="28">
        <f>'[3]HT-DOCENTE'!P23</f>
        <v>0</v>
      </c>
      <c r="S24" s="28">
        <f>I24*T6</f>
        <v>58.045000000000002</v>
      </c>
      <c r="T24" s="28">
        <f>'[3]HT-DOCENTE'!R23</f>
        <v>0</v>
      </c>
      <c r="U24" s="28"/>
      <c r="V24" s="25">
        <f t="shared" si="0"/>
        <v>1495.111324</v>
      </c>
      <c r="W24" s="28">
        <f>IF('[3]Calculo ISR '!$BN$34&gt;0,0,('[3]Calculo ISR '!$BN$34)*-1)</f>
        <v>0</v>
      </c>
      <c r="X24" s="25">
        <f t="shared" si="6"/>
        <v>4941.1386760000005</v>
      </c>
      <c r="Y24" s="25">
        <f t="shared" si="1"/>
        <v>366.32000000000005</v>
      </c>
      <c r="Z24" s="161"/>
      <c r="AA24" s="162"/>
    </row>
    <row r="25" spans="1:27" s="35" customFormat="1" ht="45" customHeight="1">
      <c r="A25" s="21" t="s">
        <v>58</v>
      </c>
      <c r="B25" s="33" t="s">
        <v>59</v>
      </c>
      <c r="C25" s="34">
        <v>11</v>
      </c>
      <c r="D25" s="34">
        <v>0</v>
      </c>
      <c r="E25" s="24">
        <v>305.5</v>
      </c>
      <c r="F25" s="24">
        <v>348.3</v>
      </c>
      <c r="G25" s="24">
        <f t="shared" si="2"/>
        <v>3360.5</v>
      </c>
      <c r="H25" s="24">
        <f t="shared" si="2"/>
        <v>0</v>
      </c>
      <c r="I25" s="25">
        <f t="shared" si="3"/>
        <v>3360.5</v>
      </c>
      <c r="J25" s="25">
        <f t="shared" si="4"/>
        <v>212.08</v>
      </c>
      <c r="K25" s="25">
        <f>(C25+D25)*I6</f>
        <v>120.44999999999999</v>
      </c>
      <c r="L25" s="25"/>
      <c r="M25" s="25"/>
      <c r="N25" s="25"/>
      <c r="O25" s="25">
        <f>SUM(I25:N25)</f>
        <v>3693.0299999999997</v>
      </c>
      <c r="P25" s="27">
        <f>IF('[3]Calculo ISR '!$BO$34&lt;0,0,'[3]Calculo ISR '!$BO$34)</f>
        <v>149.54427199999995</v>
      </c>
      <c r="Q25" s="28">
        <f>I25*N6</f>
        <v>352.85249999999996</v>
      </c>
      <c r="R25" s="28">
        <v>707</v>
      </c>
      <c r="S25" s="28">
        <f>I25*T6</f>
        <v>33.605000000000004</v>
      </c>
      <c r="T25" s="28"/>
      <c r="U25" s="28"/>
      <c r="V25" s="25">
        <f>P25+Q25+R25+S25+U25+T25</f>
        <v>1243.0017720000001</v>
      </c>
      <c r="W25" s="28">
        <f>IF('[3]Calculo ISR '!$BO$34&gt;0,0,('[3]Calculo ISR '!$BO$34)*-1)</f>
        <v>0</v>
      </c>
      <c r="X25" s="25">
        <f>O25-V25-Y25+W25</f>
        <v>2237.9482279999997</v>
      </c>
      <c r="Y25" s="25">
        <f t="shared" si="1"/>
        <v>212.08</v>
      </c>
      <c r="Z25" s="161"/>
      <c r="AA25" s="162"/>
    </row>
    <row r="26" spans="1:27" s="35" customFormat="1" ht="45" customHeight="1">
      <c r="A26" s="21" t="s">
        <v>60</v>
      </c>
      <c r="B26" s="33" t="s">
        <v>61</v>
      </c>
      <c r="C26" s="34">
        <v>18.5</v>
      </c>
      <c r="D26" s="34"/>
      <c r="E26" s="24">
        <v>305.5</v>
      </c>
      <c r="F26" s="24">
        <v>348.3</v>
      </c>
      <c r="G26" s="24">
        <f t="shared" si="2"/>
        <v>5651.75</v>
      </c>
      <c r="H26" s="24">
        <f t="shared" si="2"/>
        <v>0</v>
      </c>
      <c r="I26" s="25">
        <f t="shared" si="3"/>
        <v>5651.75</v>
      </c>
      <c r="J26" s="25">
        <f t="shared" si="4"/>
        <v>356.68</v>
      </c>
      <c r="K26" s="25">
        <f>(C26+D26)*I6</f>
        <v>202.57499999999999</v>
      </c>
      <c r="L26" s="25"/>
      <c r="M26" s="25"/>
      <c r="N26" s="25"/>
      <c r="O26" s="25">
        <f t="shared" si="5"/>
        <v>6211.0050000000001</v>
      </c>
      <c r="P26" s="27">
        <f>IF('[3]Calculo ISR '!$BP$34&lt;0,0,'[3]Calculo ISR '!$BP$34)</f>
        <v>703.29464400000006</v>
      </c>
      <c r="Q26" s="28">
        <f>I26*N6</f>
        <v>593.43375000000003</v>
      </c>
      <c r="R26" s="28"/>
      <c r="S26" s="28"/>
      <c r="T26" s="28"/>
      <c r="U26" s="28"/>
      <c r="V26" s="25">
        <f>P26+Q26+R26+S26+T26+U26</f>
        <v>1296.7283940000002</v>
      </c>
      <c r="W26" s="28">
        <f>IF('[3]Calculo ISR '!$BP$34&gt;0,0,('[3]Calculo ISR '!$BP$34)*-1)</f>
        <v>0</v>
      </c>
      <c r="X26" s="25">
        <f>O26-V26-Y26+W26</f>
        <v>4557.5966059999992</v>
      </c>
      <c r="Y26" s="25">
        <f t="shared" si="1"/>
        <v>356.68</v>
      </c>
      <c r="Z26" s="161"/>
      <c r="AA26" s="162"/>
    </row>
    <row r="27" spans="1:27" s="35" customFormat="1" ht="45" customHeight="1">
      <c r="A27" s="21" t="s">
        <v>62</v>
      </c>
      <c r="B27" s="33" t="s">
        <v>63</v>
      </c>
      <c r="C27" s="34">
        <v>17.5</v>
      </c>
      <c r="D27" s="34">
        <v>0</v>
      </c>
      <c r="E27" s="24">
        <v>305.5</v>
      </c>
      <c r="F27" s="24">
        <v>348.3</v>
      </c>
      <c r="G27" s="24">
        <f t="shared" si="2"/>
        <v>5346.25</v>
      </c>
      <c r="H27" s="24">
        <f t="shared" si="2"/>
        <v>0</v>
      </c>
      <c r="I27" s="25">
        <f t="shared" si="3"/>
        <v>5346.25</v>
      </c>
      <c r="J27" s="25">
        <f t="shared" si="4"/>
        <v>337.40000000000003</v>
      </c>
      <c r="K27" s="25">
        <f>(C27+D27)*I6</f>
        <v>191.625</v>
      </c>
      <c r="L27" s="25"/>
      <c r="M27" s="25"/>
      <c r="N27" s="25">
        <v>0</v>
      </c>
      <c r="O27" s="25">
        <f t="shared" si="5"/>
        <v>5875.2749999999996</v>
      </c>
      <c r="P27" s="27">
        <f>IF('[3]Calculo ISR '!$BQ$34&lt;0,0,'[3]Calculo ISR '!$BQ$34)</f>
        <v>635.7009240000001</v>
      </c>
      <c r="Q27" s="28">
        <f>I27*N6</f>
        <v>561.35624999999993</v>
      </c>
      <c r="R27" s="28"/>
      <c r="S27" s="28">
        <f>I27*T6</f>
        <v>53.462499999999999</v>
      </c>
      <c r="T27" s="28"/>
      <c r="U27" s="28"/>
      <c r="V27" s="25">
        <f>P27+Q27+R27+S27+T27+U27</f>
        <v>1250.5196740000001</v>
      </c>
      <c r="W27" s="28">
        <f>IF('[3]Calculo ISR '!$BQ$34&gt;0,0,('[3]Calculo ISR '!$BQ$34)*-1)</f>
        <v>0</v>
      </c>
      <c r="X27" s="25">
        <f>O27-V27+W27-Y27</f>
        <v>4287.3553259999999</v>
      </c>
      <c r="Y27" s="25">
        <f t="shared" si="1"/>
        <v>337.40000000000003</v>
      </c>
      <c r="Z27" s="161"/>
      <c r="AA27" s="162"/>
    </row>
    <row r="28" spans="1:27" s="35" customFormat="1" ht="45" customHeight="1">
      <c r="A28" s="21" t="s">
        <v>64</v>
      </c>
      <c r="B28" s="33" t="s">
        <v>65</v>
      </c>
      <c r="C28" s="34">
        <v>17</v>
      </c>
      <c r="D28" s="34">
        <v>0</v>
      </c>
      <c r="E28" s="24">
        <v>305.5</v>
      </c>
      <c r="F28" s="24">
        <v>348.3</v>
      </c>
      <c r="G28" s="24">
        <f t="shared" si="2"/>
        <v>5193.5</v>
      </c>
      <c r="H28" s="24">
        <f t="shared" si="2"/>
        <v>0</v>
      </c>
      <c r="I28" s="25">
        <f t="shared" si="3"/>
        <v>5193.5</v>
      </c>
      <c r="J28" s="25">
        <f t="shared" si="4"/>
        <v>327.76</v>
      </c>
      <c r="K28" s="25">
        <f>(C28+D28)*I6</f>
        <v>186.14999999999998</v>
      </c>
      <c r="L28" s="25"/>
      <c r="M28" s="25"/>
      <c r="N28" s="25">
        <v>0</v>
      </c>
      <c r="O28" s="25">
        <f>SUM(I28:N28)</f>
        <v>5707.41</v>
      </c>
      <c r="P28" s="27">
        <f>IF('[3]Calculo ISR '!$BR$34&lt;0,0,'[3]Calculo ISR '!$BR$34)</f>
        <v>601.90406400000006</v>
      </c>
      <c r="Q28" s="28">
        <f>I28*N6</f>
        <v>545.3175</v>
      </c>
      <c r="R28" s="28"/>
      <c r="S28" s="28"/>
      <c r="T28" s="28"/>
      <c r="U28" s="28"/>
      <c r="V28" s="25">
        <f t="shared" ref="V28:V31" si="7">P28+Q28+R28+S28+T28+U28</f>
        <v>1147.2215639999999</v>
      </c>
      <c r="W28" s="28">
        <f>IF('[3]Calculo ISR '!$BR$34&gt;0,0,('[3]Calculo ISR '!$BR$34)*-1)</f>
        <v>0</v>
      </c>
      <c r="X28" s="25">
        <f t="shared" ref="X28:X32" si="8">O28-V28+W28-Y28</f>
        <v>4232.4284360000001</v>
      </c>
      <c r="Y28" s="25">
        <f t="shared" si="1"/>
        <v>327.76</v>
      </c>
      <c r="Z28" s="161"/>
      <c r="AA28" s="162"/>
    </row>
    <row r="29" spans="1:27" s="35" customFormat="1" ht="45" customHeight="1">
      <c r="A29" s="21" t="s">
        <v>66</v>
      </c>
      <c r="B29" s="36" t="s">
        <v>67</v>
      </c>
      <c r="C29" s="34">
        <v>11.5</v>
      </c>
      <c r="D29" s="34">
        <v>0</v>
      </c>
      <c r="E29" s="24">
        <v>305.5</v>
      </c>
      <c r="F29" s="24">
        <v>348.3</v>
      </c>
      <c r="G29" s="24">
        <f t="shared" si="2"/>
        <v>3513.25</v>
      </c>
      <c r="H29" s="24">
        <f t="shared" si="2"/>
        <v>0</v>
      </c>
      <c r="I29" s="25">
        <f t="shared" si="3"/>
        <v>3513.25</v>
      </c>
      <c r="J29" s="25">
        <f t="shared" si="4"/>
        <v>221.72000000000003</v>
      </c>
      <c r="K29" s="25">
        <f>(C29+D29)*I6</f>
        <v>125.925</v>
      </c>
      <c r="L29" s="25"/>
      <c r="M29" s="25"/>
      <c r="N29" s="25">
        <v>0</v>
      </c>
      <c r="O29" s="25">
        <f t="shared" si="5"/>
        <v>3860.8950000000004</v>
      </c>
      <c r="P29" s="27">
        <f>IF('[3]Calculo ISR '!$BS$34&lt;0,0,'[3]Calculo ISR '!$BS$34)</f>
        <v>184.45915199999999</v>
      </c>
      <c r="Q29" s="28">
        <f>I29*N6</f>
        <v>368.89125000000001</v>
      </c>
      <c r="R29" s="28"/>
      <c r="S29" s="28"/>
      <c r="T29" s="28"/>
      <c r="U29" s="28"/>
      <c r="V29" s="25">
        <f t="shared" si="7"/>
        <v>553.35040200000003</v>
      </c>
      <c r="W29" s="28">
        <f>IF('[3]Calculo ISR '!$BS$34&gt;0,0,('[3]Calculo ISR '!$BS$34)*-1)</f>
        <v>0</v>
      </c>
      <c r="X29" s="25">
        <f t="shared" si="8"/>
        <v>3085.8245980000002</v>
      </c>
      <c r="Y29" s="25">
        <f t="shared" si="1"/>
        <v>221.72000000000003</v>
      </c>
      <c r="Z29" s="161"/>
      <c r="AA29" s="162"/>
    </row>
    <row r="30" spans="1:27" s="35" customFormat="1" ht="45" customHeight="1">
      <c r="A30" s="21" t="s">
        <v>68</v>
      </c>
      <c r="B30" s="33" t="s">
        <v>69</v>
      </c>
      <c r="C30" s="34">
        <v>10.5</v>
      </c>
      <c r="D30" s="34">
        <v>0</v>
      </c>
      <c r="E30" s="24">
        <v>305.5</v>
      </c>
      <c r="F30" s="24">
        <v>348.3</v>
      </c>
      <c r="G30" s="24">
        <f t="shared" si="2"/>
        <v>3207.75</v>
      </c>
      <c r="H30" s="24">
        <f t="shared" si="2"/>
        <v>0</v>
      </c>
      <c r="I30" s="25">
        <f t="shared" si="3"/>
        <v>3207.75</v>
      </c>
      <c r="J30" s="25">
        <f t="shared" si="4"/>
        <v>202.44</v>
      </c>
      <c r="K30" s="25">
        <f>(C30+D30)*I6</f>
        <v>114.97499999999999</v>
      </c>
      <c r="L30" s="25"/>
      <c r="M30" s="25"/>
      <c r="N30" s="25">
        <v>0</v>
      </c>
      <c r="O30" s="25">
        <f t="shared" si="5"/>
        <v>3525.165</v>
      </c>
      <c r="P30" s="27">
        <f>IF('[3]Calculo ISR '!$BT$34&lt;0,0,'[3]Calculo ISR '!$BT$34)</f>
        <v>132.32939199999996</v>
      </c>
      <c r="Q30" s="28">
        <f>I30*N6</f>
        <v>336.81374999999997</v>
      </c>
      <c r="R30" s="28"/>
      <c r="S30" s="28"/>
      <c r="T30" s="28"/>
      <c r="U30" s="28"/>
      <c r="V30" s="25">
        <f>P30+Q30+R30+S30+T30+U30</f>
        <v>469.1431419999999</v>
      </c>
      <c r="W30" s="28">
        <f>IF('[3]Calculo ISR '!$BT$34&gt;0,0,('[3]Calculo ISR '!$BT$34)*-1)</f>
        <v>0</v>
      </c>
      <c r="X30" s="25">
        <f>O30-V30+W30-Y30</f>
        <v>2853.581858</v>
      </c>
      <c r="Y30" s="25">
        <f t="shared" si="1"/>
        <v>202.44</v>
      </c>
      <c r="Z30" s="161"/>
      <c r="AA30" s="162"/>
    </row>
    <row r="31" spans="1:27" s="35" customFormat="1" ht="45" customHeight="1">
      <c r="A31" s="21" t="s">
        <v>70</v>
      </c>
      <c r="B31" s="33" t="s">
        <v>71</v>
      </c>
      <c r="C31" s="34">
        <v>7.5</v>
      </c>
      <c r="D31" s="34">
        <v>0</v>
      </c>
      <c r="E31" s="24">
        <v>305.5</v>
      </c>
      <c r="F31" s="24">
        <v>348.3</v>
      </c>
      <c r="G31" s="24">
        <f t="shared" si="2"/>
        <v>2291.25</v>
      </c>
      <c r="H31" s="24">
        <f t="shared" si="2"/>
        <v>0</v>
      </c>
      <c r="I31" s="25">
        <f t="shared" si="3"/>
        <v>2291.25</v>
      </c>
      <c r="J31" s="25">
        <f t="shared" si="4"/>
        <v>144.60000000000002</v>
      </c>
      <c r="K31" s="25">
        <f>(C31+D31)*I6</f>
        <v>82.125</v>
      </c>
      <c r="L31" s="25"/>
      <c r="M31" s="25"/>
      <c r="N31" s="25">
        <v>0</v>
      </c>
      <c r="O31" s="25">
        <f>SUM(I31:N31)</f>
        <v>2517.9749999999999</v>
      </c>
      <c r="P31" s="27">
        <f>IF('[3]Calculo ISR '!$BU$34&lt;0,0,'[3]Calculo ISR '!$BU$34)</f>
        <v>0</v>
      </c>
      <c r="Q31" s="28">
        <f>I31*N6</f>
        <v>240.58124999999998</v>
      </c>
      <c r="R31" s="28"/>
      <c r="S31" s="28"/>
      <c r="T31" s="28"/>
      <c r="U31" s="28"/>
      <c r="V31" s="25">
        <f t="shared" si="7"/>
        <v>240.58124999999998</v>
      </c>
      <c r="W31" s="28">
        <f>IF('[3]Calculo ISR '!$BU$34&gt;0,0,('[3]Calculo ISR '!$BU$34)*-1)</f>
        <v>6.2098880000000065</v>
      </c>
      <c r="X31" s="25">
        <f t="shared" si="8"/>
        <v>2139.0036379999997</v>
      </c>
      <c r="Y31" s="25">
        <f t="shared" si="1"/>
        <v>144.60000000000002</v>
      </c>
      <c r="Z31" s="161"/>
      <c r="AA31" s="162"/>
    </row>
    <row r="32" spans="1:27" s="35" customFormat="1" ht="45" customHeight="1">
      <c r="A32" s="21" t="s">
        <v>72</v>
      </c>
      <c r="B32" s="33" t="s">
        <v>73</v>
      </c>
      <c r="C32" s="34">
        <v>10</v>
      </c>
      <c r="D32" s="34">
        <v>0</v>
      </c>
      <c r="E32" s="24">
        <v>305.5</v>
      </c>
      <c r="F32" s="24">
        <v>348.3</v>
      </c>
      <c r="G32" s="24">
        <f t="shared" si="2"/>
        <v>3055</v>
      </c>
      <c r="H32" s="24">
        <f t="shared" si="2"/>
        <v>0</v>
      </c>
      <c r="I32" s="25">
        <f t="shared" si="3"/>
        <v>3055</v>
      </c>
      <c r="J32" s="25">
        <f t="shared" si="4"/>
        <v>192.8</v>
      </c>
      <c r="K32" s="25">
        <f>(C32+D32)*I6</f>
        <v>109.5</v>
      </c>
      <c r="L32" s="25"/>
      <c r="M32" s="25"/>
      <c r="N32" s="25"/>
      <c r="O32" s="25">
        <f t="shared" si="5"/>
        <v>3357.3</v>
      </c>
      <c r="P32" s="27">
        <f>IF('[3]Calculo ISR '!$BV$34&lt;0,0,'[3]Calculo ISR '!$BV$34)</f>
        <v>115.11451199999996</v>
      </c>
      <c r="Q32" s="28">
        <f>I32*N6</f>
        <v>320.77499999999998</v>
      </c>
      <c r="R32" s="28"/>
      <c r="S32" s="28"/>
      <c r="T32" s="28"/>
      <c r="U32" s="28"/>
      <c r="V32" s="25">
        <f>P32+Q32+R32+S32+T32+U32</f>
        <v>435.88951199999997</v>
      </c>
      <c r="W32" s="28">
        <f>IF('[3]Calculo ISR '!$BV$34&gt;0,0,('[3]Calculo ISR '!$BV$34)*-1)</f>
        <v>0</v>
      </c>
      <c r="X32" s="25">
        <f t="shared" si="8"/>
        <v>2728.6104880000003</v>
      </c>
      <c r="Y32" s="25">
        <f t="shared" si="1"/>
        <v>192.8</v>
      </c>
      <c r="Z32" s="161"/>
      <c r="AA32" s="162"/>
    </row>
    <row r="33" spans="1:31" s="2" customFormat="1" ht="30" customHeight="1" thickBot="1">
      <c r="A33" s="37"/>
      <c r="B33" s="38" t="s">
        <v>74</v>
      </c>
      <c r="C33" s="39">
        <f t="shared" ref="C33:Y33" si="9">SUM(C10:C32)</f>
        <v>296.5</v>
      </c>
      <c r="D33" s="39">
        <f>SUM(D10:D32)</f>
        <v>37.5</v>
      </c>
      <c r="E33" s="40">
        <f t="shared" si="9"/>
        <v>7240.5</v>
      </c>
      <c r="F33" s="40">
        <f>SUM(F10:F32)</f>
        <v>8010.9000000000033</v>
      </c>
      <c r="G33" s="40">
        <f>SUM(G10:G32)</f>
        <v>92784.95</v>
      </c>
      <c r="H33" s="40">
        <f>SUM(H10:H32)</f>
        <v>13061.25</v>
      </c>
      <c r="I33" s="40">
        <f t="shared" si="9"/>
        <v>105846.2</v>
      </c>
      <c r="J33" s="40">
        <f t="shared" si="9"/>
        <v>6439.52</v>
      </c>
      <c r="K33" s="40">
        <f t="shared" si="9"/>
        <v>3657.3</v>
      </c>
      <c r="L33" s="40">
        <f t="shared" si="9"/>
        <v>1650.2000000000003</v>
      </c>
      <c r="M33" s="40">
        <f t="shared" si="9"/>
        <v>621.3610000000001</v>
      </c>
      <c r="N33" s="40">
        <f t="shared" si="9"/>
        <v>0</v>
      </c>
      <c r="O33" s="40">
        <f t="shared" si="9"/>
        <v>118214.58100000002</v>
      </c>
      <c r="P33" s="40">
        <f t="shared" si="9"/>
        <v>11696.5378416</v>
      </c>
      <c r="Q33" s="40">
        <f t="shared" si="9"/>
        <v>11113.850999999997</v>
      </c>
      <c r="R33" s="40">
        <f t="shared" si="9"/>
        <v>10562.4</v>
      </c>
      <c r="S33" s="40">
        <f t="shared" si="9"/>
        <v>829.33699999999999</v>
      </c>
      <c r="T33" s="40">
        <f t="shared" si="9"/>
        <v>0</v>
      </c>
      <c r="U33" s="40">
        <f t="shared" si="9"/>
        <v>611</v>
      </c>
      <c r="V33" s="40">
        <f t="shared" si="9"/>
        <v>34813.125841600013</v>
      </c>
      <c r="W33" s="40">
        <f t="shared" si="9"/>
        <v>239.93796799999996</v>
      </c>
      <c r="X33" s="40">
        <f t="shared" si="9"/>
        <v>77201.873126400009</v>
      </c>
      <c r="Y33" s="40">
        <f t="shared" si="9"/>
        <v>6439.52</v>
      </c>
      <c r="Z33" s="41"/>
      <c r="AA33" s="3"/>
      <c r="AC33" s="42"/>
    </row>
    <row r="34" spans="1:31" s="2" customFormat="1" ht="6.75" customHeight="1">
      <c r="A34" s="43"/>
      <c r="B34" s="44"/>
      <c r="C34" s="45"/>
      <c r="D34" s="45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1"/>
      <c r="AA34" s="3"/>
      <c r="AB34" s="42"/>
    </row>
    <row r="35" spans="1:31" s="2" customFormat="1" ht="6.75" customHeight="1">
      <c r="A35" s="43"/>
      <c r="B35" s="44"/>
      <c r="C35" s="45"/>
      <c r="D35" s="45"/>
      <c r="E35" s="46"/>
      <c r="F35" s="46"/>
      <c r="G35" s="46"/>
      <c r="H35" s="46"/>
      <c r="I35" s="62">
        <f>I33+'[3]HT-ADMINISTRATIVOS FIRMA '!E46</f>
        <v>307703.72437726823</v>
      </c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1"/>
      <c r="AA35" s="3"/>
      <c r="AB35" s="42"/>
    </row>
    <row r="36" spans="1:31" s="2" customFormat="1" ht="15" customHeight="1">
      <c r="A36" s="1"/>
      <c r="B36" s="47" t="s">
        <v>75</v>
      </c>
      <c r="C36" s="1"/>
      <c r="D36" s="1"/>
      <c r="E36" s="1"/>
      <c r="F36" s="1"/>
      <c r="G36" s="1"/>
      <c r="H36" s="66" t="s">
        <v>76</v>
      </c>
      <c r="L36" s="66"/>
      <c r="M36" s="66"/>
      <c r="N36" s="66"/>
      <c r="O36" s="66"/>
      <c r="P36" s="49"/>
      <c r="Q36" s="50"/>
      <c r="R36" s="1"/>
      <c r="S36" s="1"/>
      <c r="T36" s="1"/>
      <c r="U36" s="1"/>
      <c r="V36" s="1" t="s">
        <v>77</v>
      </c>
      <c r="W36" s="1"/>
      <c r="X36" s="1"/>
      <c r="Y36" s="1"/>
      <c r="Z36" s="1"/>
      <c r="AB36" s="42"/>
      <c r="AE36" s="1"/>
    </row>
    <row r="37" spans="1:31" s="2" customFormat="1" hidden="1">
      <c r="A37" s="1"/>
      <c r="B37" s="1"/>
      <c r="C37" s="1"/>
      <c r="D37" s="1"/>
      <c r="E37" s="1"/>
      <c r="F37" s="1"/>
      <c r="G37" s="1"/>
      <c r="H37" s="1"/>
      <c r="K37" s="1"/>
      <c r="L37" s="1"/>
      <c r="M37" s="1"/>
      <c r="N37" s="1"/>
      <c r="O37" s="51"/>
      <c r="P37" s="51"/>
      <c r="Q37" s="51"/>
      <c r="R37" s="1"/>
      <c r="S37" s="1"/>
      <c r="T37" s="1"/>
      <c r="U37" s="1"/>
      <c r="V37" s="1"/>
      <c r="W37" s="1"/>
      <c r="X37" s="1"/>
      <c r="Y37" s="1"/>
      <c r="Z37" s="1"/>
      <c r="AB37" s="42"/>
      <c r="AE37" s="1"/>
    </row>
    <row r="38" spans="1:31" s="2" customFormat="1" hidden="1">
      <c r="A38" s="1"/>
      <c r="B38" s="1"/>
      <c r="C38" s="1"/>
      <c r="D38" s="1"/>
      <c r="E38" s="1"/>
      <c r="F38" s="1"/>
      <c r="G38" s="1"/>
      <c r="H38" s="1"/>
      <c r="K38" s="1"/>
      <c r="L38" s="1"/>
      <c r="M38" s="1"/>
      <c r="N38" s="1"/>
      <c r="O38" s="51"/>
      <c r="P38" s="51"/>
      <c r="Q38" s="51"/>
      <c r="R38" s="1"/>
      <c r="S38" s="1"/>
      <c r="T38" s="1"/>
      <c r="U38" s="1"/>
      <c r="V38" s="1"/>
      <c r="W38" s="1"/>
      <c r="X38" s="1"/>
      <c r="Y38" s="1"/>
      <c r="Z38" s="1"/>
      <c r="AB38" s="42"/>
      <c r="AE38" s="1"/>
    </row>
    <row r="39" spans="1:31" s="2" customFormat="1" hidden="1">
      <c r="A39" s="1"/>
      <c r="B39" s="1"/>
      <c r="C39" s="1"/>
      <c r="D39" s="1"/>
      <c r="E39" s="1"/>
      <c r="F39" s="1"/>
      <c r="G39" s="1"/>
      <c r="H39" s="1"/>
      <c r="K39" s="1"/>
      <c r="L39" s="1"/>
      <c r="M39" s="1"/>
      <c r="N39" s="1"/>
      <c r="O39" s="52"/>
      <c r="P39" s="52"/>
      <c r="Q39" s="52"/>
      <c r="R39" s="1"/>
      <c r="S39" s="3"/>
      <c r="T39" s="1"/>
      <c r="U39" s="1"/>
      <c r="V39" s="1"/>
      <c r="W39" s="1"/>
      <c r="X39" s="1"/>
      <c r="Y39" s="1"/>
      <c r="Z39" s="1"/>
      <c r="AE39" s="1"/>
    </row>
    <row r="40" spans="1:31" s="2" customFormat="1">
      <c r="A40" s="1"/>
      <c r="B40" s="47" t="s">
        <v>78</v>
      </c>
      <c r="C40" s="1"/>
      <c r="D40" s="1"/>
      <c r="E40" s="1"/>
      <c r="F40" s="1"/>
      <c r="G40" s="53" t="s">
        <v>79</v>
      </c>
      <c r="H40" s="1"/>
      <c r="I40" s="42"/>
      <c r="L40" s="53"/>
      <c r="M40" s="53"/>
      <c r="N40" s="53"/>
      <c r="O40" s="53"/>
      <c r="P40" s="52"/>
      <c r="Q40" s="49"/>
      <c r="R40" s="1"/>
      <c r="S40" s="1"/>
      <c r="T40" s="1"/>
      <c r="U40" s="1"/>
      <c r="V40" s="53" t="s">
        <v>80</v>
      </c>
      <c r="W40" s="53"/>
      <c r="X40" s="53"/>
      <c r="Y40" s="53"/>
      <c r="Z40" s="1"/>
      <c r="AE40" s="1"/>
    </row>
    <row r="41" spans="1:31" ht="12.75" customHeight="1">
      <c r="B41" s="54" t="s">
        <v>81</v>
      </c>
      <c r="G41" s="53" t="s">
        <v>82</v>
      </c>
      <c r="L41" s="53"/>
      <c r="M41" s="53"/>
      <c r="N41" s="53"/>
      <c r="O41" s="53"/>
      <c r="P41" s="53"/>
      <c r="Q41" s="52"/>
      <c r="V41" s="181" t="s">
        <v>83</v>
      </c>
      <c r="W41" s="181"/>
      <c r="X41" s="181"/>
      <c r="Y41" s="55"/>
      <c r="AA41" s="3"/>
    </row>
    <row r="42" spans="1:31">
      <c r="AA42" s="3"/>
    </row>
    <row r="43" spans="1:31">
      <c r="R43" s="3"/>
      <c r="AA43" s="3"/>
    </row>
    <row r="44" spans="1:31">
      <c r="AA44" s="3"/>
    </row>
    <row r="45" spans="1:31">
      <c r="AA45" s="3"/>
    </row>
    <row r="46" spans="1:31">
      <c r="O46" s="6"/>
      <c r="AA46" s="3"/>
    </row>
    <row r="47" spans="1:31">
      <c r="AA47" s="3"/>
    </row>
    <row r="48" spans="1:31">
      <c r="AA48" s="3"/>
    </row>
    <row r="49" spans="1:26" s="56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56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s="57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s="57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57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57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s="57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s="57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6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s="57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s="57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s="57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s="57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2" spans="1:26">
      <c r="S62" s="3"/>
    </row>
  </sheetData>
  <mergeCells count="31">
    <mergeCell ref="Z14:AA14"/>
    <mergeCell ref="A8:A9"/>
    <mergeCell ref="B8:B9"/>
    <mergeCell ref="C8:I8"/>
    <mergeCell ref="J8:O8"/>
    <mergeCell ref="P8:V8"/>
    <mergeCell ref="W8:Y8"/>
    <mergeCell ref="Z9:AA9"/>
    <mergeCell ref="Z10:AA10"/>
    <mergeCell ref="Z11:AA11"/>
    <mergeCell ref="Z12:AA12"/>
    <mergeCell ref="Z13:AA13"/>
    <mergeCell ref="Z26:AA26"/>
    <mergeCell ref="Z15:AA15"/>
    <mergeCell ref="Z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V41:X41"/>
    <mergeCell ref="Z27:AA27"/>
    <mergeCell ref="Z28:AA28"/>
    <mergeCell ref="Z29:AA29"/>
    <mergeCell ref="Z30:AA30"/>
    <mergeCell ref="Z31:AA31"/>
    <mergeCell ref="Z32:AA32"/>
  </mergeCells>
  <pageMargins left="0.8" right="0.15748031496062992" top="0.47244094488188981" bottom="0.51181102362204722" header="0.31496062992125984" footer="0.31496062992125984"/>
  <pageSetup paperSize="5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E64"/>
  <sheetViews>
    <sheetView topLeftCell="A3" zoomScale="90" zoomScaleNormal="90" zoomScaleSheetLayoutView="100" workbookViewId="0">
      <pane xSplit="2" ySplit="7" topLeftCell="C34" activePane="bottomRight" state="frozen"/>
      <selection activeCell="A3" sqref="A3"/>
      <selection pane="topRight" activeCell="C3" sqref="C3"/>
      <selection pane="bottomLeft" activeCell="A10" sqref="A10"/>
      <selection pane="bottomRight" activeCell="I52" sqref="I52"/>
    </sheetView>
  </sheetViews>
  <sheetFormatPr baseColWidth="10" defaultRowHeight="12.75"/>
  <cols>
    <col min="1" max="1" width="12.7109375" style="1" customWidth="1"/>
    <col min="2" max="2" width="31.5703125" style="1" customWidth="1"/>
    <col min="3" max="4" width="7.140625" style="1" customWidth="1"/>
    <col min="5" max="6" width="10.42578125" style="1" customWidth="1"/>
    <col min="7" max="7" width="11.7109375" style="1" customWidth="1"/>
    <col min="8" max="8" width="10.7109375" style="1" customWidth="1"/>
    <col min="9" max="9" width="13" style="1" customWidth="1"/>
    <col min="10" max="10" width="10.5703125" style="1" customWidth="1"/>
    <col min="11" max="11" width="9.85546875" style="1" customWidth="1"/>
    <col min="12" max="12" width="10.140625" style="1" customWidth="1"/>
    <col min="13" max="13" width="8.42578125" style="1" customWidth="1"/>
    <col min="14" max="14" width="5" style="1" customWidth="1"/>
    <col min="15" max="15" width="12.42578125" style="1" customWidth="1"/>
    <col min="16" max="16" width="11" style="1" hidden="1" customWidth="1"/>
    <col min="17" max="17" width="10.85546875" style="1" hidden="1" customWidth="1"/>
    <col min="18" max="18" width="11.140625" style="1" hidden="1" customWidth="1"/>
    <col min="19" max="19" width="8.5703125" style="1" hidden="1" customWidth="1"/>
    <col min="20" max="20" width="6.7109375" style="1" hidden="1" customWidth="1"/>
    <col min="21" max="21" width="8.7109375" style="1" hidden="1" customWidth="1"/>
    <col min="22" max="22" width="11.7109375" style="1" customWidth="1"/>
    <col min="23" max="23" width="8.28515625" style="1" customWidth="1"/>
    <col min="24" max="24" width="16.140625" style="1" customWidth="1"/>
    <col min="25" max="25" width="10.5703125" style="1" hidden="1" customWidth="1"/>
    <col min="26" max="26" width="31" style="1" hidden="1" customWidth="1"/>
    <col min="27" max="27" width="12.28515625" style="1" hidden="1" customWidth="1"/>
    <col min="28" max="16384" width="11.42578125" style="1"/>
  </cols>
  <sheetData>
    <row r="2" spans="1:27">
      <c r="B2" s="2" t="s">
        <v>0</v>
      </c>
    </row>
    <row r="3" spans="1:27">
      <c r="B3" s="2"/>
    </row>
    <row r="4" spans="1:27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7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2"/>
      <c r="P5" s="2"/>
      <c r="Q5" s="2"/>
      <c r="R5" s="2"/>
      <c r="S5" s="2"/>
      <c r="T5" s="2"/>
      <c r="U5" s="2"/>
      <c r="V5" s="2"/>
      <c r="W5" s="2"/>
    </row>
    <row r="6" spans="1:27">
      <c r="B6" s="2"/>
      <c r="C6" s="2"/>
      <c r="D6" s="2"/>
      <c r="E6" s="4">
        <v>19.28</v>
      </c>
      <c r="F6" s="4"/>
      <c r="G6" s="4"/>
      <c r="H6" s="4"/>
      <c r="I6" s="4">
        <v>10.95</v>
      </c>
      <c r="J6" s="4"/>
      <c r="K6" s="65"/>
      <c r="L6" s="65"/>
      <c r="M6" s="65"/>
      <c r="N6" s="58">
        <v>0.105</v>
      </c>
      <c r="O6" s="65"/>
      <c r="P6" s="65"/>
      <c r="Q6" s="65"/>
      <c r="R6" s="65"/>
      <c r="S6" s="65"/>
      <c r="T6" s="5">
        <v>0.01</v>
      </c>
      <c r="U6" s="65"/>
      <c r="V6" s="65"/>
      <c r="W6" s="65"/>
    </row>
    <row r="7" spans="1:27" ht="13.5" thickBot="1">
      <c r="A7" s="6" t="s">
        <v>0</v>
      </c>
      <c r="C7" s="2"/>
      <c r="D7" s="2"/>
      <c r="E7" s="4">
        <v>22.3</v>
      </c>
      <c r="F7" s="4"/>
      <c r="G7" s="4"/>
      <c r="H7" s="4"/>
      <c r="I7" s="7">
        <v>0.02</v>
      </c>
      <c r="J7" s="8">
        <v>0.04</v>
      </c>
      <c r="K7" s="6" t="s">
        <v>93</v>
      </c>
      <c r="L7" s="2"/>
      <c r="M7" s="2"/>
      <c r="N7" s="2"/>
      <c r="P7" s="2"/>
      <c r="Q7" s="2"/>
      <c r="R7" s="2"/>
      <c r="S7" s="2"/>
      <c r="T7" s="2"/>
      <c r="U7" s="2"/>
      <c r="V7" s="2"/>
      <c r="W7" s="2"/>
    </row>
    <row r="8" spans="1:27" ht="15.75" customHeight="1" thickBot="1">
      <c r="A8" s="164" t="s">
        <v>2</v>
      </c>
      <c r="B8" s="166" t="s">
        <v>3</v>
      </c>
      <c r="C8" s="168" t="s">
        <v>4</v>
      </c>
      <c r="D8" s="169"/>
      <c r="E8" s="169"/>
      <c r="F8" s="169"/>
      <c r="G8" s="169"/>
      <c r="H8" s="169"/>
      <c r="I8" s="170"/>
      <c r="J8" s="171" t="s">
        <v>5</v>
      </c>
      <c r="K8" s="172"/>
      <c r="L8" s="172"/>
      <c r="M8" s="173"/>
      <c r="N8" s="173"/>
      <c r="O8" s="174"/>
      <c r="P8" s="175" t="s">
        <v>6</v>
      </c>
      <c r="Q8" s="176"/>
      <c r="R8" s="176"/>
      <c r="S8" s="176"/>
      <c r="T8" s="176"/>
      <c r="U8" s="176"/>
      <c r="V8" s="176"/>
      <c r="W8" s="177" t="s">
        <v>7</v>
      </c>
      <c r="X8" s="177"/>
      <c r="Y8" s="177"/>
    </row>
    <row r="9" spans="1:27" s="20" customFormat="1" ht="72">
      <c r="A9" s="165"/>
      <c r="B9" s="167"/>
      <c r="C9" s="9" t="s">
        <v>87</v>
      </c>
      <c r="D9" s="9" t="s">
        <v>88</v>
      </c>
      <c r="E9" s="9" t="s">
        <v>89</v>
      </c>
      <c r="F9" s="9" t="s">
        <v>90</v>
      </c>
      <c r="G9" s="9" t="s">
        <v>91</v>
      </c>
      <c r="H9" s="9" t="s">
        <v>92</v>
      </c>
      <c r="I9" s="67" t="s">
        <v>10</v>
      </c>
      <c r="J9" s="11" t="s">
        <v>11</v>
      </c>
      <c r="K9" s="11" t="s">
        <v>12</v>
      </c>
      <c r="L9" s="12" t="s">
        <v>13</v>
      </c>
      <c r="M9" s="13" t="s">
        <v>14</v>
      </c>
      <c r="N9" s="14" t="s">
        <v>15</v>
      </c>
      <c r="O9" s="14" t="s">
        <v>16</v>
      </c>
      <c r="P9" s="15" t="s">
        <v>17</v>
      </c>
      <c r="Q9" s="16" t="s">
        <v>18</v>
      </c>
      <c r="R9" s="16" t="s">
        <v>19</v>
      </c>
      <c r="S9" s="16" t="s">
        <v>20</v>
      </c>
      <c r="T9" s="16" t="s">
        <v>21</v>
      </c>
      <c r="U9" s="16" t="s">
        <v>22</v>
      </c>
      <c r="V9" s="16" t="s">
        <v>23</v>
      </c>
      <c r="W9" s="17" t="s">
        <v>24</v>
      </c>
      <c r="X9" s="18" t="s">
        <v>25</v>
      </c>
      <c r="Y9" s="19" t="s">
        <v>26</v>
      </c>
      <c r="Z9" s="178" t="s">
        <v>27</v>
      </c>
      <c r="AA9" s="178"/>
    </row>
    <row r="10" spans="1:27" s="69" customFormat="1" ht="45" customHeight="1">
      <c r="A10" s="21" t="s">
        <v>28</v>
      </c>
      <c r="B10" s="68" t="s">
        <v>29</v>
      </c>
      <c r="C10" s="32">
        <v>7.5</v>
      </c>
      <c r="D10" s="23">
        <v>0</v>
      </c>
      <c r="E10" s="24">
        <v>305.5</v>
      </c>
      <c r="F10" s="24">
        <v>348.3</v>
      </c>
      <c r="G10" s="24">
        <f>C10*E10</f>
        <v>2291.25</v>
      </c>
      <c r="H10" s="24">
        <f>D10*F10</f>
        <v>0</v>
      </c>
      <c r="I10" s="25">
        <f>G10+H10</f>
        <v>2291.25</v>
      </c>
      <c r="J10" s="25">
        <f>(C10+D10)*19.28</f>
        <v>144.60000000000002</v>
      </c>
      <c r="K10" s="25">
        <f>(C10+D10)*I6</f>
        <v>82.125</v>
      </c>
      <c r="L10" s="25"/>
      <c r="M10" s="25">
        <f>I10*J7</f>
        <v>91.65</v>
      </c>
      <c r="N10" s="26">
        <v>0</v>
      </c>
      <c r="O10" s="25">
        <f>SUM(I10:N10)</f>
        <v>2609.625</v>
      </c>
      <c r="P10" s="27">
        <f>IF('[4]Calculo ISR '!$AZ$34&lt;0,0,'[4]Calculo ISR '!$AZ$34)</f>
        <v>3.7616319999999916</v>
      </c>
      <c r="Q10" s="28">
        <f>I10*N6</f>
        <v>240.58124999999998</v>
      </c>
      <c r="R10" s="29">
        <v>450.66</v>
      </c>
      <c r="S10" s="28">
        <f>I10*T6</f>
        <v>22.912500000000001</v>
      </c>
      <c r="T10" s="28"/>
      <c r="U10" s="30">
        <f>[4]descuentos!D5</f>
        <v>840.125</v>
      </c>
      <c r="V10" s="25">
        <f t="shared" ref="V10:V24" si="0">P10+Q10+R10+S10+U10+T10</f>
        <v>1558.0403820000001</v>
      </c>
      <c r="W10" s="28">
        <f>IF('[4]Calculo ISR '!$AZ$34&gt;0,0,('[4]Calculo ISR '!$AZ$34)*-1)</f>
        <v>0</v>
      </c>
      <c r="X10" s="25">
        <f>O10-V10-Y10+W10</f>
        <v>906.98461799999984</v>
      </c>
      <c r="Y10" s="25">
        <f t="shared" ref="Y10:Y34" si="1">J10</f>
        <v>144.60000000000002</v>
      </c>
      <c r="Z10" s="183"/>
      <c r="AA10" s="163"/>
    </row>
    <row r="11" spans="1:27" s="35" customFormat="1" ht="45" customHeight="1">
      <c r="A11" s="21" t="s">
        <v>30</v>
      </c>
      <c r="B11" s="33" t="s">
        <v>31</v>
      </c>
      <c r="C11" s="32">
        <v>12</v>
      </c>
      <c r="D11" s="32">
        <v>7.5</v>
      </c>
      <c r="E11" s="24">
        <v>305.5</v>
      </c>
      <c r="F11" s="24">
        <v>348.3</v>
      </c>
      <c r="G11" s="24">
        <f t="shared" ref="G11:H34" si="2">C11*E11</f>
        <v>3666</v>
      </c>
      <c r="H11" s="24">
        <f t="shared" si="2"/>
        <v>2612.25</v>
      </c>
      <c r="I11" s="25">
        <f t="shared" ref="I11:I34" si="3">G11+H11</f>
        <v>6278.25</v>
      </c>
      <c r="J11" s="25">
        <f t="shared" ref="J11:J34" si="4">(C11+D11)*19.28</f>
        <v>375.96000000000004</v>
      </c>
      <c r="K11" s="25">
        <f>(C11+D11)*I6</f>
        <v>213.52499999999998</v>
      </c>
      <c r="L11" s="25"/>
      <c r="M11" s="25">
        <f>I11*J7</f>
        <v>251.13</v>
      </c>
      <c r="N11" s="25">
        <f>'[4]HT-DOCENTE'!J10</f>
        <v>0</v>
      </c>
      <c r="O11" s="25">
        <f>SUM(I11:N11)</f>
        <v>7118.8649999999998</v>
      </c>
      <c r="P11" s="27">
        <f>IF('[4]Calculo ISR '!$BA$34&lt;0,0,'[4]Calculo ISR '!$BA$34)</f>
        <v>893.0953320000001</v>
      </c>
      <c r="Q11" s="28">
        <f>I11*N6</f>
        <v>659.21624999999995</v>
      </c>
      <c r="R11" s="28">
        <v>1986</v>
      </c>
      <c r="S11" s="28">
        <f>I11*T6</f>
        <v>62.782499999999999</v>
      </c>
      <c r="T11" s="28">
        <f>'[4]HT-DOCENTE'!R10</f>
        <v>0</v>
      </c>
      <c r="U11" s="28"/>
      <c r="V11" s="25">
        <f t="shared" si="0"/>
        <v>3601.0940820000001</v>
      </c>
      <c r="W11" s="28">
        <f>IF('[4]Calculo ISR '!$BA$34&gt;0,0,('[4]Calculo ISR '!$BA$34)*-1)</f>
        <v>0</v>
      </c>
      <c r="X11" s="25">
        <f>O11-V11-Y11+W11</f>
        <v>3141.8109179999997</v>
      </c>
      <c r="Y11" s="25">
        <f t="shared" si="1"/>
        <v>375.96000000000004</v>
      </c>
      <c r="Z11" s="161"/>
      <c r="AA11" s="162"/>
    </row>
    <row r="12" spans="1:27" s="35" customFormat="1" ht="45" customHeight="1">
      <c r="A12" s="21" t="s">
        <v>32</v>
      </c>
      <c r="B12" s="33" t="s">
        <v>33</v>
      </c>
      <c r="C12" s="32">
        <v>10</v>
      </c>
      <c r="D12" s="32">
        <v>0</v>
      </c>
      <c r="E12" s="24">
        <v>305.5</v>
      </c>
      <c r="F12" s="24">
        <v>348.3</v>
      </c>
      <c r="G12" s="24">
        <f t="shared" si="2"/>
        <v>3055</v>
      </c>
      <c r="H12" s="24">
        <f t="shared" si="2"/>
        <v>0</v>
      </c>
      <c r="I12" s="25">
        <f t="shared" si="3"/>
        <v>3055</v>
      </c>
      <c r="J12" s="25">
        <f t="shared" si="4"/>
        <v>192.8</v>
      </c>
      <c r="K12" s="25">
        <f>(C12+D12)*I6</f>
        <v>109.5</v>
      </c>
      <c r="L12" s="25"/>
      <c r="M12" s="25">
        <f>I12*J7</f>
        <v>122.2</v>
      </c>
      <c r="N12" s="25">
        <v>0</v>
      </c>
      <c r="O12" s="25">
        <f t="shared" ref="O12:O34" si="5">SUM(I12:N12)</f>
        <v>3479.5</v>
      </c>
      <c r="P12" s="27">
        <f>IF('[4]Calculo ISR '!$BB$34&lt;0,0,'[4]Calculo ISR '!$BB$34)</f>
        <v>128.40987199999998</v>
      </c>
      <c r="Q12" s="28">
        <f>I12*N6</f>
        <v>320.77499999999998</v>
      </c>
      <c r="R12" s="28">
        <v>873</v>
      </c>
      <c r="S12" s="28">
        <f>I12*T6</f>
        <v>30.55</v>
      </c>
      <c r="T12" s="28">
        <f>'[4]HT-DOCENTE'!R11</f>
        <v>0</v>
      </c>
      <c r="U12" s="28"/>
      <c r="V12" s="25">
        <f t="shared" si="0"/>
        <v>1352.7348719999998</v>
      </c>
      <c r="W12" s="28">
        <f>IF('[4]Calculo ISR '!$BB$34&gt;0,0,('[4]Calculo ISR '!$BB$34)*-1)</f>
        <v>0</v>
      </c>
      <c r="X12" s="25">
        <f>O12-V12-Y12+W12</f>
        <v>1933.965128</v>
      </c>
      <c r="Y12" s="25">
        <f t="shared" si="1"/>
        <v>192.8</v>
      </c>
      <c r="Z12" s="161"/>
      <c r="AA12" s="162"/>
    </row>
    <row r="13" spans="1:27" s="35" customFormat="1" ht="45" customHeight="1">
      <c r="A13" s="21" t="s">
        <v>34</v>
      </c>
      <c r="B13" s="33" t="s">
        <v>35</v>
      </c>
      <c r="C13" s="32">
        <v>12</v>
      </c>
      <c r="D13" s="32">
        <v>7.5</v>
      </c>
      <c r="E13" s="24">
        <v>305.5</v>
      </c>
      <c r="F13" s="24">
        <v>348.3</v>
      </c>
      <c r="G13" s="24">
        <f t="shared" si="2"/>
        <v>3666</v>
      </c>
      <c r="H13" s="24">
        <f t="shared" si="2"/>
        <v>2612.25</v>
      </c>
      <c r="I13" s="25">
        <f t="shared" si="3"/>
        <v>6278.25</v>
      </c>
      <c r="J13" s="25">
        <f t="shared" si="4"/>
        <v>375.96000000000004</v>
      </c>
      <c r="K13" s="25">
        <f>(C13+D13)*I6</f>
        <v>213.52499999999998</v>
      </c>
      <c r="L13" s="25"/>
      <c r="M13" s="25">
        <f>I13*I7</f>
        <v>125.565</v>
      </c>
      <c r="N13" s="25">
        <f>'[4]HT-DOCENTE'!J12</f>
        <v>0</v>
      </c>
      <c r="O13" s="25">
        <f t="shared" si="5"/>
        <v>6993.2999999999993</v>
      </c>
      <c r="P13" s="27">
        <f>IF('[4]Calculo ISR '!$BC$34&lt;0,0,'[4]Calculo ISR '!$BC$34)</f>
        <v>866.27464799999996</v>
      </c>
      <c r="Q13" s="28">
        <f>I13*N6</f>
        <v>659.21624999999995</v>
      </c>
      <c r="R13" s="28">
        <f>'[4]HT-DOCENTE'!P12</f>
        <v>0</v>
      </c>
      <c r="S13" s="28">
        <f>I13*T6</f>
        <v>62.782499999999999</v>
      </c>
      <c r="T13" s="28">
        <f>'[4]HT-DOCENTE'!R12</f>
        <v>0</v>
      </c>
      <c r="U13" s="28"/>
      <c r="V13" s="25">
        <f t="shared" si="0"/>
        <v>1588.273398</v>
      </c>
      <c r="W13" s="28">
        <f>IF('[4]Calculo ISR '!$BC$34&gt;0,0,('[4]Calculo ISR '!$BC$34)*-1)</f>
        <v>0</v>
      </c>
      <c r="X13" s="25">
        <f t="shared" ref="X13:X24" si="6">O13-V13-Y13+W13</f>
        <v>5029.066601999999</v>
      </c>
      <c r="Y13" s="25">
        <f t="shared" si="1"/>
        <v>375.96000000000004</v>
      </c>
      <c r="Z13" s="161"/>
      <c r="AA13" s="162"/>
    </row>
    <row r="14" spans="1:27" s="35" customFormat="1" ht="45" customHeight="1">
      <c r="A14" s="21" t="s">
        <v>36</v>
      </c>
      <c r="B14" s="33" t="s">
        <v>37</v>
      </c>
      <c r="C14" s="32">
        <v>5.5</v>
      </c>
      <c r="D14" s="32">
        <v>7.5</v>
      </c>
      <c r="E14" s="24">
        <v>305.5</v>
      </c>
      <c r="F14" s="24">
        <v>348.3</v>
      </c>
      <c r="G14" s="24">
        <f t="shared" si="2"/>
        <v>1680.25</v>
      </c>
      <c r="H14" s="24">
        <f t="shared" si="2"/>
        <v>2612.25</v>
      </c>
      <c r="I14" s="25">
        <f t="shared" si="3"/>
        <v>4292.5</v>
      </c>
      <c r="J14" s="25">
        <f t="shared" si="4"/>
        <v>250.64000000000001</v>
      </c>
      <c r="K14" s="25">
        <f>(C14+D14)*I6</f>
        <v>142.35</v>
      </c>
      <c r="L14" s="25">
        <f>(C14+D14)*E7</f>
        <v>289.90000000000003</v>
      </c>
      <c r="M14" s="25"/>
      <c r="N14" s="25">
        <f>'[4]HT-DOCENTE'!J13</f>
        <v>0</v>
      </c>
      <c r="O14" s="25">
        <f>SUM(I14:N14)</f>
        <v>4975.3900000000003</v>
      </c>
      <c r="P14" s="27">
        <f>IF('[4]Calculo ISR '!$BD$34&lt;0,0,'[4]Calculo ISR '!$BD$34)</f>
        <v>474.18068800000009</v>
      </c>
      <c r="Q14" s="28">
        <f>I14*N6</f>
        <v>450.71249999999998</v>
      </c>
      <c r="R14" s="28">
        <v>1100</v>
      </c>
      <c r="S14" s="28">
        <f>I14*T6</f>
        <v>42.925000000000004</v>
      </c>
      <c r="T14" s="28">
        <f>'[4]HT-DOCENTE'!R13</f>
        <v>0</v>
      </c>
      <c r="U14" s="28"/>
      <c r="V14" s="25">
        <f t="shared" si="0"/>
        <v>2067.8181880000002</v>
      </c>
      <c r="W14" s="28">
        <f>IF('[4]Calculo ISR '!$BD$34&gt;0,0,('[4]Calculo ISR '!$BD$34)*-1)</f>
        <v>0</v>
      </c>
      <c r="X14" s="25">
        <f t="shared" si="6"/>
        <v>2656.9318120000003</v>
      </c>
      <c r="Y14" s="25">
        <f t="shared" si="1"/>
        <v>250.64000000000001</v>
      </c>
      <c r="Z14" s="161"/>
      <c r="AA14" s="162"/>
    </row>
    <row r="15" spans="1:27" s="35" customFormat="1" ht="45" customHeight="1">
      <c r="A15" s="21" t="s">
        <v>38</v>
      </c>
      <c r="B15" s="33" t="s">
        <v>39</v>
      </c>
      <c r="C15" s="32">
        <v>11</v>
      </c>
      <c r="D15" s="32">
        <v>7.5</v>
      </c>
      <c r="E15" s="24">
        <v>305.5</v>
      </c>
      <c r="F15" s="24">
        <v>348.3</v>
      </c>
      <c r="G15" s="24">
        <f t="shared" si="2"/>
        <v>3360.5</v>
      </c>
      <c r="H15" s="24">
        <f t="shared" si="2"/>
        <v>2612.25</v>
      </c>
      <c r="I15" s="25">
        <f t="shared" si="3"/>
        <v>5972.75</v>
      </c>
      <c r="J15" s="25">
        <f t="shared" si="4"/>
        <v>356.68</v>
      </c>
      <c r="K15" s="25">
        <f>(C15+D15)*I6</f>
        <v>202.57499999999999</v>
      </c>
      <c r="L15" s="25">
        <f>(C15+D15)*E7</f>
        <v>412.55</v>
      </c>
      <c r="M15" s="25"/>
      <c r="N15" s="25">
        <f>'[4]HT-DOCENTE'!J14</f>
        <v>0</v>
      </c>
      <c r="O15" s="25">
        <f t="shared" si="5"/>
        <v>6944.5550000000003</v>
      </c>
      <c r="P15" s="27">
        <f>IF('[4]Calculo ISR '!$BE$34&lt;0,0,'[4]Calculo ISR '!$BE$34)</f>
        <v>859.98092400000007</v>
      </c>
      <c r="Q15" s="28">
        <f>I15*N6</f>
        <v>627.13874999999996</v>
      </c>
      <c r="R15" s="28">
        <v>1655</v>
      </c>
      <c r="S15" s="28">
        <f>I15*T6</f>
        <v>59.727499999999999</v>
      </c>
      <c r="T15" s="28">
        <f>'[4]HT-DOCENTE'!R14</f>
        <v>0</v>
      </c>
      <c r="U15" s="28"/>
      <c r="V15" s="25">
        <f t="shared" si="0"/>
        <v>3201.847174</v>
      </c>
      <c r="W15" s="28">
        <f>IF('[4]Calculo ISR '!$BE$34&gt;0,0,('[4]Calculo ISR '!$BE$34)*-1)</f>
        <v>0</v>
      </c>
      <c r="X15" s="25">
        <f t="shared" si="6"/>
        <v>3386.0278260000005</v>
      </c>
      <c r="Y15" s="25">
        <f t="shared" si="1"/>
        <v>356.68</v>
      </c>
      <c r="Z15" s="161"/>
      <c r="AA15" s="162"/>
    </row>
    <row r="16" spans="1:27" s="35" customFormat="1" ht="45" customHeight="1">
      <c r="A16" s="21" t="s">
        <v>40</v>
      </c>
      <c r="B16" s="33" t="s">
        <v>41</v>
      </c>
      <c r="C16" s="32">
        <f>'[4]HT-DOCENTE'!C15</f>
        <v>19.5</v>
      </c>
      <c r="D16" s="32">
        <v>0</v>
      </c>
      <c r="E16" s="24">
        <v>305.5</v>
      </c>
      <c r="F16" s="24">
        <v>348.3</v>
      </c>
      <c r="G16" s="24">
        <f t="shared" si="2"/>
        <v>5957.25</v>
      </c>
      <c r="H16" s="24">
        <f t="shared" si="2"/>
        <v>0</v>
      </c>
      <c r="I16" s="25">
        <f t="shared" si="3"/>
        <v>5957.25</v>
      </c>
      <c r="J16" s="25">
        <f t="shared" si="4"/>
        <v>375.96000000000004</v>
      </c>
      <c r="K16" s="25">
        <f>(C16+D16)*I6</f>
        <v>213.52499999999998</v>
      </c>
      <c r="L16" s="25">
        <f>(C16+D16)*E7</f>
        <v>434.85</v>
      </c>
      <c r="M16" s="25"/>
      <c r="N16" s="25">
        <f>'[4]HT-DOCENTE'!J15</f>
        <v>0</v>
      </c>
      <c r="O16" s="25">
        <f t="shared" si="5"/>
        <v>6981.585</v>
      </c>
      <c r="P16" s="27">
        <f>IF('[4]Calculo ISR '!$BF$34&lt;0,0,'[4]Calculo ISR '!$BF$34)</f>
        <v>863.77232400000003</v>
      </c>
      <c r="Q16" s="28">
        <f>I16*N6</f>
        <v>625.51125000000002</v>
      </c>
      <c r="R16" s="28">
        <f>'[4]HT-DOCENTE'!P15</f>
        <v>0</v>
      </c>
      <c r="S16" s="28">
        <f>I16*T6</f>
        <v>59.572499999999998</v>
      </c>
      <c r="T16" s="28">
        <v>0</v>
      </c>
      <c r="U16" s="28"/>
      <c r="V16" s="25">
        <f t="shared" si="0"/>
        <v>1548.856074</v>
      </c>
      <c r="W16" s="28">
        <f>IF('[4]Calculo ISR '!$BF$34&gt;0,0,('[4]Calculo ISR '!$BF$34)*-1)</f>
        <v>0</v>
      </c>
      <c r="X16" s="25">
        <f t="shared" si="6"/>
        <v>5056.7689259999997</v>
      </c>
      <c r="Y16" s="25">
        <f t="shared" si="1"/>
        <v>375.96000000000004</v>
      </c>
      <c r="Z16" s="161"/>
      <c r="AA16" s="162"/>
    </row>
    <row r="17" spans="1:28" s="35" customFormat="1" ht="45" customHeight="1">
      <c r="A17" s="21" t="s">
        <v>42</v>
      </c>
      <c r="B17" s="33" t="s">
        <v>43</v>
      </c>
      <c r="C17" s="32">
        <v>2</v>
      </c>
      <c r="D17" s="32">
        <v>0</v>
      </c>
      <c r="E17" s="24">
        <v>305.5</v>
      </c>
      <c r="F17" s="24">
        <v>348.3</v>
      </c>
      <c r="G17" s="24">
        <f t="shared" si="2"/>
        <v>611</v>
      </c>
      <c r="H17" s="24">
        <f t="shared" si="2"/>
        <v>0</v>
      </c>
      <c r="I17" s="25">
        <f>G17+H17</f>
        <v>611</v>
      </c>
      <c r="J17" s="25">
        <f t="shared" si="4"/>
        <v>38.56</v>
      </c>
      <c r="K17" s="25">
        <f>(C17+D17)*I6</f>
        <v>21.9</v>
      </c>
      <c r="L17" s="25">
        <f>(C17+D17)*E7*2</f>
        <v>89.2</v>
      </c>
      <c r="M17" s="25"/>
      <c r="N17" s="25">
        <f>'[4]HT-DOCENTE'!J16</f>
        <v>0</v>
      </c>
      <c r="O17" s="25">
        <f>SUM(I17:N17)</f>
        <v>760.66</v>
      </c>
      <c r="P17" s="27">
        <f>IF('[4]Calculo ISR '!$BG$34&lt;0,0,'[4]Calculo ISR '!$BG$34)</f>
        <v>0</v>
      </c>
      <c r="Q17" s="28">
        <f>I17*N6</f>
        <v>64.155000000000001</v>
      </c>
      <c r="R17" s="28">
        <v>0</v>
      </c>
      <c r="S17" s="28">
        <f>I17*T6</f>
        <v>6.11</v>
      </c>
      <c r="T17" s="28">
        <f>'[4]HT-DOCENTE'!R16</f>
        <v>0</v>
      </c>
      <c r="U17" s="28"/>
      <c r="V17" s="25">
        <f t="shared" si="0"/>
        <v>70.265000000000001</v>
      </c>
      <c r="W17" s="28">
        <f>IF('[4]Calculo ISR '!$BG$34&gt;0,0,('[4]Calculo ISR '!$BG$34)*-1)</f>
        <v>165.65343999999999</v>
      </c>
      <c r="X17" s="25">
        <f t="shared" si="6"/>
        <v>817.48844000000008</v>
      </c>
      <c r="Y17" s="25">
        <f t="shared" si="1"/>
        <v>38.56</v>
      </c>
      <c r="Z17" s="161"/>
      <c r="AA17" s="162"/>
    </row>
    <row r="18" spans="1:28" s="35" customFormat="1" ht="45" customHeight="1">
      <c r="A18" s="21" t="s">
        <v>44</v>
      </c>
      <c r="B18" s="33" t="s">
        <v>45</v>
      </c>
      <c r="C18" s="34">
        <v>11</v>
      </c>
      <c r="D18" s="34">
        <v>7.5</v>
      </c>
      <c r="E18" s="24">
        <v>305.5</v>
      </c>
      <c r="F18" s="24">
        <v>348.3</v>
      </c>
      <c r="G18" s="24">
        <f t="shared" si="2"/>
        <v>3360.5</v>
      </c>
      <c r="H18" s="24">
        <f t="shared" si="2"/>
        <v>2612.25</v>
      </c>
      <c r="I18" s="25">
        <f t="shared" si="3"/>
        <v>5972.75</v>
      </c>
      <c r="J18" s="25">
        <f t="shared" si="4"/>
        <v>356.68</v>
      </c>
      <c r="K18" s="25">
        <f>(C18+D18)*I6</f>
        <v>202.57499999999999</v>
      </c>
      <c r="L18" s="25"/>
      <c r="M18" s="25"/>
      <c r="N18" s="25">
        <f>'[4]HT-DOCENTE'!J17</f>
        <v>0</v>
      </c>
      <c r="O18" s="25">
        <f t="shared" si="5"/>
        <v>6532.0050000000001</v>
      </c>
      <c r="P18" s="27">
        <f>IF('[4]Calculo ISR '!$BH$34&lt;0,0,'[4]Calculo ISR '!$BH$34)</f>
        <v>771.86024400000008</v>
      </c>
      <c r="Q18" s="28">
        <f>I18*N6</f>
        <v>627.13874999999996</v>
      </c>
      <c r="R18" s="28">
        <f>'[4]HT-DOCENTE'!P17</f>
        <v>0</v>
      </c>
      <c r="S18" s="28">
        <f>I18*T6</f>
        <v>59.727499999999999</v>
      </c>
      <c r="T18" s="28">
        <f>'[4]HT-DOCENTE'!R17</f>
        <v>0</v>
      </c>
      <c r="U18" s="28"/>
      <c r="V18" s="25">
        <f t="shared" si="0"/>
        <v>1458.726494</v>
      </c>
      <c r="W18" s="28">
        <f>IF('[4]Calculo ISR '!$BH$34&gt;0,0,('[4]Calculo ISR '!$BH$34)*-1)</f>
        <v>0</v>
      </c>
      <c r="X18" s="25">
        <f t="shared" si="6"/>
        <v>4716.5985060000003</v>
      </c>
      <c r="Y18" s="25">
        <f t="shared" si="1"/>
        <v>356.68</v>
      </c>
      <c r="Z18" s="161"/>
      <c r="AA18" s="162"/>
    </row>
    <row r="19" spans="1:28" s="35" customFormat="1" ht="45" customHeight="1">
      <c r="A19" s="21" t="s">
        <v>46</v>
      </c>
      <c r="B19" s="33" t="s">
        <v>47</v>
      </c>
      <c r="C19" s="34">
        <v>6.5</v>
      </c>
      <c r="D19" s="34">
        <v>0</v>
      </c>
      <c r="E19" s="24">
        <v>305.5</v>
      </c>
      <c r="F19" s="24">
        <v>348.3</v>
      </c>
      <c r="G19" s="24">
        <f t="shared" si="2"/>
        <v>1985.75</v>
      </c>
      <c r="H19" s="24">
        <f t="shared" si="2"/>
        <v>0</v>
      </c>
      <c r="I19" s="25">
        <f t="shared" si="3"/>
        <v>1985.75</v>
      </c>
      <c r="J19" s="25">
        <f t="shared" si="4"/>
        <v>125.32000000000001</v>
      </c>
      <c r="K19" s="25">
        <f>(C19+D19)*I6</f>
        <v>71.174999999999997</v>
      </c>
      <c r="L19" s="25"/>
      <c r="M19" s="25"/>
      <c r="N19" s="25">
        <v>0</v>
      </c>
      <c r="O19" s="25">
        <f t="shared" si="5"/>
        <v>2182.2450000000003</v>
      </c>
      <c r="P19" s="27">
        <f>IF('[4]Calculo ISR '!$BI$34&lt;0,0,'[4]Calculo ISR '!$BI$34)</f>
        <v>0</v>
      </c>
      <c r="Q19" s="28">
        <f>I19*N6</f>
        <v>208.50375</v>
      </c>
      <c r="R19" s="28">
        <v>1254.74</v>
      </c>
      <c r="S19" s="28">
        <f>I19*T6</f>
        <v>19.857500000000002</v>
      </c>
      <c r="T19" s="28">
        <f>'[4]HT-DOCENTE'!R18</f>
        <v>0</v>
      </c>
      <c r="U19" s="30"/>
      <c r="V19" s="25">
        <f>P19+Q19+R19+S19+U19+T19</f>
        <v>1483.1012500000002</v>
      </c>
      <c r="W19" s="28">
        <f>IF('[4]Calculo ISR '!$BI$34&gt;0,0,('[4]Calculo ISR '!$BI$34)*-1)</f>
        <v>68.07463999999996</v>
      </c>
      <c r="X19" s="25">
        <f t="shared" si="6"/>
        <v>641.89839000000006</v>
      </c>
      <c r="Y19" s="25">
        <f t="shared" si="1"/>
        <v>125.32000000000001</v>
      </c>
      <c r="Z19" s="163"/>
      <c r="AA19" s="163"/>
    </row>
    <row r="20" spans="1:28" s="35" customFormat="1" ht="45" customHeight="1">
      <c r="A20" s="21" t="s">
        <v>48</v>
      </c>
      <c r="B20" s="33" t="s">
        <v>49</v>
      </c>
      <c r="C20" s="34">
        <v>19.5</v>
      </c>
      <c r="D20" s="34">
        <v>0</v>
      </c>
      <c r="E20" s="24">
        <v>305.5</v>
      </c>
      <c r="F20" s="24">
        <v>348.3</v>
      </c>
      <c r="G20" s="24">
        <f t="shared" si="2"/>
        <v>5957.25</v>
      </c>
      <c r="H20" s="24">
        <f t="shared" si="2"/>
        <v>0</v>
      </c>
      <c r="I20" s="25">
        <f t="shared" si="3"/>
        <v>5957.25</v>
      </c>
      <c r="J20" s="25">
        <f t="shared" si="4"/>
        <v>375.96000000000004</v>
      </c>
      <c r="K20" s="25">
        <f>(C20+D20)*I6</f>
        <v>213.52499999999998</v>
      </c>
      <c r="L20" s="25"/>
      <c r="M20" s="25"/>
      <c r="N20" s="25">
        <v>0</v>
      </c>
      <c r="O20" s="25">
        <f t="shared" si="5"/>
        <v>6546.7349999999997</v>
      </c>
      <c r="P20" s="27">
        <f>IF('[4]Calculo ISR '!$BJ$34&lt;0,0,'[4]Calculo ISR '!$BJ$34)</f>
        <v>770.88836400000002</v>
      </c>
      <c r="Q20" s="28">
        <f>I20*N6</f>
        <v>625.51125000000002</v>
      </c>
      <c r="R20" s="28">
        <f>'[4]HT-DOCENTE'!P19</f>
        <v>0</v>
      </c>
      <c r="S20" s="28">
        <f>I20*T6</f>
        <v>59.572499999999998</v>
      </c>
      <c r="T20" s="28">
        <f>'[4]HT-DOCENTE'!R19</f>
        <v>0</v>
      </c>
      <c r="U20" s="28"/>
      <c r="V20" s="25">
        <f t="shared" si="0"/>
        <v>1455.9721139999999</v>
      </c>
      <c r="W20" s="28">
        <f>IF('[4]Calculo ISR '!$BJ$34&gt;0,0,('[4]Calculo ISR '!$BJ$34)*-1)</f>
        <v>0</v>
      </c>
      <c r="X20" s="25">
        <f t="shared" si="6"/>
        <v>4714.8028859999995</v>
      </c>
      <c r="Y20" s="25">
        <f t="shared" si="1"/>
        <v>375.96000000000004</v>
      </c>
      <c r="Z20" s="161"/>
      <c r="AA20" s="162"/>
    </row>
    <row r="21" spans="1:28" s="35" customFormat="1" ht="45" customHeight="1">
      <c r="A21" s="21" t="s">
        <v>50</v>
      </c>
      <c r="B21" s="33" t="s">
        <v>51</v>
      </c>
      <c r="C21" s="34">
        <v>18.5</v>
      </c>
      <c r="D21" s="34">
        <v>0</v>
      </c>
      <c r="E21" s="24">
        <v>305.5</v>
      </c>
      <c r="F21" s="24">
        <v>348.3</v>
      </c>
      <c r="G21" s="24">
        <f t="shared" si="2"/>
        <v>5651.75</v>
      </c>
      <c r="H21" s="24">
        <f t="shared" si="2"/>
        <v>0</v>
      </c>
      <c r="I21" s="25">
        <f t="shared" si="3"/>
        <v>5651.75</v>
      </c>
      <c r="J21" s="25">
        <f t="shared" si="4"/>
        <v>356.68</v>
      </c>
      <c r="K21" s="25">
        <f>(C21+D21)*I6</f>
        <v>202.57499999999999</v>
      </c>
      <c r="L21" s="25"/>
      <c r="M21" s="25"/>
      <c r="N21" s="25">
        <v>0</v>
      </c>
      <c r="O21" s="25">
        <f>SUM(I21:N21)</f>
        <v>6211.0050000000001</v>
      </c>
      <c r="P21" s="27">
        <f>IF('[4]Calculo ISR '!$BK$34&lt;0,0,'[4]Calculo ISR '!$BK$34)</f>
        <v>703.29464400000006</v>
      </c>
      <c r="Q21" s="28">
        <f>I21*N6</f>
        <v>593.43375000000003</v>
      </c>
      <c r="R21" s="28">
        <v>1279</v>
      </c>
      <c r="S21" s="28">
        <f>I21*T6</f>
        <v>56.517499999999998</v>
      </c>
      <c r="T21" s="28"/>
      <c r="U21" s="28"/>
      <c r="V21" s="25">
        <f t="shared" si="0"/>
        <v>2632.2458940000001</v>
      </c>
      <c r="W21" s="28">
        <f>IF('[4]Calculo ISR '!$BK$34&gt;0,0,('[4]Calculo ISR '!$BK$34)*-1)</f>
        <v>0</v>
      </c>
      <c r="X21" s="25">
        <f t="shared" si="6"/>
        <v>3222.0791060000001</v>
      </c>
      <c r="Y21" s="25">
        <f t="shared" si="1"/>
        <v>356.68</v>
      </c>
      <c r="Z21" s="161"/>
      <c r="AA21" s="162"/>
    </row>
    <row r="22" spans="1:28" s="35" customFormat="1" ht="45" customHeight="1">
      <c r="A22" s="21" t="s">
        <v>52</v>
      </c>
      <c r="B22" s="33" t="s">
        <v>53</v>
      </c>
      <c r="C22" s="34">
        <v>19.5</v>
      </c>
      <c r="D22" s="34">
        <v>0</v>
      </c>
      <c r="E22" s="24">
        <v>305.5</v>
      </c>
      <c r="F22" s="24">
        <v>348.3</v>
      </c>
      <c r="G22" s="24">
        <f t="shared" si="2"/>
        <v>5957.25</v>
      </c>
      <c r="H22" s="24">
        <f t="shared" si="2"/>
        <v>0</v>
      </c>
      <c r="I22" s="25">
        <f t="shared" si="3"/>
        <v>5957.25</v>
      </c>
      <c r="J22" s="25">
        <f t="shared" si="4"/>
        <v>375.96000000000004</v>
      </c>
      <c r="K22" s="25">
        <f>(C22+D22)*I6</f>
        <v>213.52499999999998</v>
      </c>
      <c r="L22" s="25"/>
      <c r="M22" s="25"/>
      <c r="N22" s="25">
        <v>0</v>
      </c>
      <c r="O22" s="25">
        <f t="shared" si="5"/>
        <v>6546.7349999999997</v>
      </c>
      <c r="P22" s="27">
        <f>IF('[4]Calculo ISR '!$BL$34&lt;0,0,'[4]Calculo ISR '!$BL$34)</f>
        <v>770.88836400000002</v>
      </c>
      <c r="Q22" s="28">
        <f>I22*N6</f>
        <v>625.51125000000002</v>
      </c>
      <c r="R22" s="28">
        <f>'[4]HT-DOCENTE'!P21</f>
        <v>0</v>
      </c>
      <c r="S22" s="28">
        <f>I22*T6</f>
        <v>59.572499999999998</v>
      </c>
      <c r="T22" s="28"/>
      <c r="U22" s="28"/>
      <c r="V22" s="25">
        <f t="shared" si="0"/>
        <v>1455.9721139999999</v>
      </c>
      <c r="W22" s="28">
        <f>IF('[4]Calculo ISR '!$BL$34&gt;0,0,('[4]Calculo ISR '!$BL$34)*-1)</f>
        <v>0</v>
      </c>
      <c r="X22" s="25">
        <f t="shared" si="6"/>
        <v>4714.8028859999995</v>
      </c>
      <c r="Y22" s="25">
        <f t="shared" si="1"/>
        <v>375.96000000000004</v>
      </c>
      <c r="Z22" s="161"/>
      <c r="AA22" s="162"/>
    </row>
    <row r="23" spans="1:28" s="35" customFormat="1" ht="45" customHeight="1">
      <c r="A23" s="21" t="s">
        <v>54</v>
      </c>
      <c r="B23" s="33" t="s">
        <v>55</v>
      </c>
      <c r="C23" s="34">
        <v>19.5</v>
      </c>
      <c r="D23" s="34">
        <v>0</v>
      </c>
      <c r="E23" s="24">
        <v>305.5</v>
      </c>
      <c r="F23" s="24">
        <v>348.3</v>
      </c>
      <c r="G23" s="24">
        <f t="shared" si="2"/>
        <v>5957.25</v>
      </c>
      <c r="H23" s="24">
        <f t="shared" si="2"/>
        <v>0</v>
      </c>
      <c r="I23" s="25">
        <f t="shared" si="3"/>
        <v>5957.25</v>
      </c>
      <c r="J23" s="25">
        <f t="shared" si="4"/>
        <v>375.96000000000004</v>
      </c>
      <c r="K23" s="25">
        <f>(C23+D23)*I6</f>
        <v>213.52499999999998</v>
      </c>
      <c r="L23" s="25"/>
      <c r="M23" s="25"/>
      <c r="N23" s="25">
        <v>0</v>
      </c>
      <c r="O23" s="25">
        <f t="shared" si="5"/>
        <v>6546.7349999999997</v>
      </c>
      <c r="P23" s="27">
        <f>IF('[4]Calculo ISR '!$BM$34&lt;0,0,'[4]Calculo ISR '!$BM$34)</f>
        <v>770.88836400000002</v>
      </c>
      <c r="Q23" s="28">
        <f>I23*N6</f>
        <v>625.51125000000002</v>
      </c>
      <c r="R23" s="28">
        <v>1324</v>
      </c>
      <c r="S23" s="28">
        <f>I23*T6</f>
        <v>59.572499999999998</v>
      </c>
      <c r="T23" s="28">
        <f>'[4]HT-DOCENTE'!R22</f>
        <v>0</v>
      </c>
      <c r="U23" s="28"/>
      <c r="V23" s="25">
        <f t="shared" si="0"/>
        <v>2779.9721140000001</v>
      </c>
      <c r="W23" s="28">
        <f>IF('[4]Calculo ISR '!$BM$34&gt;0,0,('[4]Calculo ISR '!$BM$34)*-1)</f>
        <v>0</v>
      </c>
      <c r="X23" s="25">
        <f t="shared" si="6"/>
        <v>3390.8028859999995</v>
      </c>
      <c r="Y23" s="25">
        <f t="shared" si="1"/>
        <v>375.96000000000004</v>
      </c>
      <c r="Z23" s="161"/>
      <c r="AA23" s="162"/>
    </row>
    <row r="24" spans="1:28" s="35" customFormat="1" ht="45" customHeight="1">
      <c r="A24" s="21" t="s">
        <v>56</v>
      </c>
      <c r="B24" s="33" t="s">
        <v>57</v>
      </c>
      <c r="C24" s="34">
        <v>19</v>
      </c>
      <c r="D24" s="34">
        <v>0</v>
      </c>
      <c r="E24" s="24">
        <v>305.5</v>
      </c>
      <c r="F24" s="24">
        <v>348.3</v>
      </c>
      <c r="G24" s="24">
        <f t="shared" si="2"/>
        <v>5804.5</v>
      </c>
      <c r="H24" s="24">
        <f t="shared" si="2"/>
        <v>0</v>
      </c>
      <c r="I24" s="25">
        <f t="shared" si="3"/>
        <v>5804.5</v>
      </c>
      <c r="J24" s="25">
        <f t="shared" si="4"/>
        <v>366.32000000000005</v>
      </c>
      <c r="K24" s="25">
        <f>(C24+D24)*I6</f>
        <v>208.04999999999998</v>
      </c>
      <c r="L24" s="25">
        <f>(C24+D24)*E7</f>
        <v>423.7</v>
      </c>
      <c r="M24" s="25"/>
      <c r="N24" s="25">
        <v>0</v>
      </c>
      <c r="O24" s="25">
        <f t="shared" si="5"/>
        <v>6802.57</v>
      </c>
      <c r="P24" s="27">
        <f>IF('[4]Calculo ISR '!$BN$34&lt;0,0,'[4]Calculo ISR '!$BN$34)</f>
        <v>827.59382400000004</v>
      </c>
      <c r="Q24" s="28">
        <f>I24*N6</f>
        <v>609.47249999999997</v>
      </c>
      <c r="R24" s="28">
        <f>'[4]HT-DOCENTE'!P23</f>
        <v>0</v>
      </c>
      <c r="S24" s="28">
        <f>I24*T6</f>
        <v>58.045000000000002</v>
      </c>
      <c r="T24" s="28">
        <f>'[4]HT-DOCENTE'!R23</f>
        <v>0</v>
      </c>
      <c r="U24" s="28"/>
      <c r="V24" s="25">
        <f t="shared" si="0"/>
        <v>1495.111324</v>
      </c>
      <c r="W24" s="28">
        <f>IF('[4]Calculo ISR '!$BN$34&gt;0,0,('[4]Calculo ISR '!$BN$34)*-1)</f>
        <v>0</v>
      </c>
      <c r="X24" s="25">
        <f t="shared" si="6"/>
        <v>4941.1386760000005</v>
      </c>
      <c r="Y24" s="25">
        <f t="shared" si="1"/>
        <v>366.32000000000005</v>
      </c>
      <c r="Z24" s="161"/>
      <c r="AA24" s="162"/>
    </row>
    <row r="25" spans="1:28" s="35" customFormat="1" ht="45" customHeight="1">
      <c r="A25" s="21" t="s">
        <v>58</v>
      </c>
      <c r="B25" s="33" t="s">
        <v>59</v>
      </c>
      <c r="C25" s="34">
        <v>11</v>
      </c>
      <c r="D25" s="34">
        <v>0</v>
      </c>
      <c r="E25" s="24">
        <v>305.5</v>
      </c>
      <c r="F25" s="24">
        <v>348.3</v>
      </c>
      <c r="G25" s="24">
        <f t="shared" si="2"/>
        <v>3360.5</v>
      </c>
      <c r="H25" s="24">
        <f t="shared" si="2"/>
        <v>0</v>
      </c>
      <c r="I25" s="25">
        <f t="shared" si="3"/>
        <v>3360.5</v>
      </c>
      <c r="J25" s="25">
        <f t="shared" si="4"/>
        <v>212.08</v>
      </c>
      <c r="K25" s="25">
        <f>(C25+D25)*I6</f>
        <v>120.44999999999999</v>
      </c>
      <c r="L25" s="25"/>
      <c r="M25" s="25"/>
      <c r="N25" s="25"/>
      <c r="O25" s="25">
        <f>SUM(I25:N25)</f>
        <v>3693.0299999999997</v>
      </c>
      <c r="P25" s="27">
        <f>IF('[4]Calculo ISR '!$BO$34&lt;0,0,'[4]Calculo ISR '!$BO$34)</f>
        <v>149.54427199999995</v>
      </c>
      <c r="Q25" s="28">
        <f>I25*N6</f>
        <v>352.85249999999996</v>
      </c>
      <c r="R25" s="28">
        <v>707</v>
      </c>
      <c r="S25" s="28">
        <f>I25*T6</f>
        <v>33.605000000000004</v>
      </c>
      <c r="T25" s="28"/>
      <c r="U25" s="28"/>
      <c r="V25" s="25">
        <f>P25+Q25+R25+S25+U25+T25</f>
        <v>1243.0017720000001</v>
      </c>
      <c r="W25" s="28">
        <f>IF('[4]Calculo ISR '!$BO$34&gt;0,0,('[4]Calculo ISR '!$BO$34)*-1)</f>
        <v>0</v>
      </c>
      <c r="X25" s="25">
        <f>O25-V25-Y25+W25</f>
        <v>2237.9482279999997</v>
      </c>
      <c r="Y25" s="25">
        <f t="shared" si="1"/>
        <v>212.08</v>
      </c>
      <c r="Z25" s="161"/>
      <c r="AA25" s="162"/>
    </row>
    <row r="26" spans="1:28" s="35" customFormat="1" ht="45" customHeight="1">
      <c r="A26" s="21" t="s">
        <v>60</v>
      </c>
      <c r="B26" s="33" t="s">
        <v>61</v>
      </c>
      <c r="C26" s="34">
        <v>18.5</v>
      </c>
      <c r="D26" s="34"/>
      <c r="E26" s="24">
        <v>305.5</v>
      </c>
      <c r="F26" s="24">
        <v>348.3</v>
      </c>
      <c r="G26" s="24">
        <f t="shared" si="2"/>
        <v>5651.75</v>
      </c>
      <c r="H26" s="24">
        <f t="shared" si="2"/>
        <v>0</v>
      </c>
      <c r="I26" s="25">
        <f t="shared" si="3"/>
        <v>5651.75</v>
      </c>
      <c r="J26" s="25">
        <f t="shared" si="4"/>
        <v>356.68</v>
      </c>
      <c r="K26" s="25">
        <f>(C26+D26)*I6</f>
        <v>202.57499999999999</v>
      </c>
      <c r="L26" s="25"/>
      <c r="M26" s="25"/>
      <c r="N26" s="25"/>
      <c r="O26" s="25">
        <f t="shared" si="5"/>
        <v>6211.0050000000001</v>
      </c>
      <c r="P26" s="27">
        <f>IF('[4]Calculo ISR '!$BP$34&lt;0,0,'[4]Calculo ISR '!$BP$34)</f>
        <v>703.29464400000006</v>
      </c>
      <c r="Q26" s="28">
        <f>I26*N6</f>
        <v>593.43375000000003</v>
      </c>
      <c r="R26" s="28"/>
      <c r="S26" s="28"/>
      <c r="T26" s="28"/>
      <c r="U26" s="28"/>
      <c r="V26" s="25">
        <f>P26+Q26+R26+S26+T26+U26</f>
        <v>1296.7283940000002</v>
      </c>
      <c r="W26" s="28">
        <f>IF('[4]Calculo ISR '!$BP$34&gt;0,0,('[4]Calculo ISR '!$BP$34)*-1)</f>
        <v>0</v>
      </c>
      <c r="X26" s="25">
        <f>O26-V26-Y26+W26</f>
        <v>4557.5966059999992</v>
      </c>
      <c r="Y26" s="25">
        <f t="shared" si="1"/>
        <v>356.68</v>
      </c>
      <c r="Z26" s="161"/>
      <c r="AA26" s="162"/>
    </row>
    <row r="27" spans="1:28" s="35" customFormat="1" ht="45" customHeight="1">
      <c r="A27" s="21" t="s">
        <v>62</v>
      </c>
      <c r="B27" s="33" t="s">
        <v>63</v>
      </c>
      <c r="C27" s="34">
        <v>17.5</v>
      </c>
      <c r="D27" s="34">
        <v>0</v>
      </c>
      <c r="E27" s="24">
        <v>305.5</v>
      </c>
      <c r="F27" s="24">
        <v>348.3</v>
      </c>
      <c r="G27" s="24">
        <f t="shared" si="2"/>
        <v>5346.25</v>
      </c>
      <c r="H27" s="24">
        <f t="shared" si="2"/>
        <v>0</v>
      </c>
      <c r="I27" s="25">
        <f t="shared" si="3"/>
        <v>5346.25</v>
      </c>
      <c r="J27" s="25">
        <f t="shared" si="4"/>
        <v>337.40000000000003</v>
      </c>
      <c r="K27" s="25">
        <f>(C27+D27)*I6</f>
        <v>191.625</v>
      </c>
      <c r="L27" s="25"/>
      <c r="M27" s="25"/>
      <c r="N27" s="25">
        <v>0</v>
      </c>
      <c r="O27" s="25">
        <f t="shared" si="5"/>
        <v>5875.2749999999996</v>
      </c>
      <c r="P27" s="27">
        <f>IF('[4]Calculo ISR '!$BQ$34&lt;0,0,'[4]Calculo ISR '!$BQ$34)</f>
        <v>635.7009240000001</v>
      </c>
      <c r="Q27" s="28">
        <f>I27*N6</f>
        <v>561.35624999999993</v>
      </c>
      <c r="R27" s="28"/>
      <c r="S27" s="28">
        <f>I27*T6</f>
        <v>53.462499999999999</v>
      </c>
      <c r="T27" s="28"/>
      <c r="U27" s="28"/>
      <c r="V27" s="25">
        <f>P27+Q27+R27+S27+T27+U27</f>
        <v>1250.5196740000001</v>
      </c>
      <c r="W27" s="28">
        <f>IF('[4]Calculo ISR '!$BQ$34&gt;0,0,('[4]Calculo ISR '!$BQ$34)*-1)</f>
        <v>0</v>
      </c>
      <c r="X27" s="25">
        <f>O27-V27+W27-Y27</f>
        <v>4287.3553259999999</v>
      </c>
      <c r="Y27" s="25">
        <f t="shared" si="1"/>
        <v>337.40000000000003</v>
      </c>
      <c r="Z27" s="161"/>
      <c r="AA27" s="162"/>
    </row>
    <row r="28" spans="1:28" s="35" customFormat="1" ht="45" customHeight="1">
      <c r="A28" s="21" t="s">
        <v>64</v>
      </c>
      <c r="B28" s="33" t="s">
        <v>65</v>
      </c>
      <c r="C28" s="34">
        <v>17</v>
      </c>
      <c r="D28" s="34">
        <v>0</v>
      </c>
      <c r="E28" s="24">
        <v>305.5</v>
      </c>
      <c r="F28" s="24">
        <v>348.3</v>
      </c>
      <c r="G28" s="24">
        <f t="shared" si="2"/>
        <v>5193.5</v>
      </c>
      <c r="H28" s="24">
        <f t="shared" si="2"/>
        <v>0</v>
      </c>
      <c r="I28" s="25">
        <f t="shared" si="3"/>
        <v>5193.5</v>
      </c>
      <c r="J28" s="25">
        <f t="shared" si="4"/>
        <v>327.76</v>
      </c>
      <c r="K28" s="25">
        <f>(C28+D28)*I6</f>
        <v>186.14999999999998</v>
      </c>
      <c r="L28" s="25"/>
      <c r="M28" s="25"/>
      <c r="N28" s="25">
        <v>0</v>
      </c>
      <c r="O28" s="25">
        <f>SUM(I28:N28)</f>
        <v>5707.41</v>
      </c>
      <c r="P28" s="27">
        <f>IF('[4]Calculo ISR '!$BR$34&lt;0,0,'[4]Calculo ISR '!$BR$34)</f>
        <v>601.90406400000006</v>
      </c>
      <c r="Q28" s="28">
        <f>I28*N6</f>
        <v>545.3175</v>
      </c>
      <c r="R28" s="28"/>
      <c r="S28" s="28"/>
      <c r="T28" s="28"/>
      <c r="U28" s="28"/>
      <c r="V28" s="25">
        <f t="shared" ref="V28:V31" si="7">P28+Q28+R28+S28+T28+U28</f>
        <v>1147.2215639999999</v>
      </c>
      <c r="W28" s="28">
        <f>IF('[4]Calculo ISR '!$BR$34&gt;0,0,('[4]Calculo ISR '!$BR$34)*-1)</f>
        <v>0</v>
      </c>
      <c r="X28" s="25">
        <f t="shared" ref="X28:X34" si="8">O28-V28+W28-Y28</f>
        <v>4232.4284360000001</v>
      </c>
      <c r="Y28" s="25">
        <f t="shared" si="1"/>
        <v>327.76</v>
      </c>
      <c r="Z28" s="161"/>
      <c r="AA28" s="162"/>
    </row>
    <row r="29" spans="1:28" s="35" customFormat="1" ht="45" customHeight="1">
      <c r="A29" s="21" t="s">
        <v>66</v>
      </c>
      <c r="B29" s="36" t="s">
        <v>67</v>
      </c>
      <c r="C29" s="34">
        <v>11.5</v>
      </c>
      <c r="D29" s="34">
        <v>0</v>
      </c>
      <c r="E29" s="24">
        <v>305.5</v>
      </c>
      <c r="F29" s="24">
        <v>348.3</v>
      </c>
      <c r="G29" s="24">
        <f t="shared" si="2"/>
        <v>3513.25</v>
      </c>
      <c r="H29" s="24">
        <f t="shared" si="2"/>
        <v>0</v>
      </c>
      <c r="I29" s="25">
        <f t="shared" si="3"/>
        <v>3513.25</v>
      </c>
      <c r="J29" s="25">
        <f t="shared" si="4"/>
        <v>221.72000000000003</v>
      </c>
      <c r="K29" s="25">
        <f>(C29+D29)*I6</f>
        <v>125.925</v>
      </c>
      <c r="L29" s="25"/>
      <c r="M29" s="25"/>
      <c r="N29" s="25">
        <v>0</v>
      </c>
      <c r="O29" s="25">
        <f t="shared" si="5"/>
        <v>3860.8950000000004</v>
      </c>
      <c r="P29" s="27">
        <f>IF('[4]Calculo ISR '!$BS$34&lt;0,0,'[4]Calculo ISR '!$BS$34)</f>
        <v>184.45915199999999</v>
      </c>
      <c r="Q29" s="28">
        <f>I29*N6</f>
        <v>368.89125000000001</v>
      </c>
      <c r="R29" s="28"/>
      <c r="S29" s="28"/>
      <c r="T29" s="28"/>
      <c r="U29" s="28"/>
      <c r="V29" s="25">
        <f t="shared" si="7"/>
        <v>553.35040200000003</v>
      </c>
      <c r="W29" s="28">
        <f>IF('[4]Calculo ISR '!$BS$34&gt;0,0,('[4]Calculo ISR '!$BS$34)*-1)</f>
        <v>0</v>
      </c>
      <c r="X29" s="25">
        <f t="shared" si="8"/>
        <v>3085.8245980000002</v>
      </c>
      <c r="Y29" s="25">
        <f t="shared" si="1"/>
        <v>221.72000000000003</v>
      </c>
      <c r="Z29" s="161"/>
      <c r="AA29" s="162"/>
    </row>
    <row r="30" spans="1:28" s="35" customFormat="1" ht="45" customHeight="1">
      <c r="A30" s="21" t="s">
        <v>68</v>
      </c>
      <c r="B30" s="33" t="s">
        <v>69</v>
      </c>
      <c r="C30" s="34">
        <v>10.5</v>
      </c>
      <c r="D30" s="34">
        <v>0</v>
      </c>
      <c r="E30" s="24">
        <v>305.5</v>
      </c>
      <c r="F30" s="24">
        <v>348.3</v>
      </c>
      <c r="G30" s="24">
        <f t="shared" si="2"/>
        <v>3207.75</v>
      </c>
      <c r="H30" s="24">
        <f t="shared" si="2"/>
        <v>0</v>
      </c>
      <c r="I30" s="25">
        <f t="shared" si="3"/>
        <v>3207.75</v>
      </c>
      <c r="J30" s="25">
        <f t="shared" si="4"/>
        <v>202.44</v>
      </c>
      <c r="K30" s="25">
        <f>(C30+D30)*I6</f>
        <v>114.97499999999999</v>
      </c>
      <c r="L30" s="25"/>
      <c r="M30" s="25"/>
      <c r="N30" s="25">
        <v>0</v>
      </c>
      <c r="O30" s="25">
        <f t="shared" si="5"/>
        <v>3525.165</v>
      </c>
      <c r="P30" s="27">
        <f>IF('[4]Calculo ISR '!$BT$34&lt;0,0,'[4]Calculo ISR '!$BT$34)</f>
        <v>132.32939199999996</v>
      </c>
      <c r="Q30" s="28">
        <f>I30*N6</f>
        <v>336.81374999999997</v>
      </c>
      <c r="R30" s="28"/>
      <c r="S30" s="28"/>
      <c r="T30" s="28"/>
      <c r="U30" s="28"/>
      <c r="V30" s="25">
        <f>P30+Q30+R30+S30+T30+U30</f>
        <v>469.1431419999999</v>
      </c>
      <c r="W30" s="28">
        <f>IF('[4]Calculo ISR '!$BT$34&gt;0,0,('[4]Calculo ISR '!$BT$34)*-1)</f>
        <v>0</v>
      </c>
      <c r="X30" s="25">
        <f>O30-V30+W30-Y30</f>
        <v>2853.581858</v>
      </c>
      <c r="Y30" s="25">
        <f t="shared" si="1"/>
        <v>202.44</v>
      </c>
      <c r="Z30" s="161"/>
      <c r="AA30" s="162"/>
    </row>
    <row r="31" spans="1:28" s="35" customFormat="1" ht="45" customHeight="1">
      <c r="A31" s="21" t="s">
        <v>70</v>
      </c>
      <c r="B31" s="33" t="s">
        <v>71</v>
      </c>
      <c r="C31" s="34">
        <v>7.5</v>
      </c>
      <c r="D31" s="34">
        <v>0</v>
      </c>
      <c r="E31" s="24">
        <v>305.5</v>
      </c>
      <c r="F31" s="24">
        <v>348.3</v>
      </c>
      <c r="G31" s="24">
        <f t="shared" si="2"/>
        <v>2291.25</v>
      </c>
      <c r="H31" s="24">
        <f t="shared" si="2"/>
        <v>0</v>
      </c>
      <c r="I31" s="25">
        <f t="shared" si="3"/>
        <v>2291.25</v>
      </c>
      <c r="J31" s="25">
        <f t="shared" si="4"/>
        <v>144.60000000000002</v>
      </c>
      <c r="K31" s="25">
        <f>(C31+D31)*I6</f>
        <v>82.125</v>
      </c>
      <c r="L31" s="25"/>
      <c r="M31" s="25"/>
      <c r="N31" s="25">
        <v>0</v>
      </c>
      <c r="O31" s="25">
        <f>SUM(I31:N31)</f>
        <v>2517.9749999999999</v>
      </c>
      <c r="P31" s="27">
        <f>IF('[4]Calculo ISR '!$BU$34&lt;0,0,'[4]Calculo ISR '!$BU$34)</f>
        <v>0</v>
      </c>
      <c r="Q31" s="28">
        <f>I31*N6</f>
        <v>240.58124999999998</v>
      </c>
      <c r="R31" s="28"/>
      <c r="S31" s="28"/>
      <c r="T31" s="28"/>
      <c r="U31" s="28"/>
      <c r="V31" s="25">
        <f t="shared" si="7"/>
        <v>240.58124999999998</v>
      </c>
      <c r="W31" s="28">
        <f>IF('[4]Calculo ISR '!$BU$34&gt;0,0,('[4]Calculo ISR '!$BU$34)*-1)</f>
        <v>6.2098880000000065</v>
      </c>
      <c r="X31" s="25">
        <f t="shared" si="8"/>
        <v>2139.0036379999997</v>
      </c>
      <c r="Y31" s="25">
        <f t="shared" si="1"/>
        <v>144.60000000000002</v>
      </c>
      <c r="Z31" s="161"/>
      <c r="AA31" s="162"/>
    </row>
    <row r="32" spans="1:28" s="35" customFormat="1" ht="45" customHeight="1">
      <c r="A32" s="21" t="s">
        <v>72</v>
      </c>
      <c r="B32" s="33" t="s">
        <v>73</v>
      </c>
      <c r="C32" s="34">
        <v>10</v>
      </c>
      <c r="D32" s="34">
        <v>0</v>
      </c>
      <c r="E32" s="24">
        <v>305.5</v>
      </c>
      <c r="F32" s="24">
        <v>348.3</v>
      </c>
      <c r="G32" s="24">
        <f t="shared" si="2"/>
        <v>3055</v>
      </c>
      <c r="H32" s="24">
        <f t="shared" si="2"/>
        <v>0</v>
      </c>
      <c r="I32" s="25">
        <f t="shared" si="3"/>
        <v>3055</v>
      </c>
      <c r="J32" s="25">
        <f t="shared" si="4"/>
        <v>192.8</v>
      </c>
      <c r="K32" s="25">
        <f>(C32+D32)*I6</f>
        <v>109.5</v>
      </c>
      <c r="L32" s="25"/>
      <c r="M32" s="25"/>
      <c r="N32" s="25"/>
      <c r="O32" s="25">
        <f t="shared" si="5"/>
        <v>3357.3</v>
      </c>
      <c r="P32" s="27">
        <f>IF('[4]Calculo ISR '!$BV$34&lt;0,0,'[4]Calculo ISR '!$BV$34)</f>
        <v>115.11451199999996</v>
      </c>
      <c r="Q32" s="28">
        <f>I32*N6</f>
        <v>320.77499999999998</v>
      </c>
      <c r="R32" s="28"/>
      <c r="S32" s="28"/>
      <c r="T32" s="28"/>
      <c r="U32" s="28"/>
      <c r="V32" s="25">
        <f>P32+Q32+R32+S32+T32+U32</f>
        <v>435.88951199999997</v>
      </c>
      <c r="W32" s="28">
        <f>IF('[4]Calculo ISR '!$BV$34&gt;0,0,('[4]Calculo ISR '!$BV$34)*-1)</f>
        <v>0</v>
      </c>
      <c r="X32" s="25">
        <f t="shared" si="8"/>
        <v>2728.6104880000003</v>
      </c>
      <c r="Y32" s="25">
        <f t="shared" si="1"/>
        <v>192.8</v>
      </c>
      <c r="Z32" s="184"/>
      <c r="AA32" s="185"/>
      <c r="AB32" s="70"/>
    </row>
    <row r="33" spans="1:31" s="35" customFormat="1" ht="45" customHeight="1">
      <c r="A33" s="21" t="s">
        <v>94</v>
      </c>
      <c r="B33" s="33" t="s">
        <v>95</v>
      </c>
      <c r="C33" s="34">
        <v>12.5</v>
      </c>
      <c r="D33" s="34">
        <v>0</v>
      </c>
      <c r="E33" s="24">
        <v>305.5</v>
      </c>
      <c r="F33" s="24">
        <v>348.3</v>
      </c>
      <c r="G33" s="24">
        <f t="shared" si="2"/>
        <v>3818.75</v>
      </c>
      <c r="H33" s="24">
        <f t="shared" si="2"/>
        <v>0</v>
      </c>
      <c r="I33" s="25">
        <f t="shared" si="3"/>
        <v>3818.75</v>
      </c>
      <c r="J33" s="25">
        <f t="shared" si="4"/>
        <v>241</v>
      </c>
      <c r="K33" s="25">
        <f>(C33+D33)*I6</f>
        <v>136.875</v>
      </c>
      <c r="L33" s="25"/>
      <c r="M33" s="25"/>
      <c r="N33" s="25"/>
      <c r="O33" s="25">
        <f t="shared" si="5"/>
        <v>4196.625</v>
      </c>
      <c r="P33" s="27">
        <f>IF('[4]Calculo ISR '!$BW$34&lt;0,0,'[4]Calculo ISR '!$BW$34)</f>
        <v>341.98839999999996</v>
      </c>
      <c r="Q33" s="28">
        <v>320.77</v>
      </c>
      <c r="R33" s="28"/>
      <c r="S33" s="28"/>
      <c r="T33" s="28"/>
      <c r="U33" s="28"/>
      <c r="V33" s="25">
        <f>P33+Q33+R33+S33+T33+U33</f>
        <v>662.75839999999994</v>
      </c>
      <c r="W33" s="28">
        <f>IF('[4]Calculo ISR '!$BW$34&gt;0,0,('[4]Calculo ISR '!$BW$34)*-1)</f>
        <v>0</v>
      </c>
      <c r="X33" s="25">
        <f t="shared" si="8"/>
        <v>3292.8666000000003</v>
      </c>
      <c r="Y33" s="71">
        <f t="shared" si="1"/>
        <v>241</v>
      </c>
      <c r="Z33" s="72"/>
      <c r="AA33" s="73"/>
      <c r="AB33" s="70"/>
    </row>
    <row r="34" spans="1:31" s="35" customFormat="1" ht="45" customHeight="1">
      <c r="A34" s="21" t="s">
        <v>96</v>
      </c>
      <c r="B34" s="33" t="s">
        <v>97</v>
      </c>
      <c r="C34" s="34">
        <v>3.75</v>
      </c>
      <c r="D34" s="34">
        <v>0</v>
      </c>
      <c r="E34" s="24">
        <v>305.5</v>
      </c>
      <c r="F34" s="24">
        <v>348.3</v>
      </c>
      <c r="G34" s="24">
        <f t="shared" si="2"/>
        <v>1145.625</v>
      </c>
      <c r="H34" s="24">
        <f t="shared" si="2"/>
        <v>0</v>
      </c>
      <c r="I34" s="25">
        <f t="shared" si="3"/>
        <v>1145.625</v>
      </c>
      <c r="J34" s="25">
        <f t="shared" si="4"/>
        <v>72.300000000000011</v>
      </c>
      <c r="K34" s="25">
        <f>(C34+D34)*I6</f>
        <v>41.0625</v>
      </c>
      <c r="L34" s="25"/>
      <c r="M34" s="25"/>
      <c r="N34" s="25"/>
      <c r="O34" s="25">
        <f t="shared" si="5"/>
        <v>1258.9875</v>
      </c>
      <c r="P34" s="27">
        <f>IF('[4]Calculo ISR '!$BX$34&lt;0,0,'[4]Calculo ISR '!$BX$34)</f>
        <v>0</v>
      </c>
      <c r="Q34" s="28">
        <v>240.58</v>
      </c>
      <c r="R34" s="28"/>
      <c r="S34" s="28"/>
      <c r="T34" s="28"/>
      <c r="U34" s="28"/>
      <c r="V34" s="25">
        <f>P34+Q34+R34+S34+T34+U34</f>
        <v>240.58</v>
      </c>
      <c r="W34" s="28">
        <f>IF('[4]Calculo ISR '!$BX$34&gt;0,0,('[4]Calculo ISR '!$BX$34)*-1)</f>
        <v>135.76983999999999</v>
      </c>
      <c r="X34" s="25">
        <f t="shared" si="8"/>
        <v>1081.87734</v>
      </c>
      <c r="Y34" s="71">
        <f t="shared" si="1"/>
        <v>72.300000000000011</v>
      </c>
      <c r="Z34" s="72"/>
      <c r="AA34" s="73"/>
      <c r="AB34" s="70"/>
    </row>
    <row r="35" spans="1:31" s="2" customFormat="1" ht="30" customHeight="1" thickBot="1">
      <c r="A35" s="37"/>
      <c r="B35" s="38" t="s">
        <v>74</v>
      </c>
      <c r="C35" s="39">
        <f t="shared" ref="C35:J35" si="9">SUM(C10:C34)</f>
        <v>312.75</v>
      </c>
      <c r="D35" s="39">
        <f t="shared" si="9"/>
        <v>37.5</v>
      </c>
      <c r="E35" s="40">
        <f t="shared" si="9"/>
        <v>7637.5</v>
      </c>
      <c r="F35" s="40">
        <f t="shared" si="9"/>
        <v>8707.5000000000018</v>
      </c>
      <c r="G35" s="40">
        <f t="shared" si="9"/>
        <v>95545.125</v>
      </c>
      <c r="H35" s="40">
        <f t="shared" si="9"/>
        <v>13061.25</v>
      </c>
      <c r="I35" s="40">
        <f t="shared" si="9"/>
        <v>108606.375</v>
      </c>
      <c r="J35" s="40">
        <f t="shared" si="9"/>
        <v>6752.8200000000006</v>
      </c>
      <c r="K35" s="40">
        <f t="shared" ref="K35:Y35" si="10">SUM(K10:K34)</f>
        <v>3835.2375000000002</v>
      </c>
      <c r="L35" s="40">
        <f t="shared" si="10"/>
        <v>1650.2000000000003</v>
      </c>
      <c r="M35" s="40">
        <f t="shared" si="10"/>
        <v>590.54499999999996</v>
      </c>
      <c r="N35" s="40">
        <f t="shared" si="10"/>
        <v>0</v>
      </c>
      <c r="O35" s="40">
        <f t="shared" si="10"/>
        <v>121435.17750000002</v>
      </c>
      <c r="P35" s="40">
        <f t="shared" si="10"/>
        <v>11569.224584</v>
      </c>
      <c r="Q35" s="40">
        <f t="shared" si="10"/>
        <v>11443.759999999997</v>
      </c>
      <c r="R35" s="40">
        <f t="shared" si="10"/>
        <v>10629.4</v>
      </c>
      <c r="S35" s="40">
        <f t="shared" si="10"/>
        <v>807.29499999999996</v>
      </c>
      <c r="T35" s="40">
        <f t="shared" si="10"/>
        <v>0</v>
      </c>
      <c r="U35" s="74">
        <f t="shared" si="10"/>
        <v>840.125</v>
      </c>
      <c r="V35" s="40">
        <f t="shared" si="10"/>
        <v>35289.804584000012</v>
      </c>
      <c r="W35" s="40">
        <f t="shared" si="10"/>
        <v>375.70780799999994</v>
      </c>
      <c r="X35" s="40">
        <f t="shared" si="10"/>
        <v>79768.260724000007</v>
      </c>
      <c r="Y35" s="40">
        <f t="shared" si="10"/>
        <v>6752.8200000000006</v>
      </c>
      <c r="Z35" s="41"/>
      <c r="AA35" s="3"/>
      <c r="AB35" s="75"/>
      <c r="AC35" s="42"/>
    </row>
    <row r="36" spans="1:31" s="4" customFormat="1" ht="9" customHeight="1">
      <c r="A36" s="76"/>
      <c r="B36" s="60">
        <v>25</v>
      </c>
      <c r="C36" s="77"/>
      <c r="D36" s="77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9"/>
      <c r="AA36" s="80"/>
      <c r="AB36" s="81"/>
    </row>
    <row r="37" spans="1:31" s="4" customFormat="1" ht="9" customHeight="1">
      <c r="A37" s="76"/>
      <c r="B37" s="60"/>
      <c r="C37" s="77"/>
      <c r="D37" s="77"/>
      <c r="E37" s="78"/>
      <c r="F37" s="78"/>
      <c r="G37" s="78"/>
      <c r="H37" s="78"/>
      <c r="I37" s="78">
        <f>I35+'[4]HT-ADMINISTRATIVOS FIRMA '!E46</f>
        <v>310463.89937726827</v>
      </c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9"/>
      <c r="AA37" s="80"/>
      <c r="AB37" s="80"/>
    </row>
    <row r="38" spans="1:31" s="2" customFormat="1" ht="15" customHeight="1">
      <c r="A38" s="1"/>
      <c r="B38" s="47" t="s">
        <v>75</v>
      </c>
      <c r="C38" s="1"/>
      <c r="D38" s="1"/>
      <c r="E38" s="1"/>
      <c r="F38" s="1"/>
      <c r="G38" s="1"/>
      <c r="H38" s="66" t="s">
        <v>76</v>
      </c>
      <c r="L38" s="66"/>
      <c r="M38" s="66"/>
      <c r="N38" s="66"/>
      <c r="O38" s="66"/>
      <c r="P38" s="49"/>
      <c r="Q38" s="50"/>
      <c r="R38" s="1"/>
      <c r="S38" s="1"/>
      <c r="T38" s="1"/>
      <c r="U38" s="1"/>
      <c r="V38" s="1" t="s">
        <v>77</v>
      </c>
      <c r="W38" s="1"/>
      <c r="X38" s="1"/>
      <c r="Y38" s="1"/>
      <c r="Z38" s="1"/>
      <c r="AB38" s="42"/>
      <c r="AE38" s="1"/>
    </row>
    <row r="39" spans="1:31" s="2" customFormat="1" hidden="1">
      <c r="A39" s="1"/>
      <c r="B39" s="1"/>
      <c r="C39" s="1"/>
      <c r="D39" s="1"/>
      <c r="E39" s="1"/>
      <c r="F39" s="1"/>
      <c r="G39" s="1"/>
      <c r="H39" s="1"/>
      <c r="K39" s="1"/>
      <c r="L39" s="1"/>
      <c r="M39" s="1"/>
      <c r="N39" s="1"/>
      <c r="O39" s="51"/>
      <c r="P39" s="51"/>
      <c r="Q39" s="51"/>
      <c r="R39" s="1"/>
      <c r="S39" s="1"/>
      <c r="T39" s="1"/>
      <c r="U39" s="1"/>
      <c r="V39" s="1"/>
      <c r="W39" s="1"/>
      <c r="X39" s="1"/>
      <c r="Y39" s="1"/>
      <c r="Z39" s="1"/>
      <c r="AB39" s="42"/>
      <c r="AE39" s="1"/>
    </row>
    <row r="40" spans="1:31" s="2" customFormat="1" hidden="1">
      <c r="A40" s="1"/>
      <c r="B40" s="1"/>
      <c r="C40" s="1"/>
      <c r="D40" s="1"/>
      <c r="E40" s="1"/>
      <c r="F40" s="1"/>
      <c r="G40" s="1"/>
      <c r="H40" s="1"/>
      <c r="K40" s="1"/>
      <c r="L40" s="1"/>
      <c r="M40" s="1"/>
      <c r="N40" s="1"/>
      <c r="O40" s="51"/>
      <c r="P40" s="51"/>
      <c r="Q40" s="51"/>
      <c r="R40" s="1"/>
      <c r="S40" s="1"/>
      <c r="T40" s="1"/>
      <c r="U40" s="1"/>
      <c r="V40" s="1"/>
      <c r="W40" s="1"/>
      <c r="X40" s="1"/>
      <c r="Y40" s="1"/>
      <c r="Z40" s="1"/>
      <c r="AB40" s="42"/>
      <c r="AE40" s="1"/>
    </row>
    <row r="41" spans="1:31" s="2" customFormat="1" hidden="1">
      <c r="A41" s="1"/>
      <c r="B41" s="1"/>
      <c r="C41" s="1"/>
      <c r="D41" s="1"/>
      <c r="E41" s="1"/>
      <c r="F41" s="1"/>
      <c r="G41" s="1"/>
      <c r="H41" s="1"/>
      <c r="K41" s="1"/>
      <c r="L41" s="1"/>
      <c r="M41" s="1"/>
      <c r="N41" s="1"/>
      <c r="O41" s="52"/>
      <c r="P41" s="52"/>
      <c r="Q41" s="52"/>
      <c r="R41" s="1"/>
      <c r="S41" s="3"/>
      <c r="T41" s="1"/>
      <c r="U41" s="1"/>
      <c r="V41" s="1"/>
      <c r="W41" s="1"/>
      <c r="X41" s="1"/>
      <c r="Y41" s="1"/>
      <c r="Z41" s="1"/>
      <c r="AE41" s="1"/>
    </row>
    <row r="42" spans="1:31" s="2" customFormat="1">
      <c r="A42" s="1"/>
      <c r="B42" s="47" t="s">
        <v>78</v>
      </c>
      <c r="C42" s="1"/>
      <c r="D42" s="1"/>
      <c r="E42" s="1"/>
      <c r="F42" s="1"/>
      <c r="G42" s="53" t="s">
        <v>79</v>
      </c>
      <c r="H42" s="1"/>
      <c r="I42" s="42"/>
      <c r="L42" s="53"/>
      <c r="M42" s="53"/>
      <c r="N42" s="53"/>
      <c r="O42" s="53"/>
      <c r="P42" s="52"/>
      <c r="Q42" s="49"/>
      <c r="R42" s="1"/>
      <c r="S42" s="1"/>
      <c r="T42" s="1"/>
      <c r="U42" s="1"/>
      <c r="V42" s="53" t="s">
        <v>80</v>
      </c>
      <c r="W42" s="53"/>
      <c r="X42" s="53"/>
      <c r="Y42" s="53"/>
      <c r="Z42" s="1"/>
      <c r="AE42" s="1"/>
    </row>
    <row r="43" spans="1:31" ht="12.75" customHeight="1">
      <c r="B43" s="54" t="s">
        <v>81</v>
      </c>
      <c r="G43" s="53" t="s">
        <v>82</v>
      </c>
      <c r="L43" s="53"/>
      <c r="M43" s="53"/>
      <c r="N43" s="53"/>
      <c r="O43" s="53"/>
      <c r="P43" s="53"/>
      <c r="Q43" s="52"/>
      <c r="V43" s="181" t="s">
        <v>83</v>
      </c>
      <c r="W43" s="181"/>
      <c r="X43" s="181"/>
      <c r="Y43" s="55"/>
      <c r="AA43" s="3"/>
    </row>
    <row r="44" spans="1:31">
      <c r="AA44" s="3"/>
    </row>
    <row r="45" spans="1:31">
      <c r="R45" s="3"/>
      <c r="AA45" s="3"/>
    </row>
    <row r="46" spans="1:31">
      <c r="AA46" s="3"/>
    </row>
    <row r="47" spans="1:31">
      <c r="AA47" s="3"/>
    </row>
    <row r="48" spans="1:31">
      <c r="O48" s="6"/>
      <c r="AA48" s="3"/>
    </row>
    <row r="49" spans="1:27">
      <c r="AA49" s="3"/>
    </row>
    <row r="50" spans="1:27">
      <c r="AA50" s="3"/>
    </row>
    <row r="51" spans="1:27" s="56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7" s="56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7" s="57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7" s="57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7" s="57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7" s="57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7" s="57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7" s="57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6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7" s="57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7" s="57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7" s="57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7" s="57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4" spans="1:27">
      <c r="S64" s="3"/>
    </row>
  </sheetData>
  <mergeCells count="31">
    <mergeCell ref="Z14:AA14"/>
    <mergeCell ref="A8:A9"/>
    <mergeCell ref="B8:B9"/>
    <mergeCell ref="C8:I8"/>
    <mergeCell ref="J8:O8"/>
    <mergeCell ref="P8:V8"/>
    <mergeCell ref="W8:Y8"/>
    <mergeCell ref="Z9:AA9"/>
    <mergeCell ref="Z10:AA10"/>
    <mergeCell ref="Z11:AA11"/>
    <mergeCell ref="Z12:AA12"/>
    <mergeCell ref="Z13:AA13"/>
    <mergeCell ref="Z26:AA26"/>
    <mergeCell ref="Z15:AA15"/>
    <mergeCell ref="Z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V43:X43"/>
    <mergeCell ref="Z27:AA27"/>
    <mergeCell ref="Z28:AA28"/>
    <mergeCell ref="Z29:AA29"/>
    <mergeCell ref="Z30:AA30"/>
    <mergeCell ref="Z31:AA31"/>
    <mergeCell ref="Z32:AA32"/>
  </mergeCells>
  <pageMargins left="0.8" right="0.15748031496062992" top="0.47244094488188981" bottom="0.51181102362204722" header="0.31496062992125984" footer="0.31496062992125984"/>
  <pageSetup paperSize="5"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E66"/>
  <sheetViews>
    <sheetView topLeftCell="A3" zoomScale="80" zoomScaleNormal="80" zoomScaleSheetLayoutView="100" workbookViewId="0">
      <pane xSplit="2" ySplit="7" topLeftCell="C35" activePane="bottomRight" state="frozen"/>
      <selection activeCell="A3" sqref="A3"/>
      <selection pane="topRight" activeCell="C3" sqref="C3"/>
      <selection pane="bottomLeft" activeCell="A10" sqref="A10"/>
      <selection pane="bottomRight" activeCell="K51" sqref="K51"/>
    </sheetView>
  </sheetViews>
  <sheetFormatPr baseColWidth="10" defaultRowHeight="12.75"/>
  <cols>
    <col min="1" max="1" width="12.7109375" style="69" customWidth="1"/>
    <col min="2" max="2" width="31.5703125" style="1" customWidth="1"/>
    <col min="3" max="4" width="7.140625" style="1" customWidth="1"/>
    <col min="5" max="6" width="10.42578125" style="1" customWidth="1"/>
    <col min="7" max="7" width="11.7109375" style="1" customWidth="1"/>
    <col min="8" max="8" width="10.85546875" style="1" customWidth="1"/>
    <col min="9" max="9" width="13" style="1" customWidth="1"/>
    <col min="10" max="10" width="10.5703125" style="1" customWidth="1"/>
    <col min="11" max="11" width="9.85546875" style="1" customWidth="1"/>
    <col min="12" max="12" width="10.140625" style="1" customWidth="1"/>
    <col min="13" max="13" width="8.42578125" style="1" customWidth="1"/>
    <col min="14" max="14" width="5" style="1" customWidth="1"/>
    <col min="15" max="15" width="12.42578125" style="1" customWidth="1"/>
    <col min="16" max="16" width="11" style="1" hidden="1" customWidth="1"/>
    <col min="17" max="17" width="10.85546875" style="1" hidden="1" customWidth="1"/>
    <col min="18" max="18" width="11.140625" style="1" hidden="1" customWidth="1"/>
    <col min="19" max="19" width="8.5703125" style="1" hidden="1" customWidth="1"/>
    <col min="20" max="20" width="6.7109375" style="1" hidden="1" customWidth="1"/>
    <col min="21" max="21" width="8.7109375" style="1" hidden="1" customWidth="1"/>
    <col min="22" max="22" width="11.7109375" style="1" customWidth="1"/>
    <col min="23" max="23" width="8.28515625" style="1" customWidth="1"/>
    <col min="24" max="24" width="16.5703125" style="1" customWidth="1"/>
    <col min="25" max="25" width="10.5703125" style="1" hidden="1" customWidth="1"/>
    <col min="26" max="26" width="31" style="1" hidden="1" customWidth="1"/>
    <col min="27" max="27" width="12.28515625" style="1" hidden="1" customWidth="1"/>
    <col min="28" max="16384" width="11.42578125" style="1"/>
  </cols>
  <sheetData>
    <row r="2" spans="1:27">
      <c r="B2" s="2" t="s">
        <v>0</v>
      </c>
    </row>
    <row r="3" spans="1:27">
      <c r="B3" s="2"/>
    </row>
    <row r="4" spans="1:27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7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2"/>
      <c r="P5" s="2"/>
      <c r="Q5" s="2"/>
      <c r="R5" s="2"/>
      <c r="S5" s="2"/>
      <c r="T5" s="2"/>
      <c r="U5" s="2"/>
      <c r="V5" s="2"/>
      <c r="W5" s="2"/>
    </row>
    <row r="6" spans="1:27">
      <c r="B6" s="2"/>
      <c r="C6" s="2"/>
      <c r="D6" s="2"/>
      <c r="E6" s="4">
        <v>19.28</v>
      </c>
      <c r="F6" s="4"/>
      <c r="G6" s="4"/>
      <c r="H6" s="4"/>
      <c r="I6" s="4">
        <v>10.95</v>
      </c>
      <c r="J6" s="4"/>
      <c r="K6" s="65"/>
      <c r="L6" s="65"/>
      <c r="M6" s="65"/>
      <c r="N6" s="58">
        <v>0.105</v>
      </c>
      <c r="O6" s="65"/>
      <c r="P6" s="65"/>
      <c r="Q6" s="65"/>
      <c r="R6" s="65"/>
      <c r="S6" s="65"/>
      <c r="T6" s="5">
        <v>0.01</v>
      </c>
      <c r="U6" s="65"/>
      <c r="V6" s="65"/>
      <c r="W6" s="65"/>
    </row>
    <row r="7" spans="1:27" ht="13.5" thickBot="1">
      <c r="A7" s="85" t="s">
        <v>0</v>
      </c>
      <c r="C7" s="2"/>
      <c r="D7" s="2"/>
      <c r="E7" s="4">
        <v>22.3</v>
      </c>
      <c r="F7" s="4"/>
      <c r="G7" s="4"/>
      <c r="H7" s="4"/>
      <c r="I7" s="7">
        <v>0.02</v>
      </c>
      <c r="J7" s="8">
        <v>0.04</v>
      </c>
      <c r="K7" s="6" t="s">
        <v>98</v>
      </c>
      <c r="L7" s="2"/>
      <c r="M7" s="2"/>
      <c r="N7" s="2"/>
      <c r="P7" s="2"/>
      <c r="Q7" s="2"/>
      <c r="R7" s="2"/>
      <c r="S7" s="2"/>
      <c r="T7" s="2"/>
      <c r="U7" s="2"/>
      <c r="V7" s="2"/>
      <c r="W7" s="2"/>
    </row>
    <row r="8" spans="1:27" ht="15.75" customHeight="1" thickBot="1">
      <c r="A8" s="164" t="s">
        <v>2</v>
      </c>
      <c r="B8" s="166" t="s">
        <v>3</v>
      </c>
      <c r="C8" s="168" t="s">
        <v>4</v>
      </c>
      <c r="D8" s="169"/>
      <c r="E8" s="169"/>
      <c r="F8" s="169"/>
      <c r="G8" s="169"/>
      <c r="H8" s="169"/>
      <c r="I8" s="170"/>
      <c r="J8" s="171" t="s">
        <v>5</v>
      </c>
      <c r="K8" s="172"/>
      <c r="L8" s="172"/>
      <c r="M8" s="173"/>
      <c r="N8" s="173"/>
      <c r="O8" s="174"/>
      <c r="P8" s="175" t="s">
        <v>6</v>
      </c>
      <c r="Q8" s="176"/>
      <c r="R8" s="176"/>
      <c r="S8" s="176"/>
      <c r="T8" s="176"/>
      <c r="U8" s="176"/>
      <c r="V8" s="176"/>
      <c r="W8" s="177" t="s">
        <v>7</v>
      </c>
      <c r="X8" s="177"/>
      <c r="Y8" s="177"/>
    </row>
    <row r="9" spans="1:27" s="20" customFormat="1" ht="72">
      <c r="A9" s="165"/>
      <c r="B9" s="167"/>
      <c r="C9" s="9" t="s">
        <v>87</v>
      </c>
      <c r="D9" s="9" t="s">
        <v>88</v>
      </c>
      <c r="E9" s="9" t="s">
        <v>89</v>
      </c>
      <c r="F9" s="9" t="s">
        <v>90</v>
      </c>
      <c r="G9" s="9" t="s">
        <v>91</v>
      </c>
      <c r="H9" s="9" t="s">
        <v>92</v>
      </c>
      <c r="I9" s="67" t="s">
        <v>10</v>
      </c>
      <c r="J9" s="11" t="s">
        <v>11</v>
      </c>
      <c r="K9" s="11" t="s">
        <v>12</v>
      </c>
      <c r="L9" s="12" t="s">
        <v>13</v>
      </c>
      <c r="M9" s="13" t="s">
        <v>14</v>
      </c>
      <c r="N9" s="14" t="s">
        <v>15</v>
      </c>
      <c r="O9" s="14" t="s">
        <v>16</v>
      </c>
      <c r="P9" s="15" t="s">
        <v>17</v>
      </c>
      <c r="Q9" s="16" t="s">
        <v>18</v>
      </c>
      <c r="R9" s="16" t="s">
        <v>19</v>
      </c>
      <c r="S9" s="16" t="s">
        <v>20</v>
      </c>
      <c r="T9" s="16" t="s">
        <v>21</v>
      </c>
      <c r="U9" s="16" t="s">
        <v>22</v>
      </c>
      <c r="V9" s="16" t="s">
        <v>23</v>
      </c>
      <c r="W9" s="17" t="s">
        <v>24</v>
      </c>
      <c r="X9" s="18" t="s">
        <v>25</v>
      </c>
      <c r="Y9" s="19" t="s">
        <v>26</v>
      </c>
      <c r="Z9" s="178" t="s">
        <v>27</v>
      </c>
      <c r="AA9" s="178"/>
    </row>
    <row r="10" spans="1:27" s="69" customFormat="1" ht="45" customHeight="1">
      <c r="A10" s="21" t="s">
        <v>28</v>
      </c>
      <c r="B10" s="68" t="s">
        <v>29</v>
      </c>
      <c r="C10" s="32">
        <v>7.5</v>
      </c>
      <c r="D10" s="23">
        <v>0</v>
      </c>
      <c r="E10" s="24">
        <v>305.5</v>
      </c>
      <c r="F10" s="24">
        <v>348.3</v>
      </c>
      <c r="G10" s="24">
        <f>C10*E10</f>
        <v>2291.25</v>
      </c>
      <c r="H10" s="24">
        <f>D10*F10</f>
        <v>0</v>
      </c>
      <c r="I10" s="25">
        <f>G10+H10</f>
        <v>2291.25</v>
      </c>
      <c r="J10" s="25">
        <f>(C10+D10)*19.28</f>
        <v>144.60000000000002</v>
      </c>
      <c r="K10" s="25">
        <f>(C10+D10)*I6</f>
        <v>82.125</v>
      </c>
      <c r="L10" s="25"/>
      <c r="M10" s="25">
        <f>I10*J7</f>
        <v>91.65</v>
      </c>
      <c r="N10" s="26">
        <v>0</v>
      </c>
      <c r="O10" s="25">
        <f>SUM(I10:N10)</f>
        <v>2609.625</v>
      </c>
      <c r="P10" s="27">
        <f>IF('[5]Calculo ISR '!$AZ$34&lt;0,0,'[5]Calculo ISR '!$AZ$34)</f>
        <v>3.7616319999999916</v>
      </c>
      <c r="Q10" s="28">
        <f>I10*N6</f>
        <v>240.58124999999998</v>
      </c>
      <c r="R10" s="29">
        <v>450.66</v>
      </c>
      <c r="S10" s="28">
        <f>I10*T6</f>
        <v>22.912500000000001</v>
      </c>
      <c r="T10" s="28"/>
      <c r="U10" s="30">
        <f>[5]descuentos!D5</f>
        <v>305.5</v>
      </c>
      <c r="V10" s="25">
        <f t="shared" ref="V10:V24" si="0">P10+Q10+R10+S10+U10+T10</f>
        <v>1023.415382</v>
      </c>
      <c r="W10" s="28">
        <f>IF('[5]Calculo ISR '!$AZ$34&gt;0,0,('[5]Calculo ISR '!$AZ$34)*-1)</f>
        <v>0</v>
      </c>
      <c r="X10" s="25">
        <f>O10-V10-Y10+W10</f>
        <v>1441.609618</v>
      </c>
      <c r="Y10" s="25">
        <f t="shared" ref="Y10:Y36" si="1">J10</f>
        <v>144.60000000000002</v>
      </c>
      <c r="Z10" s="183"/>
      <c r="AA10" s="163"/>
    </row>
    <row r="11" spans="1:27" s="35" customFormat="1" ht="45" customHeight="1">
      <c r="A11" s="21" t="s">
        <v>30</v>
      </c>
      <c r="B11" s="33" t="s">
        <v>31</v>
      </c>
      <c r="C11" s="32">
        <v>12</v>
      </c>
      <c r="D11" s="32">
        <v>7.5</v>
      </c>
      <c r="E11" s="24">
        <v>305.5</v>
      </c>
      <c r="F11" s="24">
        <v>348.3</v>
      </c>
      <c r="G11" s="24">
        <f t="shared" ref="G11:H36" si="2">C11*E11</f>
        <v>3666</v>
      </c>
      <c r="H11" s="24">
        <f t="shared" si="2"/>
        <v>2612.25</v>
      </c>
      <c r="I11" s="25">
        <f t="shared" ref="I11:I36" si="3">G11+H11</f>
        <v>6278.25</v>
      </c>
      <c r="J11" s="25">
        <f t="shared" ref="J11:J36" si="4">(C11+D11)*19.28</f>
        <v>375.96000000000004</v>
      </c>
      <c r="K11" s="25">
        <f>(C11+D11)*I6</f>
        <v>213.52499999999998</v>
      </c>
      <c r="L11" s="25"/>
      <c r="M11" s="25">
        <f>I11*J7</f>
        <v>251.13</v>
      </c>
      <c r="N11" s="25">
        <f>'[5]HT-DOCENTE'!J10</f>
        <v>0</v>
      </c>
      <c r="O11" s="25">
        <f>SUM(I11:N11)</f>
        <v>7118.8649999999998</v>
      </c>
      <c r="P11" s="27">
        <f>IF('[5]Calculo ISR '!$BA$34&lt;0,0,'[5]Calculo ISR '!$BA$34)</f>
        <v>893.0953320000001</v>
      </c>
      <c r="Q11" s="28">
        <f>I11*N6</f>
        <v>659.21624999999995</v>
      </c>
      <c r="R11" s="28">
        <v>1986</v>
      </c>
      <c r="S11" s="28">
        <f>I11*T6</f>
        <v>62.782499999999999</v>
      </c>
      <c r="T11" s="28">
        <f>'[5]HT-DOCENTE'!R10</f>
        <v>0</v>
      </c>
      <c r="U11" s="28"/>
      <c r="V11" s="25">
        <f t="shared" si="0"/>
        <v>3601.0940820000001</v>
      </c>
      <c r="W11" s="28">
        <f>IF('[5]Calculo ISR '!$BA$34&gt;0,0,('[5]Calculo ISR '!$BA$34)*-1)</f>
        <v>0</v>
      </c>
      <c r="X11" s="25">
        <f>O11-V11-Y11+W11</f>
        <v>3141.8109179999997</v>
      </c>
      <c r="Y11" s="25">
        <f t="shared" si="1"/>
        <v>375.96000000000004</v>
      </c>
      <c r="Z11" s="161"/>
      <c r="AA11" s="162"/>
    </row>
    <row r="12" spans="1:27" s="35" customFormat="1" ht="45" customHeight="1">
      <c r="A12" s="21" t="s">
        <v>32</v>
      </c>
      <c r="B12" s="33" t="s">
        <v>99</v>
      </c>
      <c r="C12" s="32">
        <v>10</v>
      </c>
      <c r="D12" s="32">
        <v>0</v>
      </c>
      <c r="E12" s="24">
        <v>305.5</v>
      </c>
      <c r="F12" s="24">
        <v>348.3</v>
      </c>
      <c r="G12" s="24">
        <f t="shared" si="2"/>
        <v>3055</v>
      </c>
      <c r="H12" s="24">
        <f t="shared" si="2"/>
        <v>0</v>
      </c>
      <c r="I12" s="25">
        <f t="shared" si="3"/>
        <v>3055</v>
      </c>
      <c r="J12" s="25">
        <f t="shared" si="4"/>
        <v>192.8</v>
      </c>
      <c r="K12" s="25">
        <f>(C12+D12)*I6</f>
        <v>109.5</v>
      </c>
      <c r="L12" s="25"/>
      <c r="M12" s="25">
        <f>I12*J7</f>
        <v>122.2</v>
      </c>
      <c r="N12" s="25">
        <v>0</v>
      </c>
      <c r="O12" s="25">
        <f t="shared" ref="O12:O36" si="5">SUM(I12:N12)</f>
        <v>3479.5</v>
      </c>
      <c r="P12" s="27">
        <f>IF('[5]Calculo ISR '!$BB$34&lt;0,0,'[5]Calculo ISR '!$BB$34)</f>
        <v>128.40987199999998</v>
      </c>
      <c r="Q12" s="28">
        <f>I12*N6</f>
        <v>320.77499999999998</v>
      </c>
      <c r="R12" s="28">
        <v>873</v>
      </c>
      <c r="S12" s="28">
        <f>I12*T6</f>
        <v>30.55</v>
      </c>
      <c r="T12" s="28">
        <f>'[5]HT-DOCENTE'!R11</f>
        <v>0</v>
      </c>
      <c r="U12" s="28"/>
      <c r="V12" s="25">
        <f t="shared" si="0"/>
        <v>1352.7348719999998</v>
      </c>
      <c r="W12" s="28">
        <f>IF('[5]Calculo ISR '!$BB$34&gt;0,0,('[5]Calculo ISR '!$BB$34)*-1)</f>
        <v>0</v>
      </c>
      <c r="X12" s="25">
        <f>O12-V12-Y12+W12</f>
        <v>1933.965128</v>
      </c>
      <c r="Y12" s="25">
        <f t="shared" si="1"/>
        <v>192.8</v>
      </c>
      <c r="Z12" s="161"/>
      <c r="AA12" s="162"/>
    </row>
    <row r="13" spans="1:27" s="35" customFormat="1" ht="45" customHeight="1">
      <c r="A13" s="21" t="s">
        <v>34</v>
      </c>
      <c r="B13" s="33" t="s">
        <v>35</v>
      </c>
      <c r="C13" s="32">
        <v>12</v>
      </c>
      <c r="D13" s="32">
        <v>7.5</v>
      </c>
      <c r="E13" s="24">
        <v>305.5</v>
      </c>
      <c r="F13" s="24">
        <v>348.3</v>
      </c>
      <c r="G13" s="24">
        <f t="shared" si="2"/>
        <v>3666</v>
      </c>
      <c r="H13" s="24">
        <f>D13*F13</f>
        <v>2612.25</v>
      </c>
      <c r="I13" s="25">
        <f t="shared" si="3"/>
        <v>6278.25</v>
      </c>
      <c r="J13" s="25">
        <f t="shared" si="4"/>
        <v>375.96000000000004</v>
      </c>
      <c r="K13" s="25">
        <f>(C13+D13)*I6</f>
        <v>213.52499999999998</v>
      </c>
      <c r="L13" s="25"/>
      <c r="M13" s="25">
        <f>I13*I7</f>
        <v>125.565</v>
      </c>
      <c r="N13" s="25">
        <f>'[5]HT-DOCENTE'!J12</f>
        <v>0</v>
      </c>
      <c r="O13" s="25">
        <f t="shared" si="5"/>
        <v>6993.2999999999993</v>
      </c>
      <c r="P13" s="27">
        <f>IF('[5]Calculo ISR '!$BC$34&lt;0,0,'[5]Calculo ISR '!$BC$34)</f>
        <v>866.27464799999996</v>
      </c>
      <c r="Q13" s="28">
        <f>I13*N6</f>
        <v>659.21624999999995</v>
      </c>
      <c r="R13" s="28">
        <f>'[5]HT-DOCENTE'!P12</f>
        <v>0</v>
      </c>
      <c r="S13" s="28">
        <f>I13*T6</f>
        <v>62.782499999999999</v>
      </c>
      <c r="T13" s="28">
        <f>'[5]HT-DOCENTE'!R12</f>
        <v>0</v>
      </c>
      <c r="U13" s="28"/>
      <c r="V13" s="25">
        <f t="shared" si="0"/>
        <v>1588.273398</v>
      </c>
      <c r="W13" s="28">
        <f>IF('[5]Calculo ISR '!$BC$34&gt;0,0,('[5]Calculo ISR '!$BC$34)*-1)</f>
        <v>0</v>
      </c>
      <c r="X13" s="25">
        <f t="shared" ref="X13:X24" si="6">O13-V13-Y13+W13</f>
        <v>5029.066601999999</v>
      </c>
      <c r="Y13" s="25">
        <f t="shared" si="1"/>
        <v>375.96000000000004</v>
      </c>
      <c r="Z13" s="161"/>
      <c r="AA13" s="162"/>
    </row>
    <row r="14" spans="1:27" s="35" customFormat="1" ht="45" customHeight="1">
      <c r="A14" s="21" t="s">
        <v>36</v>
      </c>
      <c r="B14" s="33" t="s">
        <v>37</v>
      </c>
      <c r="C14" s="32">
        <v>5.5</v>
      </c>
      <c r="D14" s="32">
        <v>7.5</v>
      </c>
      <c r="E14" s="24">
        <v>305.5</v>
      </c>
      <c r="F14" s="24">
        <v>348.3</v>
      </c>
      <c r="G14" s="24">
        <f t="shared" si="2"/>
        <v>1680.25</v>
      </c>
      <c r="H14" s="24">
        <f t="shared" si="2"/>
        <v>2612.25</v>
      </c>
      <c r="I14" s="25">
        <f t="shared" si="3"/>
        <v>4292.5</v>
      </c>
      <c r="J14" s="25">
        <f t="shared" si="4"/>
        <v>250.64000000000001</v>
      </c>
      <c r="K14" s="25">
        <f>(C14+D14)*I6</f>
        <v>142.35</v>
      </c>
      <c r="L14" s="25">
        <f>(C14+D14)*E7</f>
        <v>289.90000000000003</v>
      </c>
      <c r="M14" s="25"/>
      <c r="N14" s="25">
        <f>'[5]HT-DOCENTE'!J13</f>
        <v>0</v>
      </c>
      <c r="O14" s="25">
        <f>SUM(I14:N14)</f>
        <v>4975.3900000000003</v>
      </c>
      <c r="P14" s="27">
        <f>IF('[5]Calculo ISR '!$BD$34&lt;0,0,'[5]Calculo ISR '!$BD$34)</f>
        <v>474.18068800000009</v>
      </c>
      <c r="Q14" s="28">
        <f>I14*N6</f>
        <v>450.71249999999998</v>
      </c>
      <c r="R14" s="28">
        <v>1100</v>
      </c>
      <c r="S14" s="28">
        <f>I14*T6</f>
        <v>42.925000000000004</v>
      </c>
      <c r="T14" s="28">
        <f>'[5]HT-DOCENTE'!R13</f>
        <v>0</v>
      </c>
      <c r="U14" s="28"/>
      <c r="V14" s="25">
        <f t="shared" si="0"/>
        <v>2067.8181880000002</v>
      </c>
      <c r="W14" s="28">
        <f>IF('[5]Calculo ISR '!$BD$34&gt;0,0,('[5]Calculo ISR '!$BD$34)*-1)</f>
        <v>0</v>
      </c>
      <c r="X14" s="25">
        <f t="shared" si="6"/>
        <v>2656.9318120000003</v>
      </c>
      <c r="Y14" s="25">
        <f t="shared" si="1"/>
        <v>250.64000000000001</v>
      </c>
      <c r="Z14" s="161"/>
      <c r="AA14" s="162"/>
    </row>
    <row r="15" spans="1:27" s="35" customFormat="1" ht="45" customHeight="1">
      <c r="A15" s="21" t="s">
        <v>38</v>
      </c>
      <c r="B15" s="33" t="s">
        <v>39</v>
      </c>
      <c r="C15" s="32">
        <v>11</v>
      </c>
      <c r="D15" s="32">
        <v>7.5</v>
      </c>
      <c r="E15" s="24">
        <v>305.5</v>
      </c>
      <c r="F15" s="24">
        <v>348.3</v>
      </c>
      <c r="G15" s="24">
        <f t="shared" si="2"/>
        <v>3360.5</v>
      </c>
      <c r="H15" s="24">
        <f t="shared" si="2"/>
        <v>2612.25</v>
      </c>
      <c r="I15" s="25">
        <f t="shared" si="3"/>
        <v>5972.75</v>
      </c>
      <c r="J15" s="25">
        <f t="shared" si="4"/>
        <v>356.68</v>
      </c>
      <c r="K15" s="25">
        <f>(C15+D15)*I6</f>
        <v>202.57499999999999</v>
      </c>
      <c r="L15" s="25">
        <f>(C15+D15)*E7</f>
        <v>412.55</v>
      </c>
      <c r="M15" s="25"/>
      <c r="N15" s="25">
        <f>'[5]HT-DOCENTE'!J14</f>
        <v>0</v>
      </c>
      <c r="O15" s="25">
        <f t="shared" si="5"/>
        <v>6944.5550000000003</v>
      </c>
      <c r="P15" s="27">
        <f>IF('[5]Calculo ISR '!$BE$34&lt;0,0,'[5]Calculo ISR '!$BE$34)</f>
        <v>859.98092400000007</v>
      </c>
      <c r="Q15" s="28">
        <f>I15*N6</f>
        <v>627.13874999999996</v>
      </c>
      <c r="R15" s="28">
        <v>1655</v>
      </c>
      <c r="S15" s="28">
        <f>I15*T6</f>
        <v>59.727499999999999</v>
      </c>
      <c r="T15" s="28">
        <f>'[5]HT-DOCENTE'!R14</f>
        <v>0</v>
      </c>
      <c r="U15" s="28"/>
      <c r="V15" s="25">
        <f t="shared" si="0"/>
        <v>3201.847174</v>
      </c>
      <c r="W15" s="28">
        <f>IF('[5]Calculo ISR '!$BE$34&gt;0,0,('[5]Calculo ISR '!$BE$34)*-1)</f>
        <v>0</v>
      </c>
      <c r="X15" s="25">
        <f t="shared" si="6"/>
        <v>3386.0278260000005</v>
      </c>
      <c r="Y15" s="25">
        <f t="shared" si="1"/>
        <v>356.68</v>
      </c>
      <c r="Z15" s="161"/>
      <c r="AA15" s="162"/>
    </row>
    <row r="16" spans="1:27" s="35" customFormat="1" ht="45" customHeight="1">
      <c r="A16" s="21" t="s">
        <v>40</v>
      </c>
      <c r="B16" s="33" t="s">
        <v>41</v>
      </c>
      <c r="C16" s="32">
        <f>'[5]HT-DOCENTE'!C15</f>
        <v>19.5</v>
      </c>
      <c r="D16" s="32">
        <v>0</v>
      </c>
      <c r="E16" s="24">
        <v>305.5</v>
      </c>
      <c r="F16" s="24">
        <v>348.3</v>
      </c>
      <c r="G16" s="24">
        <f t="shared" si="2"/>
        <v>5957.25</v>
      </c>
      <c r="H16" s="24">
        <f t="shared" si="2"/>
        <v>0</v>
      </c>
      <c r="I16" s="25">
        <f t="shared" si="3"/>
        <v>5957.25</v>
      </c>
      <c r="J16" s="25">
        <f t="shared" si="4"/>
        <v>375.96000000000004</v>
      </c>
      <c r="K16" s="25">
        <f>(C16+D16)*I6</f>
        <v>213.52499999999998</v>
      </c>
      <c r="L16" s="25">
        <f>(C16+D16)*E7</f>
        <v>434.85</v>
      </c>
      <c r="M16" s="25"/>
      <c r="N16" s="25">
        <f>'[5]HT-DOCENTE'!J15</f>
        <v>0</v>
      </c>
      <c r="O16" s="25">
        <f t="shared" si="5"/>
        <v>6981.585</v>
      </c>
      <c r="P16" s="27">
        <f>IF('[5]Calculo ISR '!$BF$34&lt;0,0,'[5]Calculo ISR '!$BF$34)</f>
        <v>863.77232400000003</v>
      </c>
      <c r="Q16" s="28">
        <f>I16*N6</f>
        <v>625.51125000000002</v>
      </c>
      <c r="R16" s="28">
        <f>'[5]HT-DOCENTE'!P15</f>
        <v>0</v>
      </c>
      <c r="S16" s="28">
        <f>I16*T6</f>
        <v>59.572499999999998</v>
      </c>
      <c r="T16" s="28">
        <v>0</v>
      </c>
      <c r="U16" s="28"/>
      <c r="V16" s="25">
        <f t="shared" si="0"/>
        <v>1548.856074</v>
      </c>
      <c r="W16" s="28">
        <f>IF('[5]Calculo ISR '!$BF$34&gt;0,0,('[5]Calculo ISR '!$BF$34)*-1)</f>
        <v>0</v>
      </c>
      <c r="X16" s="25">
        <f t="shared" si="6"/>
        <v>5056.7689259999997</v>
      </c>
      <c r="Y16" s="25">
        <f t="shared" si="1"/>
        <v>375.96000000000004</v>
      </c>
      <c r="Z16" s="161"/>
      <c r="AA16" s="162"/>
    </row>
    <row r="17" spans="1:28" s="35" customFormat="1" ht="45" customHeight="1">
      <c r="A17" s="21" t="s">
        <v>42</v>
      </c>
      <c r="B17" s="33" t="s">
        <v>43</v>
      </c>
      <c r="C17" s="32">
        <v>2</v>
      </c>
      <c r="D17" s="32">
        <v>0</v>
      </c>
      <c r="E17" s="24">
        <v>305.5</v>
      </c>
      <c r="F17" s="24">
        <v>348.3</v>
      </c>
      <c r="G17" s="24">
        <f t="shared" si="2"/>
        <v>611</v>
      </c>
      <c r="H17" s="24">
        <f t="shared" si="2"/>
        <v>0</v>
      </c>
      <c r="I17" s="25">
        <f>G17+H17</f>
        <v>611</v>
      </c>
      <c r="J17" s="25">
        <f t="shared" si="4"/>
        <v>38.56</v>
      </c>
      <c r="K17" s="25">
        <f>(C17+D17)*I6</f>
        <v>21.9</v>
      </c>
      <c r="L17" s="25">
        <f>(C17+D17)*E7*2</f>
        <v>89.2</v>
      </c>
      <c r="M17" s="25"/>
      <c r="N17" s="25">
        <f>'[5]HT-DOCENTE'!J16</f>
        <v>0</v>
      </c>
      <c r="O17" s="25">
        <f>SUM(I17:N17)</f>
        <v>760.66</v>
      </c>
      <c r="P17" s="27">
        <f>IF('[5]Calculo ISR '!$BG$34&lt;0,0,'[5]Calculo ISR '!$BG$34)</f>
        <v>0</v>
      </c>
      <c r="Q17" s="28">
        <f>I17*N6</f>
        <v>64.155000000000001</v>
      </c>
      <c r="R17" s="28">
        <v>0</v>
      </c>
      <c r="S17" s="28">
        <f>I17*T6</f>
        <v>6.11</v>
      </c>
      <c r="T17" s="28">
        <f>'[5]HT-DOCENTE'!R16</f>
        <v>0</v>
      </c>
      <c r="U17" s="28"/>
      <c r="V17" s="25">
        <f t="shared" si="0"/>
        <v>70.265000000000001</v>
      </c>
      <c r="W17" s="28">
        <f>IF('[5]Calculo ISR '!$BG$34&gt;0,0,('[5]Calculo ISR '!$BG$34)*-1)</f>
        <v>165.65343999999999</v>
      </c>
      <c r="X17" s="25">
        <f t="shared" si="6"/>
        <v>817.48844000000008</v>
      </c>
      <c r="Y17" s="25">
        <f t="shared" si="1"/>
        <v>38.56</v>
      </c>
      <c r="Z17" s="161"/>
      <c r="AA17" s="162"/>
    </row>
    <row r="18" spans="1:28" s="35" customFormat="1" ht="45" customHeight="1">
      <c r="A18" s="21" t="s">
        <v>44</v>
      </c>
      <c r="B18" s="33" t="s">
        <v>45</v>
      </c>
      <c r="C18" s="34">
        <v>11</v>
      </c>
      <c r="D18" s="34">
        <v>7.5</v>
      </c>
      <c r="E18" s="24">
        <v>305.5</v>
      </c>
      <c r="F18" s="24">
        <v>348.3</v>
      </c>
      <c r="G18" s="24">
        <f t="shared" si="2"/>
        <v>3360.5</v>
      </c>
      <c r="H18" s="24">
        <f t="shared" si="2"/>
        <v>2612.25</v>
      </c>
      <c r="I18" s="25">
        <f t="shared" si="3"/>
        <v>5972.75</v>
      </c>
      <c r="J18" s="25">
        <f t="shared" si="4"/>
        <v>356.68</v>
      </c>
      <c r="K18" s="25">
        <f>(C18+D18)*I6</f>
        <v>202.57499999999999</v>
      </c>
      <c r="L18" s="25"/>
      <c r="M18" s="25"/>
      <c r="N18" s="25">
        <f>'[5]HT-DOCENTE'!J17</f>
        <v>0</v>
      </c>
      <c r="O18" s="25">
        <f t="shared" si="5"/>
        <v>6532.0050000000001</v>
      </c>
      <c r="P18" s="27">
        <f>IF('[5]Calculo ISR '!$BH$34&lt;0,0,'[5]Calculo ISR '!$BH$34)</f>
        <v>771.86024400000008</v>
      </c>
      <c r="Q18" s="28">
        <f>I18*N6</f>
        <v>627.13874999999996</v>
      </c>
      <c r="R18" s="28">
        <f>'[5]HT-DOCENTE'!P17</f>
        <v>0</v>
      </c>
      <c r="S18" s="28">
        <f>I18*T6</f>
        <v>59.727499999999999</v>
      </c>
      <c r="T18" s="28">
        <f>'[5]HT-DOCENTE'!R17</f>
        <v>0</v>
      </c>
      <c r="U18" s="28"/>
      <c r="V18" s="25">
        <f t="shared" si="0"/>
        <v>1458.726494</v>
      </c>
      <c r="W18" s="28">
        <f>IF('[5]Calculo ISR '!$BH$34&gt;0,0,('[5]Calculo ISR '!$BH$34)*-1)</f>
        <v>0</v>
      </c>
      <c r="X18" s="25">
        <f t="shared" si="6"/>
        <v>4716.5985060000003</v>
      </c>
      <c r="Y18" s="25">
        <f t="shared" si="1"/>
        <v>356.68</v>
      </c>
      <c r="Z18" s="161"/>
      <c r="AA18" s="162"/>
    </row>
    <row r="19" spans="1:28" s="35" customFormat="1" ht="45" customHeight="1">
      <c r="A19" s="21" t="s">
        <v>46</v>
      </c>
      <c r="B19" s="33" t="s">
        <v>47</v>
      </c>
      <c r="C19" s="34">
        <v>6.5</v>
      </c>
      <c r="D19" s="34">
        <v>0</v>
      </c>
      <c r="E19" s="24">
        <v>305.5</v>
      </c>
      <c r="F19" s="24">
        <v>348.3</v>
      </c>
      <c r="G19" s="24">
        <f t="shared" si="2"/>
        <v>1985.75</v>
      </c>
      <c r="H19" s="24">
        <f t="shared" si="2"/>
        <v>0</v>
      </c>
      <c r="I19" s="25">
        <f t="shared" si="3"/>
        <v>1985.75</v>
      </c>
      <c r="J19" s="25">
        <f t="shared" si="4"/>
        <v>125.32000000000001</v>
      </c>
      <c r="K19" s="25">
        <f>(C19+D19)*I6</f>
        <v>71.174999999999997</v>
      </c>
      <c r="L19" s="25"/>
      <c r="M19" s="25"/>
      <c r="N19" s="25">
        <v>0</v>
      </c>
      <c r="O19" s="25">
        <f t="shared" si="5"/>
        <v>2182.2450000000003</v>
      </c>
      <c r="P19" s="27">
        <f>IF('[5]Calculo ISR '!$BI$34&lt;0,0,'[5]Calculo ISR '!$BI$34)</f>
        <v>0</v>
      </c>
      <c r="Q19" s="28">
        <f>I19*N6</f>
        <v>208.50375</v>
      </c>
      <c r="R19" s="28">
        <v>1254.74</v>
      </c>
      <c r="S19" s="28">
        <f>I19*T6</f>
        <v>19.857500000000002</v>
      </c>
      <c r="T19" s="28">
        <f>'[5]HT-DOCENTE'!R18</f>
        <v>0</v>
      </c>
      <c r="U19" s="30"/>
      <c r="V19" s="25">
        <f>P19+Q19+R19+S19+U19+T19</f>
        <v>1483.1012500000002</v>
      </c>
      <c r="W19" s="28">
        <f>IF('[5]Calculo ISR '!$BI$34&gt;0,0,('[5]Calculo ISR '!$BI$34)*-1)</f>
        <v>68.07463999999996</v>
      </c>
      <c r="X19" s="25">
        <f t="shared" si="6"/>
        <v>641.89839000000006</v>
      </c>
      <c r="Y19" s="25">
        <f t="shared" si="1"/>
        <v>125.32000000000001</v>
      </c>
      <c r="Z19" s="163"/>
      <c r="AA19" s="163"/>
    </row>
    <row r="20" spans="1:28" s="35" customFormat="1" ht="45" customHeight="1">
      <c r="A20" s="21" t="s">
        <v>48</v>
      </c>
      <c r="B20" s="33" t="s">
        <v>49</v>
      </c>
      <c r="C20" s="34">
        <v>19.5</v>
      </c>
      <c r="D20" s="34">
        <v>0</v>
      </c>
      <c r="E20" s="24">
        <v>305.5</v>
      </c>
      <c r="F20" s="24">
        <v>348.3</v>
      </c>
      <c r="G20" s="24">
        <f t="shared" si="2"/>
        <v>5957.25</v>
      </c>
      <c r="H20" s="24">
        <f t="shared" si="2"/>
        <v>0</v>
      </c>
      <c r="I20" s="25">
        <f t="shared" si="3"/>
        <v>5957.25</v>
      </c>
      <c r="J20" s="25">
        <f t="shared" si="4"/>
        <v>375.96000000000004</v>
      </c>
      <c r="K20" s="25">
        <f>(C20+D20)*I6</f>
        <v>213.52499999999998</v>
      </c>
      <c r="L20" s="25"/>
      <c r="M20" s="25"/>
      <c r="N20" s="25">
        <v>0</v>
      </c>
      <c r="O20" s="25">
        <f t="shared" si="5"/>
        <v>6546.7349999999997</v>
      </c>
      <c r="P20" s="27">
        <f>IF('[5]Calculo ISR '!$BJ$34&lt;0,0,'[5]Calculo ISR '!$BJ$34)</f>
        <v>770.88836400000002</v>
      </c>
      <c r="Q20" s="28">
        <f>I20*N6</f>
        <v>625.51125000000002</v>
      </c>
      <c r="R20" s="28">
        <f>'[5]HT-DOCENTE'!P19</f>
        <v>0</v>
      </c>
      <c r="S20" s="28">
        <f>I20*T6</f>
        <v>59.572499999999998</v>
      </c>
      <c r="T20" s="28">
        <f>'[5]HT-DOCENTE'!R19</f>
        <v>0</v>
      </c>
      <c r="U20" s="28"/>
      <c r="V20" s="25">
        <f t="shared" si="0"/>
        <v>1455.9721139999999</v>
      </c>
      <c r="W20" s="28">
        <f>IF('[5]Calculo ISR '!$BJ$34&gt;0,0,('[5]Calculo ISR '!$BJ$34)*-1)</f>
        <v>0</v>
      </c>
      <c r="X20" s="25">
        <f t="shared" si="6"/>
        <v>4714.8028859999995</v>
      </c>
      <c r="Y20" s="25">
        <f t="shared" si="1"/>
        <v>375.96000000000004</v>
      </c>
      <c r="Z20" s="161"/>
      <c r="AA20" s="162"/>
    </row>
    <row r="21" spans="1:28" s="35" customFormat="1" ht="45" customHeight="1">
      <c r="A21" s="21" t="s">
        <v>50</v>
      </c>
      <c r="B21" s="33" t="s">
        <v>51</v>
      </c>
      <c r="C21" s="34">
        <v>18.5</v>
      </c>
      <c r="D21" s="34">
        <v>0</v>
      </c>
      <c r="E21" s="24">
        <v>305.5</v>
      </c>
      <c r="F21" s="24">
        <v>348.3</v>
      </c>
      <c r="G21" s="24">
        <f t="shared" si="2"/>
        <v>5651.75</v>
      </c>
      <c r="H21" s="24">
        <f t="shared" si="2"/>
        <v>0</v>
      </c>
      <c r="I21" s="25">
        <f t="shared" si="3"/>
        <v>5651.75</v>
      </c>
      <c r="J21" s="25">
        <f t="shared" si="4"/>
        <v>356.68</v>
      </c>
      <c r="K21" s="25">
        <f>(C21+D21)*I6</f>
        <v>202.57499999999999</v>
      </c>
      <c r="L21" s="25"/>
      <c r="M21" s="25"/>
      <c r="N21" s="25">
        <v>0</v>
      </c>
      <c r="O21" s="25">
        <f>SUM(I21:N21)</f>
        <v>6211.0050000000001</v>
      </c>
      <c r="P21" s="27">
        <f>IF('[5]Calculo ISR '!$BK$34&lt;0,0,'[5]Calculo ISR '!$BK$34)</f>
        <v>703.29464400000006</v>
      </c>
      <c r="Q21" s="28">
        <f>I21*N6</f>
        <v>593.43375000000003</v>
      </c>
      <c r="R21" s="28">
        <v>1570</v>
      </c>
      <c r="S21" s="28">
        <f>I21*T6</f>
        <v>56.517499999999998</v>
      </c>
      <c r="T21" s="28"/>
      <c r="U21" s="28"/>
      <c r="V21" s="25">
        <f t="shared" si="0"/>
        <v>2923.2458940000001</v>
      </c>
      <c r="W21" s="28">
        <f>IF('[5]Calculo ISR '!$BK$34&gt;0,0,('[5]Calculo ISR '!$BK$34)*-1)</f>
        <v>0</v>
      </c>
      <c r="X21" s="25">
        <f t="shared" si="6"/>
        <v>2931.0791060000001</v>
      </c>
      <c r="Y21" s="25">
        <f t="shared" si="1"/>
        <v>356.68</v>
      </c>
      <c r="Z21" s="161"/>
      <c r="AA21" s="162"/>
    </row>
    <row r="22" spans="1:28" s="35" customFormat="1" ht="45" customHeight="1">
      <c r="A22" s="21" t="s">
        <v>52</v>
      </c>
      <c r="B22" s="33" t="s">
        <v>53</v>
      </c>
      <c r="C22" s="34">
        <v>19.5</v>
      </c>
      <c r="D22" s="34">
        <v>0</v>
      </c>
      <c r="E22" s="24">
        <v>305.5</v>
      </c>
      <c r="F22" s="24">
        <v>348.3</v>
      </c>
      <c r="G22" s="24">
        <f t="shared" si="2"/>
        <v>5957.25</v>
      </c>
      <c r="H22" s="24">
        <f t="shared" si="2"/>
        <v>0</v>
      </c>
      <c r="I22" s="25">
        <f t="shared" si="3"/>
        <v>5957.25</v>
      </c>
      <c r="J22" s="25">
        <f t="shared" si="4"/>
        <v>375.96000000000004</v>
      </c>
      <c r="K22" s="25">
        <f>(C22+D22)*I6</f>
        <v>213.52499999999998</v>
      </c>
      <c r="L22" s="25"/>
      <c r="M22" s="25"/>
      <c r="N22" s="25">
        <v>0</v>
      </c>
      <c r="O22" s="25">
        <f t="shared" si="5"/>
        <v>6546.7349999999997</v>
      </c>
      <c r="P22" s="27">
        <f>IF('[5]Calculo ISR '!$BL$34&lt;0,0,'[5]Calculo ISR '!$BL$34)</f>
        <v>770.88836400000002</v>
      </c>
      <c r="Q22" s="28">
        <f>I22*N6</f>
        <v>625.51125000000002</v>
      </c>
      <c r="R22" s="28">
        <f>'[5]HT-DOCENTE'!P21</f>
        <v>0</v>
      </c>
      <c r="S22" s="28">
        <f>I22*T6</f>
        <v>59.572499999999998</v>
      </c>
      <c r="T22" s="28"/>
      <c r="U22" s="28"/>
      <c r="V22" s="25">
        <f t="shared" si="0"/>
        <v>1455.9721139999999</v>
      </c>
      <c r="W22" s="28">
        <f>IF('[5]Calculo ISR '!$BL$34&gt;0,0,('[5]Calculo ISR '!$BL$34)*-1)</f>
        <v>0</v>
      </c>
      <c r="X22" s="25">
        <f t="shared" si="6"/>
        <v>4714.8028859999995</v>
      </c>
      <c r="Y22" s="25">
        <f t="shared" si="1"/>
        <v>375.96000000000004</v>
      </c>
      <c r="Z22" s="161"/>
      <c r="AA22" s="162"/>
    </row>
    <row r="23" spans="1:28" s="35" customFormat="1" ht="45" customHeight="1">
      <c r="A23" s="21" t="s">
        <v>54</v>
      </c>
      <c r="B23" s="33" t="s">
        <v>55</v>
      </c>
      <c r="C23" s="34">
        <v>19.5</v>
      </c>
      <c r="D23" s="34">
        <v>0</v>
      </c>
      <c r="E23" s="24">
        <v>305.5</v>
      </c>
      <c r="F23" s="24">
        <v>348.3</v>
      </c>
      <c r="G23" s="24">
        <f t="shared" si="2"/>
        <v>5957.25</v>
      </c>
      <c r="H23" s="24">
        <f t="shared" si="2"/>
        <v>0</v>
      </c>
      <c r="I23" s="25">
        <f t="shared" si="3"/>
        <v>5957.25</v>
      </c>
      <c r="J23" s="25">
        <f t="shared" si="4"/>
        <v>375.96000000000004</v>
      </c>
      <c r="K23" s="25">
        <f>(C23+D23)*I6</f>
        <v>213.52499999999998</v>
      </c>
      <c r="L23" s="25"/>
      <c r="M23" s="25"/>
      <c r="N23" s="25">
        <v>0</v>
      </c>
      <c r="O23" s="25">
        <f t="shared" si="5"/>
        <v>6546.7349999999997</v>
      </c>
      <c r="P23" s="27">
        <f>IF('[5]Calculo ISR '!$BM$34&lt;0,0,'[5]Calculo ISR '!$BM$34)</f>
        <v>770.88836400000002</v>
      </c>
      <c r="Q23" s="28">
        <f>I23*N6</f>
        <v>625.51125000000002</v>
      </c>
      <c r="R23" s="28">
        <v>1324</v>
      </c>
      <c r="S23" s="28">
        <f>I23*T6</f>
        <v>59.572499999999998</v>
      </c>
      <c r="T23" s="28">
        <f>'[5]HT-DOCENTE'!R22</f>
        <v>0</v>
      </c>
      <c r="U23" s="28"/>
      <c r="V23" s="25">
        <f t="shared" si="0"/>
        <v>2779.9721140000001</v>
      </c>
      <c r="W23" s="28">
        <f>IF('[5]Calculo ISR '!$BM$34&gt;0,0,('[5]Calculo ISR '!$BM$34)*-1)</f>
        <v>0</v>
      </c>
      <c r="X23" s="25">
        <f t="shared" si="6"/>
        <v>3390.8028859999995</v>
      </c>
      <c r="Y23" s="25">
        <f t="shared" si="1"/>
        <v>375.96000000000004</v>
      </c>
      <c r="Z23" s="161"/>
      <c r="AA23" s="162"/>
    </row>
    <row r="24" spans="1:28" s="35" customFormat="1" ht="45" customHeight="1">
      <c r="A24" s="21" t="s">
        <v>56</v>
      </c>
      <c r="B24" s="33" t="s">
        <v>57</v>
      </c>
      <c r="C24" s="34">
        <v>19</v>
      </c>
      <c r="D24" s="34">
        <v>0</v>
      </c>
      <c r="E24" s="24">
        <v>305.5</v>
      </c>
      <c r="F24" s="24">
        <v>348.3</v>
      </c>
      <c r="G24" s="24">
        <f t="shared" si="2"/>
        <v>5804.5</v>
      </c>
      <c r="H24" s="24">
        <f t="shared" si="2"/>
        <v>0</v>
      </c>
      <c r="I24" s="25">
        <f t="shared" si="3"/>
        <v>5804.5</v>
      </c>
      <c r="J24" s="25">
        <f t="shared" si="4"/>
        <v>366.32000000000005</v>
      </c>
      <c r="K24" s="25">
        <f>(C24+D24)*I6</f>
        <v>208.04999999999998</v>
      </c>
      <c r="L24" s="25">
        <f>(C24+D24)*E7</f>
        <v>423.7</v>
      </c>
      <c r="M24" s="25"/>
      <c r="N24" s="25">
        <v>0</v>
      </c>
      <c r="O24" s="25">
        <f t="shared" si="5"/>
        <v>6802.57</v>
      </c>
      <c r="P24" s="27">
        <f>IF('[5]Calculo ISR '!$BN$34&lt;0,0,'[5]Calculo ISR '!$BN$34)</f>
        <v>827.59382400000004</v>
      </c>
      <c r="Q24" s="28">
        <f>I24*N6</f>
        <v>609.47249999999997</v>
      </c>
      <c r="R24" s="28">
        <f>'[5]HT-DOCENTE'!P23</f>
        <v>0</v>
      </c>
      <c r="S24" s="28">
        <f>I24*T6</f>
        <v>58.045000000000002</v>
      </c>
      <c r="T24" s="28">
        <f>'[5]HT-DOCENTE'!R23</f>
        <v>0</v>
      </c>
      <c r="U24" s="28"/>
      <c r="V24" s="25">
        <f t="shared" si="0"/>
        <v>1495.111324</v>
      </c>
      <c r="W24" s="28">
        <f>IF('[5]Calculo ISR '!$BN$34&gt;0,0,('[5]Calculo ISR '!$BN$34)*-1)</f>
        <v>0</v>
      </c>
      <c r="X24" s="25">
        <f t="shared" si="6"/>
        <v>4941.1386760000005</v>
      </c>
      <c r="Y24" s="25">
        <f t="shared" si="1"/>
        <v>366.32000000000005</v>
      </c>
      <c r="Z24" s="161"/>
      <c r="AA24" s="162"/>
    </row>
    <row r="25" spans="1:28" s="35" customFormat="1" ht="45" customHeight="1">
      <c r="A25" s="21" t="s">
        <v>58</v>
      </c>
      <c r="B25" s="33" t="s">
        <v>59</v>
      </c>
      <c r="C25" s="34">
        <v>11</v>
      </c>
      <c r="D25" s="34">
        <v>0</v>
      </c>
      <c r="E25" s="24">
        <v>305.5</v>
      </c>
      <c r="F25" s="24">
        <v>348.3</v>
      </c>
      <c r="G25" s="24">
        <f t="shared" si="2"/>
        <v>3360.5</v>
      </c>
      <c r="H25" s="24">
        <f t="shared" si="2"/>
        <v>0</v>
      </c>
      <c r="I25" s="25">
        <f t="shared" si="3"/>
        <v>3360.5</v>
      </c>
      <c r="J25" s="25">
        <f t="shared" si="4"/>
        <v>212.08</v>
      </c>
      <c r="K25" s="25">
        <f>(C25+D25)*I6</f>
        <v>120.44999999999999</v>
      </c>
      <c r="L25" s="25"/>
      <c r="M25" s="25"/>
      <c r="N25" s="25"/>
      <c r="O25" s="25">
        <f>SUM(I25:N25)</f>
        <v>3693.0299999999997</v>
      </c>
      <c r="P25" s="27">
        <f>IF('[5]Calculo ISR '!$BO$34&lt;0,0,'[5]Calculo ISR '!$BO$34)</f>
        <v>149.54427199999995</v>
      </c>
      <c r="Q25" s="28">
        <f>I25*N6</f>
        <v>352.85249999999996</v>
      </c>
      <c r="R25" s="28">
        <v>707</v>
      </c>
      <c r="S25" s="28">
        <f>I25*T6</f>
        <v>33.605000000000004</v>
      </c>
      <c r="T25" s="28"/>
      <c r="U25" s="28"/>
      <c r="V25" s="25">
        <f>P25+Q25+R25+S25+U25+T25</f>
        <v>1243.0017720000001</v>
      </c>
      <c r="W25" s="28">
        <f>IF('[5]Calculo ISR '!$BO$34&gt;0,0,('[5]Calculo ISR '!$BO$34)*-1)</f>
        <v>0</v>
      </c>
      <c r="X25" s="25">
        <f>O25-V25-Y25+W25</f>
        <v>2237.9482279999997</v>
      </c>
      <c r="Y25" s="25">
        <f t="shared" si="1"/>
        <v>212.08</v>
      </c>
      <c r="Z25" s="161"/>
      <c r="AA25" s="162"/>
    </row>
    <row r="26" spans="1:28" s="35" customFormat="1" ht="45" customHeight="1">
      <c r="A26" s="21" t="s">
        <v>60</v>
      </c>
      <c r="B26" s="33" t="s">
        <v>100</v>
      </c>
      <c r="C26" s="34">
        <v>18.5</v>
      </c>
      <c r="D26" s="34"/>
      <c r="E26" s="24">
        <v>305.5</v>
      </c>
      <c r="F26" s="24">
        <v>348.3</v>
      </c>
      <c r="G26" s="24">
        <f t="shared" si="2"/>
        <v>5651.75</v>
      </c>
      <c r="H26" s="24">
        <f t="shared" si="2"/>
        <v>0</v>
      </c>
      <c r="I26" s="25">
        <f t="shared" si="3"/>
        <v>5651.75</v>
      </c>
      <c r="J26" s="25">
        <f t="shared" si="4"/>
        <v>356.68</v>
      </c>
      <c r="K26" s="25">
        <f>(C26+D26)*I6</f>
        <v>202.57499999999999</v>
      </c>
      <c r="L26" s="25"/>
      <c r="M26" s="25"/>
      <c r="N26" s="25"/>
      <c r="O26" s="25">
        <f t="shared" si="5"/>
        <v>6211.0050000000001</v>
      </c>
      <c r="P26" s="27">
        <f>IF('[5]Calculo ISR '!$BP$34&lt;0,0,'[5]Calculo ISR '!$BP$34)</f>
        <v>703.29464400000006</v>
      </c>
      <c r="Q26" s="28">
        <f>I26*N6</f>
        <v>593.43375000000003</v>
      </c>
      <c r="R26" s="28"/>
      <c r="S26" s="28"/>
      <c r="T26" s="28"/>
      <c r="U26" s="28"/>
      <c r="V26" s="25">
        <f>P26+Q26+R26+S26+T26+U26</f>
        <v>1296.7283940000002</v>
      </c>
      <c r="W26" s="28">
        <f>IF('[5]Calculo ISR '!$BP$34&gt;0,0,('[5]Calculo ISR '!$BP$34)*-1)</f>
        <v>0</v>
      </c>
      <c r="X26" s="25">
        <f>O26-V26-Y26+W26</f>
        <v>4557.5966059999992</v>
      </c>
      <c r="Y26" s="25">
        <f t="shared" si="1"/>
        <v>356.68</v>
      </c>
      <c r="Z26" s="161"/>
      <c r="AA26" s="162"/>
    </row>
    <row r="27" spans="1:28" s="35" customFormat="1" ht="45" customHeight="1">
      <c r="A27" s="21" t="s">
        <v>62</v>
      </c>
      <c r="B27" s="33" t="s">
        <v>63</v>
      </c>
      <c r="C27" s="34">
        <v>17.5</v>
      </c>
      <c r="D27" s="34">
        <v>0</v>
      </c>
      <c r="E27" s="24">
        <v>305.5</v>
      </c>
      <c r="F27" s="24">
        <v>348.3</v>
      </c>
      <c r="G27" s="24">
        <f t="shared" si="2"/>
        <v>5346.25</v>
      </c>
      <c r="H27" s="24">
        <f t="shared" si="2"/>
        <v>0</v>
      </c>
      <c r="I27" s="25">
        <f t="shared" si="3"/>
        <v>5346.25</v>
      </c>
      <c r="J27" s="25">
        <f t="shared" si="4"/>
        <v>337.40000000000003</v>
      </c>
      <c r="K27" s="25">
        <f>(C27+D27)*I6</f>
        <v>191.625</v>
      </c>
      <c r="L27" s="25"/>
      <c r="M27" s="25"/>
      <c r="N27" s="25">
        <v>0</v>
      </c>
      <c r="O27" s="25">
        <f t="shared" si="5"/>
        <v>5875.2749999999996</v>
      </c>
      <c r="P27" s="27">
        <f>IF('[5]Calculo ISR '!$BQ$34&lt;0,0,'[5]Calculo ISR '!$BQ$34)</f>
        <v>635.7009240000001</v>
      </c>
      <c r="Q27" s="28">
        <f>I27*N6</f>
        <v>561.35624999999993</v>
      </c>
      <c r="R27" s="28"/>
      <c r="S27" s="28">
        <f>I27*T6</f>
        <v>53.462499999999999</v>
      </c>
      <c r="T27" s="28"/>
      <c r="U27" s="28"/>
      <c r="V27" s="25">
        <f>P27+Q27+R27+S27+T27+U27</f>
        <v>1250.5196740000001</v>
      </c>
      <c r="W27" s="28">
        <f>IF('[5]Calculo ISR '!$BQ$34&gt;0,0,('[5]Calculo ISR '!$BQ$34)*-1)</f>
        <v>0</v>
      </c>
      <c r="X27" s="25">
        <f>O27-V27+W27-Y27</f>
        <v>4287.3553259999999</v>
      </c>
      <c r="Y27" s="25">
        <f t="shared" si="1"/>
        <v>337.40000000000003</v>
      </c>
      <c r="Z27" s="161"/>
      <c r="AA27" s="162"/>
    </row>
    <row r="28" spans="1:28" s="35" customFormat="1" ht="45" customHeight="1">
      <c r="A28" s="21" t="s">
        <v>64</v>
      </c>
      <c r="B28" s="33" t="s">
        <v>65</v>
      </c>
      <c r="C28" s="34">
        <v>17</v>
      </c>
      <c r="D28" s="34">
        <v>0</v>
      </c>
      <c r="E28" s="24">
        <v>305.5</v>
      </c>
      <c r="F28" s="24">
        <v>348.3</v>
      </c>
      <c r="G28" s="24">
        <f t="shared" si="2"/>
        <v>5193.5</v>
      </c>
      <c r="H28" s="24">
        <f t="shared" si="2"/>
        <v>0</v>
      </c>
      <c r="I28" s="25">
        <f t="shared" si="3"/>
        <v>5193.5</v>
      </c>
      <c r="J28" s="25">
        <f t="shared" si="4"/>
        <v>327.76</v>
      </c>
      <c r="K28" s="25">
        <f>(C28+D28)*I6</f>
        <v>186.14999999999998</v>
      </c>
      <c r="L28" s="25"/>
      <c r="M28" s="25"/>
      <c r="N28" s="25">
        <v>0</v>
      </c>
      <c r="O28" s="25">
        <f>SUM(I28:N28)</f>
        <v>5707.41</v>
      </c>
      <c r="P28" s="27">
        <f>IF('[5]Calculo ISR '!$BR$34&lt;0,0,'[5]Calculo ISR '!$BR$34)</f>
        <v>601.90406400000006</v>
      </c>
      <c r="Q28" s="28">
        <f>I28*N6</f>
        <v>545.3175</v>
      </c>
      <c r="R28" s="28"/>
      <c r="S28" s="28"/>
      <c r="T28" s="28"/>
      <c r="U28" s="28"/>
      <c r="V28" s="25">
        <f t="shared" ref="V28:V31" si="7">P28+Q28+R28+S28+T28+U28</f>
        <v>1147.2215639999999</v>
      </c>
      <c r="W28" s="28">
        <f>IF('[5]Calculo ISR '!$BR$34&gt;0,0,('[5]Calculo ISR '!$BR$34)*-1)</f>
        <v>0</v>
      </c>
      <c r="X28" s="25">
        <f t="shared" ref="X28:X36" si="8">O28-V28+W28-Y28</f>
        <v>4232.4284360000001</v>
      </c>
      <c r="Y28" s="25">
        <f t="shared" si="1"/>
        <v>327.76</v>
      </c>
      <c r="Z28" s="161"/>
      <c r="AA28" s="162"/>
    </row>
    <row r="29" spans="1:28" s="35" customFormat="1" ht="45" customHeight="1">
      <c r="A29" s="21" t="s">
        <v>66</v>
      </c>
      <c r="B29" s="36" t="s">
        <v>67</v>
      </c>
      <c r="C29" s="34">
        <v>11.5</v>
      </c>
      <c r="D29" s="34">
        <v>0</v>
      </c>
      <c r="E29" s="24">
        <v>305.5</v>
      </c>
      <c r="F29" s="24">
        <v>348.3</v>
      </c>
      <c r="G29" s="24">
        <f t="shared" si="2"/>
        <v>3513.25</v>
      </c>
      <c r="H29" s="24">
        <f t="shared" si="2"/>
        <v>0</v>
      </c>
      <c r="I29" s="25">
        <f t="shared" si="3"/>
        <v>3513.25</v>
      </c>
      <c r="J29" s="25">
        <f t="shared" si="4"/>
        <v>221.72000000000003</v>
      </c>
      <c r="K29" s="25">
        <f>(C29+D29)*I6</f>
        <v>125.925</v>
      </c>
      <c r="L29" s="25"/>
      <c r="M29" s="25"/>
      <c r="N29" s="25">
        <v>0</v>
      </c>
      <c r="O29" s="25">
        <f t="shared" si="5"/>
        <v>3860.8950000000004</v>
      </c>
      <c r="P29" s="27">
        <f>IF('[5]Calculo ISR '!$BS$34&lt;0,0,'[5]Calculo ISR '!$BS$34)</f>
        <v>184.45915199999999</v>
      </c>
      <c r="Q29" s="28">
        <f>I29*N6</f>
        <v>368.89125000000001</v>
      </c>
      <c r="R29" s="28"/>
      <c r="S29" s="28"/>
      <c r="T29" s="28"/>
      <c r="U29" s="28"/>
      <c r="V29" s="25">
        <f t="shared" si="7"/>
        <v>553.35040200000003</v>
      </c>
      <c r="W29" s="28">
        <f>IF('[5]Calculo ISR '!$BS$34&gt;0,0,('[5]Calculo ISR '!$BS$34)*-1)</f>
        <v>0</v>
      </c>
      <c r="X29" s="25">
        <f t="shared" si="8"/>
        <v>3085.8245980000002</v>
      </c>
      <c r="Y29" s="25">
        <f t="shared" si="1"/>
        <v>221.72000000000003</v>
      </c>
      <c r="Z29" s="161"/>
      <c r="AA29" s="162"/>
    </row>
    <row r="30" spans="1:28" s="35" customFormat="1" ht="45" customHeight="1">
      <c r="A30" s="21" t="s">
        <v>68</v>
      </c>
      <c r="B30" s="33" t="s">
        <v>69</v>
      </c>
      <c r="C30" s="34">
        <v>10.5</v>
      </c>
      <c r="D30" s="34">
        <v>0</v>
      </c>
      <c r="E30" s="24">
        <v>305.5</v>
      </c>
      <c r="F30" s="24">
        <v>348.3</v>
      </c>
      <c r="G30" s="24">
        <f t="shared" si="2"/>
        <v>3207.75</v>
      </c>
      <c r="H30" s="24">
        <f t="shared" si="2"/>
        <v>0</v>
      </c>
      <c r="I30" s="25">
        <f t="shared" si="3"/>
        <v>3207.75</v>
      </c>
      <c r="J30" s="25">
        <f t="shared" si="4"/>
        <v>202.44</v>
      </c>
      <c r="K30" s="25">
        <f>(C30+D30)*I6</f>
        <v>114.97499999999999</v>
      </c>
      <c r="L30" s="25"/>
      <c r="M30" s="25"/>
      <c r="N30" s="25">
        <v>0</v>
      </c>
      <c r="O30" s="25">
        <f t="shared" si="5"/>
        <v>3525.165</v>
      </c>
      <c r="P30" s="27">
        <f>IF('[5]Calculo ISR '!$BT$34&lt;0,0,'[5]Calculo ISR '!$BT$34)</f>
        <v>132.32939199999996</v>
      </c>
      <c r="Q30" s="28">
        <f>I30*N6</f>
        <v>336.81374999999997</v>
      </c>
      <c r="R30" s="28"/>
      <c r="S30" s="28"/>
      <c r="T30" s="28"/>
      <c r="U30" s="28"/>
      <c r="V30" s="25">
        <f>P30+Q30+R30+S30+T30+U30</f>
        <v>469.1431419999999</v>
      </c>
      <c r="W30" s="28">
        <f>IF('[5]Calculo ISR '!$BT$34&gt;0,0,('[5]Calculo ISR '!$BT$34)*-1)</f>
        <v>0</v>
      </c>
      <c r="X30" s="25">
        <f>O30-V30+W30-Y30</f>
        <v>2853.581858</v>
      </c>
      <c r="Y30" s="25">
        <f t="shared" si="1"/>
        <v>202.44</v>
      </c>
      <c r="Z30" s="161"/>
      <c r="AA30" s="162"/>
    </row>
    <row r="31" spans="1:28" s="35" customFormat="1" ht="45" customHeight="1">
      <c r="A31" s="21" t="s">
        <v>70</v>
      </c>
      <c r="B31" s="33" t="s">
        <v>71</v>
      </c>
      <c r="C31" s="34">
        <v>7.5</v>
      </c>
      <c r="D31" s="34">
        <v>0</v>
      </c>
      <c r="E31" s="24">
        <v>305.5</v>
      </c>
      <c r="F31" s="24">
        <v>348.3</v>
      </c>
      <c r="G31" s="24">
        <f t="shared" si="2"/>
        <v>2291.25</v>
      </c>
      <c r="H31" s="24">
        <f t="shared" si="2"/>
        <v>0</v>
      </c>
      <c r="I31" s="25">
        <f t="shared" si="3"/>
        <v>2291.25</v>
      </c>
      <c r="J31" s="25">
        <f t="shared" si="4"/>
        <v>144.60000000000002</v>
      </c>
      <c r="K31" s="25">
        <f>(C31+D31)*I6</f>
        <v>82.125</v>
      </c>
      <c r="L31" s="25"/>
      <c r="M31" s="25"/>
      <c r="N31" s="25">
        <v>0</v>
      </c>
      <c r="O31" s="25">
        <f>SUM(I31:N31)</f>
        <v>2517.9749999999999</v>
      </c>
      <c r="P31" s="27">
        <f>IF('[5]Calculo ISR '!$BU$34&lt;0,0,'[5]Calculo ISR '!$BU$34)</f>
        <v>0</v>
      </c>
      <c r="Q31" s="28">
        <f>I31*N6</f>
        <v>240.58124999999998</v>
      </c>
      <c r="R31" s="28"/>
      <c r="S31" s="28"/>
      <c r="T31" s="28"/>
      <c r="U31" s="28"/>
      <c r="V31" s="25">
        <f t="shared" si="7"/>
        <v>240.58124999999998</v>
      </c>
      <c r="W31" s="28">
        <f>IF('[5]Calculo ISR '!$BU$34&gt;0,0,('[5]Calculo ISR '!$BU$34)*-1)</f>
        <v>6.2098880000000065</v>
      </c>
      <c r="X31" s="25">
        <f t="shared" si="8"/>
        <v>2139.0036379999997</v>
      </c>
      <c r="Y31" s="25">
        <f t="shared" si="1"/>
        <v>144.60000000000002</v>
      </c>
      <c r="Z31" s="161"/>
      <c r="AA31" s="162"/>
    </row>
    <row r="32" spans="1:28" s="35" customFormat="1" ht="45" customHeight="1">
      <c r="A32" s="21" t="s">
        <v>72</v>
      </c>
      <c r="B32" s="33" t="s">
        <v>73</v>
      </c>
      <c r="C32" s="34">
        <v>10</v>
      </c>
      <c r="D32" s="34">
        <v>0</v>
      </c>
      <c r="E32" s="24">
        <v>305.5</v>
      </c>
      <c r="F32" s="24">
        <v>348.3</v>
      </c>
      <c r="G32" s="24">
        <f t="shared" si="2"/>
        <v>3055</v>
      </c>
      <c r="H32" s="24">
        <f t="shared" si="2"/>
        <v>0</v>
      </c>
      <c r="I32" s="25">
        <f t="shared" si="3"/>
        <v>3055</v>
      </c>
      <c r="J32" s="25">
        <f t="shared" si="4"/>
        <v>192.8</v>
      </c>
      <c r="K32" s="25">
        <f>(C32+D32)*I6</f>
        <v>109.5</v>
      </c>
      <c r="L32" s="25"/>
      <c r="M32" s="25"/>
      <c r="N32" s="25"/>
      <c r="O32" s="25">
        <f t="shared" si="5"/>
        <v>3357.3</v>
      </c>
      <c r="P32" s="27">
        <f>IF('[5]Calculo ISR '!$BV$34&lt;0,0,'[5]Calculo ISR '!$BV$34)</f>
        <v>115.11451199999996</v>
      </c>
      <c r="Q32" s="28">
        <f>I32*N6</f>
        <v>320.77499999999998</v>
      </c>
      <c r="R32" s="28"/>
      <c r="S32" s="28"/>
      <c r="T32" s="28"/>
      <c r="U32" s="28"/>
      <c r="V32" s="25">
        <f>P32+Q32+R32+S32+T32+U32</f>
        <v>435.88951199999997</v>
      </c>
      <c r="W32" s="28">
        <f>IF('[5]Calculo ISR '!$BV$34&gt;0,0,('[5]Calculo ISR '!$BV$34)*-1)</f>
        <v>0</v>
      </c>
      <c r="X32" s="25">
        <f t="shared" si="8"/>
        <v>2728.6104880000003</v>
      </c>
      <c r="Y32" s="25">
        <f t="shared" si="1"/>
        <v>192.8</v>
      </c>
      <c r="Z32" s="184"/>
      <c r="AA32" s="185"/>
      <c r="AB32" s="70"/>
    </row>
    <row r="33" spans="1:31" s="35" customFormat="1" ht="45" customHeight="1">
      <c r="A33" s="21" t="s">
        <v>94</v>
      </c>
      <c r="B33" s="33" t="s">
        <v>101</v>
      </c>
      <c r="C33" s="34">
        <v>10</v>
      </c>
      <c r="D33" s="34">
        <v>0</v>
      </c>
      <c r="E33" s="24">
        <v>305.5</v>
      </c>
      <c r="F33" s="24">
        <v>348.3</v>
      </c>
      <c r="G33" s="24">
        <f t="shared" si="2"/>
        <v>3055</v>
      </c>
      <c r="H33" s="24">
        <f t="shared" si="2"/>
        <v>0</v>
      </c>
      <c r="I33" s="25">
        <f t="shared" si="3"/>
        <v>3055</v>
      </c>
      <c r="J33" s="25">
        <f t="shared" si="4"/>
        <v>192.8</v>
      </c>
      <c r="K33" s="25">
        <f>(C33+D33)*I6</f>
        <v>109.5</v>
      </c>
      <c r="L33" s="25"/>
      <c r="M33" s="25"/>
      <c r="N33" s="25"/>
      <c r="O33" s="25">
        <f t="shared" si="5"/>
        <v>3357.3</v>
      </c>
      <c r="P33" s="27">
        <f>IF('[5]Calculo ISR '!$BW$34&lt;0,0,'[5]Calculo ISR '!$BW$34)</f>
        <v>115.11451199999996</v>
      </c>
      <c r="Q33" s="28">
        <v>320.77</v>
      </c>
      <c r="R33" s="28"/>
      <c r="S33" s="28"/>
      <c r="T33" s="28"/>
      <c r="U33" s="28"/>
      <c r="V33" s="25">
        <f>P33+Q33+R33+S33+T33+U33</f>
        <v>435.88451199999997</v>
      </c>
      <c r="W33" s="28">
        <f>IF('[5]Calculo ISR '!$BW$34&gt;0,0,('[5]Calculo ISR '!$BW$34)*-1)</f>
        <v>0</v>
      </c>
      <c r="X33" s="25">
        <f t="shared" si="8"/>
        <v>2728.6154879999999</v>
      </c>
      <c r="Y33" s="71">
        <f t="shared" si="1"/>
        <v>192.8</v>
      </c>
      <c r="Z33" s="72"/>
      <c r="AA33" s="73"/>
      <c r="AB33" s="70"/>
    </row>
    <row r="34" spans="1:31" s="35" customFormat="1" ht="45" customHeight="1">
      <c r="A34" s="21" t="s">
        <v>96</v>
      </c>
      <c r="B34" s="33" t="s">
        <v>102</v>
      </c>
      <c r="C34" s="34">
        <v>7.5</v>
      </c>
      <c r="D34" s="34">
        <v>0</v>
      </c>
      <c r="E34" s="24">
        <v>305.5</v>
      </c>
      <c r="F34" s="24">
        <v>348.3</v>
      </c>
      <c r="G34" s="24">
        <f t="shared" si="2"/>
        <v>2291.25</v>
      </c>
      <c r="H34" s="24">
        <f t="shared" si="2"/>
        <v>0</v>
      </c>
      <c r="I34" s="25">
        <f t="shared" si="3"/>
        <v>2291.25</v>
      </c>
      <c r="J34" s="25">
        <f t="shared" si="4"/>
        <v>144.60000000000002</v>
      </c>
      <c r="K34" s="25">
        <f>(C34+D34)*I6</f>
        <v>82.125</v>
      </c>
      <c r="L34" s="25"/>
      <c r="M34" s="25"/>
      <c r="N34" s="25"/>
      <c r="O34" s="25">
        <f t="shared" si="5"/>
        <v>2517.9749999999999</v>
      </c>
      <c r="P34" s="27">
        <f>IF('[5]Calculo ISR '!$BX$34&lt;0,0,'[5]Calculo ISR '!$BX$34)</f>
        <v>0</v>
      </c>
      <c r="Q34" s="28">
        <v>240.58</v>
      </c>
      <c r="R34" s="28"/>
      <c r="S34" s="28"/>
      <c r="T34" s="28"/>
      <c r="U34" s="28"/>
      <c r="V34" s="25">
        <f>P34+Q34+R34+S34+T34+U34</f>
        <v>240.58</v>
      </c>
      <c r="W34" s="28">
        <f>IF('[5]Calculo ISR '!$BX$34&gt;0,0,('[5]Calculo ISR '!$BX$34)*-1)</f>
        <v>6.2098880000000065</v>
      </c>
      <c r="X34" s="25">
        <f t="shared" si="8"/>
        <v>2139.0048879999999</v>
      </c>
      <c r="Y34" s="71">
        <f t="shared" si="1"/>
        <v>144.60000000000002</v>
      </c>
      <c r="Z34" s="72"/>
      <c r="AA34" s="73"/>
      <c r="AB34" s="70"/>
    </row>
    <row r="35" spans="1:31" s="35" customFormat="1" ht="45" customHeight="1">
      <c r="A35" s="21" t="s">
        <v>103</v>
      </c>
      <c r="B35" s="33" t="s">
        <v>104</v>
      </c>
      <c r="C35" s="34">
        <v>5</v>
      </c>
      <c r="D35" s="34">
        <v>0</v>
      </c>
      <c r="E35" s="24">
        <v>305.5</v>
      </c>
      <c r="F35" s="24">
        <v>348.3</v>
      </c>
      <c r="G35" s="24">
        <f t="shared" si="2"/>
        <v>1527.5</v>
      </c>
      <c r="H35" s="24">
        <f t="shared" si="2"/>
        <v>0</v>
      </c>
      <c r="I35" s="25">
        <f t="shared" si="3"/>
        <v>1527.5</v>
      </c>
      <c r="J35" s="25">
        <f t="shared" si="4"/>
        <v>96.4</v>
      </c>
      <c r="K35" s="25">
        <f>(C35+D35)*I6</f>
        <v>54.75</v>
      </c>
      <c r="L35" s="25"/>
      <c r="M35" s="25"/>
      <c r="N35" s="25"/>
      <c r="O35" s="25">
        <f t="shared" si="5"/>
        <v>1678.65</v>
      </c>
      <c r="P35" s="27">
        <f>IF('[5]Calculo ISR '!$BX$34&lt;0,0,'[5]Calculo ISR '!$BX$34)</f>
        <v>0</v>
      </c>
      <c r="Q35" s="28">
        <v>160.38999999999999</v>
      </c>
      <c r="R35" s="28"/>
      <c r="S35" s="28"/>
      <c r="T35" s="28"/>
      <c r="U35" s="28"/>
      <c r="V35" s="25">
        <f t="shared" ref="V35:V36" si="9">P35+Q35+R35+S35+T35+U35</f>
        <v>160.38999999999999</v>
      </c>
      <c r="W35" s="28">
        <f>IF('[5]Calculo ISR '!$BY$34&gt;0,0,('[5]Calculo ISR '!$BY$34)*-1)</f>
        <v>110.45383999999997</v>
      </c>
      <c r="X35" s="25">
        <f t="shared" si="8"/>
        <v>1532.31384</v>
      </c>
      <c r="Y35" s="25">
        <f t="shared" si="1"/>
        <v>96.4</v>
      </c>
      <c r="Z35" s="72"/>
      <c r="AA35" s="73"/>
      <c r="AB35" s="70"/>
    </row>
    <row r="36" spans="1:31" s="35" customFormat="1" ht="45" customHeight="1">
      <c r="A36" s="21" t="s">
        <v>105</v>
      </c>
      <c r="B36" s="33" t="s">
        <v>106</v>
      </c>
      <c r="C36" s="34">
        <v>5</v>
      </c>
      <c r="D36" s="34">
        <v>0</v>
      </c>
      <c r="E36" s="24">
        <v>305.5</v>
      </c>
      <c r="F36" s="24">
        <v>348.3</v>
      </c>
      <c r="G36" s="24">
        <f t="shared" si="2"/>
        <v>1527.5</v>
      </c>
      <c r="H36" s="24">
        <f t="shared" si="2"/>
        <v>0</v>
      </c>
      <c r="I36" s="25">
        <f t="shared" si="3"/>
        <v>1527.5</v>
      </c>
      <c r="J36" s="25">
        <f t="shared" si="4"/>
        <v>96.4</v>
      </c>
      <c r="K36" s="25">
        <f>(C36+D36)*I6</f>
        <v>54.75</v>
      </c>
      <c r="L36" s="25"/>
      <c r="M36" s="25"/>
      <c r="N36" s="25"/>
      <c r="O36" s="25">
        <f t="shared" si="5"/>
        <v>1678.65</v>
      </c>
      <c r="P36" s="27">
        <f>IF('[5]Calculo ISR '!$BX$34&lt;0,0,'[5]Calculo ISR '!$BX$34)</f>
        <v>0</v>
      </c>
      <c r="Q36" s="28">
        <v>160.38999999999999</v>
      </c>
      <c r="R36" s="28"/>
      <c r="S36" s="28"/>
      <c r="T36" s="28"/>
      <c r="U36" s="28"/>
      <c r="V36" s="25">
        <f t="shared" si="9"/>
        <v>160.38999999999999</v>
      </c>
      <c r="W36" s="28">
        <f>IF('[5]Calculo ISR '!$BZ$34&gt;0,0,('[5]Calculo ISR '!$BZ$34)*-1)</f>
        <v>110.45383999999997</v>
      </c>
      <c r="X36" s="25">
        <f t="shared" si="8"/>
        <v>1532.31384</v>
      </c>
      <c r="Y36" s="25">
        <f t="shared" si="1"/>
        <v>96.4</v>
      </c>
      <c r="Z36" s="72"/>
      <c r="AA36" s="73"/>
      <c r="AB36" s="70"/>
    </row>
    <row r="37" spans="1:31" s="2" customFormat="1" ht="30" customHeight="1" thickBot="1">
      <c r="A37" s="86"/>
      <c r="B37" s="38" t="s">
        <v>115</v>
      </c>
      <c r="C37" s="39">
        <f t="shared" ref="C37:Y37" si="10">SUM(C10:C36)</f>
        <v>324</v>
      </c>
      <c r="D37" s="39">
        <f t="shared" si="10"/>
        <v>37.5</v>
      </c>
      <c r="E37" s="40">
        <f t="shared" si="10"/>
        <v>8248.5</v>
      </c>
      <c r="F37" s="40">
        <f t="shared" si="10"/>
        <v>9404.1</v>
      </c>
      <c r="G37" s="40">
        <f t="shared" si="10"/>
        <v>98982</v>
      </c>
      <c r="H37" s="40">
        <f t="shared" si="10"/>
        <v>13061.25</v>
      </c>
      <c r="I37" s="40">
        <f t="shared" si="10"/>
        <v>112043.25</v>
      </c>
      <c r="J37" s="40">
        <f t="shared" si="10"/>
        <v>6969.72</v>
      </c>
      <c r="K37" s="40">
        <f t="shared" si="10"/>
        <v>3958.4250000000002</v>
      </c>
      <c r="L37" s="40">
        <f t="shared" si="10"/>
        <v>1650.2000000000003</v>
      </c>
      <c r="M37" s="40">
        <f t="shared" si="10"/>
        <v>590.54499999999996</v>
      </c>
      <c r="N37" s="40">
        <f t="shared" si="10"/>
        <v>0</v>
      </c>
      <c r="O37" s="40">
        <f t="shared" si="10"/>
        <v>125212.14000000001</v>
      </c>
      <c r="P37" s="40">
        <f t="shared" si="10"/>
        <v>11342.350696</v>
      </c>
      <c r="Q37" s="40">
        <f t="shared" si="10"/>
        <v>11764.539999999995</v>
      </c>
      <c r="R37" s="40">
        <f t="shared" si="10"/>
        <v>10920.4</v>
      </c>
      <c r="S37" s="40">
        <f t="shared" si="10"/>
        <v>807.29499999999996</v>
      </c>
      <c r="T37" s="40">
        <f t="shared" si="10"/>
        <v>0</v>
      </c>
      <c r="U37" s="74">
        <f t="shared" si="10"/>
        <v>305.5</v>
      </c>
      <c r="V37" s="40">
        <f t="shared" si="10"/>
        <v>35140.085696000009</v>
      </c>
      <c r="W37" s="40">
        <f t="shared" si="10"/>
        <v>467.0555359999999</v>
      </c>
      <c r="X37" s="40">
        <f t="shared" si="10"/>
        <v>83569.389840000003</v>
      </c>
      <c r="Y37" s="40">
        <f t="shared" si="10"/>
        <v>6969.72</v>
      </c>
      <c r="Z37" s="41"/>
      <c r="AA37" s="3"/>
      <c r="AB37" s="75"/>
      <c r="AC37" s="42"/>
    </row>
    <row r="38" spans="1:31" s="2" customFormat="1" ht="11.25" customHeight="1">
      <c r="A38" s="87"/>
      <c r="B38" s="44"/>
      <c r="C38" s="45"/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1"/>
      <c r="AA38" s="3"/>
      <c r="AB38" s="88"/>
    </row>
    <row r="39" spans="1:31" s="2" customFormat="1" ht="11.25" customHeight="1">
      <c r="A39" s="87"/>
      <c r="B39" s="44"/>
      <c r="C39" s="45"/>
      <c r="D39" s="45"/>
      <c r="E39" s="46"/>
      <c r="F39" s="46"/>
      <c r="G39" s="46"/>
      <c r="H39" s="46"/>
      <c r="I39" s="89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1"/>
      <c r="AA39" s="3"/>
      <c r="AB39" s="42"/>
    </row>
    <row r="40" spans="1:31" s="2" customFormat="1" ht="15" customHeight="1">
      <c r="A40" s="69"/>
      <c r="B40" s="48" t="s">
        <v>75</v>
      </c>
      <c r="C40" s="1"/>
      <c r="D40" s="1"/>
      <c r="E40" s="1"/>
      <c r="F40" s="1"/>
      <c r="H40" s="66" t="s">
        <v>76</v>
      </c>
      <c r="I40" s="64">
        <f>I37+'[5]HT-ADMINISTRATIVOS FIRMA '!E46</f>
        <v>313900.77437726827</v>
      </c>
      <c r="L40" s="66"/>
      <c r="M40" s="66"/>
      <c r="N40" s="66"/>
      <c r="O40" s="66"/>
      <c r="P40" s="49"/>
      <c r="Q40" s="50"/>
      <c r="R40" s="1"/>
      <c r="S40" s="1"/>
      <c r="T40" s="1"/>
      <c r="U40" s="1"/>
      <c r="V40" s="1" t="s">
        <v>77</v>
      </c>
      <c r="W40" s="1"/>
      <c r="X40" s="1"/>
      <c r="Y40" s="1"/>
      <c r="Z40" s="1"/>
      <c r="AB40" s="42"/>
      <c r="AE40" s="1"/>
    </row>
    <row r="41" spans="1:31" s="2" customFormat="1" hidden="1">
      <c r="A41" s="69"/>
      <c r="B41" s="1"/>
      <c r="C41" s="1"/>
      <c r="D41" s="1"/>
      <c r="E41" s="1"/>
      <c r="F41" s="1"/>
      <c r="G41" s="1"/>
      <c r="H41" s="1"/>
      <c r="K41" s="1"/>
      <c r="L41" s="1"/>
      <c r="M41" s="1"/>
      <c r="N41" s="1"/>
      <c r="O41" s="51"/>
      <c r="P41" s="51"/>
      <c r="Q41" s="51"/>
      <c r="R41" s="1"/>
      <c r="S41" s="1"/>
      <c r="T41" s="1"/>
      <c r="U41" s="1"/>
      <c r="V41" s="1"/>
      <c r="W41" s="1"/>
      <c r="X41" s="1"/>
      <c r="Y41" s="1"/>
      <c r="Z41" s="1"/>
      <c r="AB41" s="42"/>
      <c r="AE41" s="1"/>
    </row>
    <row r="42" spans="1:31" s="2" customFormat="1" hidden="1">
      <c r="A42" s="69"/>
      <c r="B42" s="1"/>
      <c r="C42" s="1"/>
      <c r="D42" s="1"/>
      <c r="E42" s="1"/>
      <c r="F42" s="1"/>
      <c r="G42" s="1"/>
      <c r="H42" s="1"/>
      <c r="K42" s="1"/>
      <c r="L42" s="1"/>
      <c r="M42" s="1"/>
      <c r="N42" s="1"/>
      <c r="O42" s="51"/>
      <c r="P42" s="51"/>
      <c r="Q42" s="51"/>
      <c r="R42" s="1"/>
      <c r="S42" s="1"/>
      <c r="T42" s="1"/>
      <c r="U42" s="1"/>
      <c r="V42" s="1"/>
      <c r="W42" s="1"/>
      <c r="X42" s="1"/>
      <c r="Y42" s="1"/>
      <c r="Z42" s="1"/>
      <c r="AB42" s="42"/>
      <c r="AE42" s="1"/>
    </row>
    <row r="43" spans="1:31" s="2" customFormat="1" hidden="1">
      <c r="A43" s="69"/>
      <c r="B43" s="1"/>
      <c r="C43" s="1"/>
      <c r="D43" s="1"/>
      <c r="E43" s="1"/>
      <c r="F43" s="1"/>
      <c r="G43" s="1"/>
      <c r="H43" s="1"/>
      <c r="K43" s="1"/>
      <c r="L43" s="1"/>
      <c r="M43" s="1"/>
      <c r="N43" s="1"/>
      <c r="O43" s="52"/>
      <c r="P43" s="52"/>
      <c r="Q43" s="52"/>
      <c r="R43" s="1"/>
      <c r="S43" s="3"/>
      <c r="T43" s="1"/>
      <c r="U43" s="1"/>
      <c r="V43" s="1"/>
      <c r="W43" s="1"/>
      <c r="X43" s="1"/>
      <c r="Y43" s="1"/>
      <c r="Z43" s="1"/>
      <c r="AE43" s="1"/>
    </row>
    <row r="44" spans="1:31" s="2" customFormat="1">
      <c r="A44" s="69"/>
      <c r="B44" s="48" t="s">
        <v>78</v>
      </c>
      <c r="C44" s="1"/>
      <c r="D44" s="1"/>
      <c r="E44" s="1"/>
      <c r="G44" s="53" t="s">
        <v>79</v>
      </c>
      <c r="H44" s="1"/>
      <c r="I44" s="42"/>
      <c r="L44" s="53"/>
      <c r="M44" s="53"/>
      <c r="N44" s="53"/>
      <c r="O44" s="53"/>
      <c r="P44" s="52"/>
      <c r="Q44" s="49"/>
      <c r="R44" s="1"/>
      <c r="S44" s="1"/>
      <c r="T44" s="1"/>
      <c r="U44" s="1"/>
      <c r="V44" s="53" t="s">
        <v>80</v>
      </c>
      <c r="W44" s="53"/>
      <c r="X44" s="53"/>
      <c r="Y44" s="53"/>
      <c r="Z44" s="1"/>
      <c r="AE44" s="1"/>
    </row>
    <row r="45" spans="1:31" ht="12.75" customHeight="1">
      <c r="B45" s="54" t="s">
        <v>81</v>
      </c>
      <c r="G45" s="53" t="s">
        <v>82</v>
      </c>
      <c r="L45" s="53"/>
      <c r="M45" s="53"/>
      <c r="N45" s="53"/>
      <c r="O45" s="53"/>
      <c r="P45" s="53"/>
      <c r="Q45" s="52"/>
      <c r="V45" s="181" t="s">
        <v>83</v>
      </c>
      <c r="W45" s="181"/>
      <c r="X45" s="181"/>
      <c r="Y45" s="55"/>
      <c r="AA45" s="3"/>
    </row>
    <row r="46" spans="1:31">
      <c r="AA46" s="3"/>
    </row>
    <row r="47" spans="1:31">
      <c r="R47" s="3"/>
      <c r="AA47" s="3"/>
    </row>
    <row r="48" spans="1:31">
      <c r="AA48" s="3"/>
    </row>
    <row r="49" spans="1:27">
      <c r="AA49" s="3"/>
    </row>
    <row r="50" spans="1:27">
      <c r="O50" s="6"/>
      <c r="AA50" s="3"/>
    </row>
    <row r="51" spans="1:27">
      <c r="AA51" s="3"/>
    </row>
    <row r="52" spans="1:27">
      <c r="AA52" s="3"/>
    </row>
    <row r="53" spans="1:27" s="56" customFormat="1">
      <c r="A53" s="6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7" s="56" customFormat="1">
      <c r="A54" s="6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7" s="57" customFormat="1">
      <c r="A55" s="6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7" s="57" customFormat="1">
      <c r="A56" s="6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7" s="57" customFormat="1">
      <c r="A57" s="6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7" s="57" customFormat="1">
      <c r="A58" s="6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7" s="57" customFormat="1">
      <c r="A59" s="6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7" s="57" customFormat="1">
      <c r="A60" s="6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6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7" s="57" customFormat="1">
      <c r="A61" s="6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7" s="57" customFormat="1">
      <c r="A62" s="6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7" s="57" customFormat="1">
      <c r="A63" s="6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7" s="57" customFormat="1">
      <c r="A64" s="6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6" spans="19:19">
      <c r="S66" s="3"/>
    </row>
  </sheetData>
  <mergeCells count="31">
    <mergeCell ref="V45:X45"/>
    <mergeCell ref="Z27:AA27"/>
    <mergeCell ref="Z28:AA28"/>
    <mergeCell ref="Z29:AA29"/>
    <mergeCell ref="Z30:AA30"/>
    <mergeCell ref="Z31:AA31"/>
    <mergeCell ref="Z32:AA32"/>
    <mergeCell ref="Z26:AA26"/>
    <mergeCell ref="Z15:AA15"/>
    <mergeCell ref="Z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Z14:AA14"/>
    <mergeCell ref="A8:A9"/>
    <mergeCell ref="B8:B9"/>
    <mergeCell ref="C8:I8"/>
    <mergeCell ref="J8:O8"/>
    <mergeCell ref="P8:V8"/>
    <mergeCell ref="W8:Y8"/>
    <mergeCell ref="Z9:AA9"/>
    <mergeCell ref="Z10:AA10"/>
    <mergeCell ref="Z11:AA11"/>
    <mergeCell ref="Z12:AA12"/>
    <mergeCell ref="Z13:AA13"/>
  </mergeCells>
  <pageMargins left="0.8" right="0.15748031496062992" top="0.47244094488188981" bottom="0.51181102362204722" header="0.31496062992125984" footer="0.31496062992125984"/>
  <pageSetup paperSize="5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69"/>
  <sheetViews>
    <sheetView topLeftCell="A3" zoomScale="80" zoomScaleNormal="80" zoomScaleSheetLayoutView="100" workbookViewId="0">
      <pane xSplit="2" ySplit="7" topLeftCell="C38" activePane="bottomRight" state="frozen"/>
      <selection activeCell="A3" sqref="A3"/>
      <selection pane="topRight" activeCell="C3" sqref="C3"/>
      <selection pane="bottomLeft" activeCell="A10" sqref="A10"/>
      <selection pane="bottomRight" activeCell="N52" sqref="N52"/>
    </sheetView>
  </sheetViews>
  <sheetFormatPr baseColWidth="10" defaultRowHeight="12.75"/>
  <cols>
    <col min="1" max="1" width="12.7109375" style="69" customWidth="1"/>
    <col min="2" max="2" width="31.5703125" style="1" customWidth="1"/>
    <col min="3" max="4" width="7.140625" style="1" customWidth="1"/>
    <col min="5" max="5" width="10.42578125" style="1" customWidth="1"/>
    <col min="6" max="6" width="11" style="1" customWidth="1"/>
    <col min="7" max="7" width="13.28515625" style="1" customWidth="1"/>
    <col min="8" max="8" width="10.85546875" style="1" customWidth="1"/>
    <col min="9" max="9" width="13" style="1" customWidth="1"/>
    <col min="10" max="10" width="10.5703125" style="1" customWidth="1"/>
    <col min="11" max="11" width="9.85546875" style="1" customWidth="1"/>
    <col min="12" max="12" width="10.140625" style="1" customWidth="1"/>
    <col min="13" max="13" width="8.42578125" style="1" customWidth="1"/>
    <col min="14" max="14" width="5" style="1" customWidth="1"/>
    <col min="15" max="15" width="12.42578125" style="1" customWidth="1"/>
    <col min="16" max="16" width="11" style="1" hidden="1" customWidth="1"/>
    <col min="17" max="17" width="10.85546875" style="1" hidden="1" customWidth="1"/>
    <col min="18" max="18" width="11.140625" style="1" hidden="1" customWidth="1"/>
    <col min="19" max="19" width="8.5703125" style="1" hidden="1" customWidth="1"/>
    <col min="20" max="20" width="6.7109375" style="1" hidden="1" customWidth="1"/>
    <col min="21" max="21" width="8.7109375" style="1" hidden="1" customWidth="1"/>
    <col min="22" max="22" width="14.42578125" style="1" customWidth="1"/>
    <col min="23" max="23" width="8.28515625" style="1" customWidth="1"/>
    <col min="24" max="24" width="13.85546875" style="1" customWidth="1"/>
    <col min="25" max="25" width="10.5703125" style="1" hidden="1" customWidth="1"/>
    <col min="26" max="26" width="31" style="1" hidden="1" customWidth="1"/>
    <col min="27" max="27" width="12.28515625" style="1" hidden="1" customWidth="1"/>
    <col min="28" max="16384" width="11.42578125" style="1"/>
  </cols>
  <sheetData>
    <row r="2" spans="1:27">
      <c r="B2" s="2" t="s">
        <v>0</v>
      </c>
    </row>
    <row r="3" spans="1:27">
      <c r="B3" s="2"/>
    </row>
    <row r="4" spans="1:27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7">
      <c r="C5" s="2"/>
      <c r="D5" s="2"/>
      <c r="E5" s="2"/>
      <c r="F5" s="2"/>
      <c r="G5" s="2"/>
      <c r="H5" s="65"/>
      <c r="I5" s="65"/>
      <c r="J5" s="65"/>
      <c r="K5" s="2"/>
      <c r="L5" s="2"/>
      <c r="M5" s="2"/>
      <c r="N5" s="2"/>
      <c r="O5" s="42"/>
      <c r="P5" s="2"/>
      <c r="Q5" s="2"/>
      <c r="R5" s="2"/>
      <c r="S5" s="2"/>
      <c r="T5" s="2"/>
      <c r="U5" s="2"/>
      <c r="V5" s="2"/>
      <c r="W5" s="2"/>
    </row>
    <row r="6" spans="1:27">
      <c r="B6" s="2"/>
      <c r="C6" s="2"/>
      <c r="D6" s="2"/>
      <c r="E6" s="4">
        <v>19.28</v>
      </c>
      <c r="F6" s="4"/>
      <c r="G6" s="4"/>
      <c r="H6" s="4"/>
      <c r="I6" s="4">
        <v>10.95</v>
      </c>
      <c r="J6" s="4"/>
      <c r="K6" s="65"/>
      <c r="L6" s="65"/>
      <c r="M6" s="65"/>
      <c r="N6" s="58">
        <v>0.105</v>
      </c>
      <c r="O6" s="65"/>
      <c r="P6" s="65"/>
      <c r="Q6" s="65"/>
      <c r="R6" s="65"/>
      <c r="S6" s="65"/>
      <c r="T6" s="5">
        <v>0.01</v>
      </c>
      <c r="U6" s="65"/>
      <c r="V6" s="65"/>
      <c r="W6" s="65"/>
    </row>
    <row r="7" spans="1:27" ht="13.5" thickBot="1">
      <c r="A7" s="85" t="s">
        <v>0</v>
      </c>
      <c r="C7" s="2"/>
      <c r="D7" s="2"/>
      <c r="E7" s="4">
        <v>22.3</v>
      </c>
      <c r="F7" s="4"/>
      <c r="G7" s="4"/>
      <c r="H7" s="4"/>
      <c r="I7" s="7">
        <v>0.02</v>
      </c>
      <c r="J7" s="8">
        <v>0.04</v>
      </c>
      <c r="K7" s="6" t="s">
        <v>107</v>
      </c>
      <c r="L7" s="2"/>
      <c r="M7" s="2"/>
      <c r="N7" s="2"/>
      <c r="P7" s="2"/>
      <c r="Q7" s="2"/>
      <c r="R7" s="2"/>
      <c r="S7" s="2"/>
      <c r="T7" s="2"/>
      <c r="U7" s="2"/>
      <c r="V7" s="2"/>
      <c r="W7" s="2"/>
    </row>
    <row r="8" spans="1:27" ht="15.75" customHeight="1" thickBot="1">
      <c r="A8" s="164" t="s">
        <v>2</v>
      </c>
      <c r="B8" s="166" t="s">
        <v>3</v>
      </c>
      <c r="C8" s="168" t="s">
        <v>4</v>
      </c>
      <c r="D8" s="169"/>
      <c r="E8" s="169"/>
      <c r="F8" s="169"/>
      <c r="G8" s="169"/>
      <c r="H8" s="169"/>
      <c r="I8" s="170"/>
      <c r="J8" s="171" t="s">
        <v>5</v>
      </c>
      <c r="K8" s="172"/>
      <c r="L8" s="172"/>
      <c r="M8" s="173"/>
      <c r="N8" s="173"/>
      <c r="O8" s="174"/>
      <c r="P8" s="175" t="s">
        <v>6</v>
      </c>
      <c r="Q8" s="176"/>
      <c r="R8" s="176"/>
      <c r="S8" s="176"/>
      <c r="T8" s="176"/>
      <c r="U8" s="176"/>
      <c r="V8" s="176"/>
      <c r="W8" s="177" t="s">
        <v>7</v>
      </c>
      <c r="X8" s="177"/>
      <c r="Y8" s="177"/>
    </row>
    <row r="9" spans="1:27" s="20" customFormat="1" ht="72">
      <c r="A9" s="165"/>
      <c r="B9" s="167"/>
      <c r="C9" s="9" t="s">
        <v>87</v>
      </c>
      <c r="D9" s="9" t="s">
        <v>88</v>
      </c>
      <c r="E9" s="9" t="s">
        <v>89</v>
      </c>
      <c r="F9" s="9" t="s">
        <v>90</v>
      </c>
      <c r="G9" s="9" t="s">
        <v>91</v>
      </c>
      <c r="H9" s="9" t="s">
        <v>92</v>
      </c>
      <c r="I9" s="67" t="s">
        <v>10</v>
      </c>
      <c r="J9" s="11" t="s">
        <v>11</v>
      </c>
      <c r="K9" s="11" t="s">
        <v>12</v>
      </c>
      <c r="L9" s="12" t="s">
        <v>13</v>
      </c>
      <c r="M9" s="13" t="s">
        <v>14</v>
      </c>
      <c r="N9" s="14" t="s">
        <v>15</v>
      </c>
      <c r="O9" s="14" t="s">
        <v>16</v>
      </c>
      <c r="P9" s="15" t="s">
        <v>17</v>
      </c>
      <c r="Q9" s="16" t="s">
        <v>18</v>
      </c>
      <c r="R9" s="16" t="s">
        <v>19</v>
      </c>
      <c r="S9" s="16" t="s">
        <v>20</v>
      </c>
      <c r="T9" s="16" t="s">
        <v>21</v>
      </c>
      <c r="U9" s="16" t="s">
        <v>22</v>
      </c>
      <c r="V9" s="16" t="s">
        <v>23</v>
      </c>
      <c r="W9" s="17" t="s">
        <v>24</v>
      </c>
      <c r="X9" s="18" t="s">
        <v>25</v>
      </c>
      <c r="Y9" s="19" t="s">
        <v>26</v>
      </c>
      <c r="Z9" s="178" t="s">
        <v>27</v>
      </c>
      <c r="AA9" s="178"/>
    </row>
    <row r="10" spans="1:27" s="69" customFormat="1" ht="45" customHeight="1">
      <c r="A10" s="21" t="s">
        <v>28</v>
      </c>
      <c r="B10" s="68" t="s">
        <v>29</v>
      </c>
      <c r="C10" s="32">
        <v>7.5</v>
      </c>
      <c r="D10" s="23">
        <v>0</v>
      </c>
      <c r="E10" s="24">
        <v>305.5</v>
      </c>
      <c r="F10" s="24">
        <v>348.3</v>
      </c>
      <c r="G10" s="24">
        <f>C10*E10</f>
        <v>2291.25</v>
      </c>
      <c r="H10" s="24">
        <f>D10*F10</f>
        <v>0</v>
      </c>
      <c r="I10" s="25">
        <f>G10+H10</f>
        <v>2291.25</v>
      </c>
      <c r="J10" s="25">
        <f>(C10+D10)*19.28</f>
        <v>144.60000000000002</v>
      </c>
      <c r="K10" s="25">
        <f>(C10+D10)*I6</f>
        <v>82.125</v>
      </c>
      <c r="L10" s="25"/>
      <c r="M10" s="25">
        <f>I10*J7</f>
        <v>91.65</v>
      </c>
      <c r="N10" s="26">
        <v>0</v>
      </c>
      <c r="O10" s="25">
        <f>SUM(I10:N10)</f>
        <v>2609.625</v>
      </c>
      <c r="P10" s="27">
        <f>IF('[6]Calculo ISR '!$AZ$34&lt;0,0,'[6]Calculo ISR '!$AZ$34)</f>
        <v>3.7616319999999916</v>
      </c>
      <c r="Q10" s="28">
        <f>I10*N6</f>
        <v>240.58124999999998</v>
      </c>
      <c r="R10" s="29">
        <v>0</v>
      </c>
      <c r="S10" s="28">
        <f>I10*T6</f>
        <v>22.912500000000001</v>
      </c>
      <c r="T10" s="28"/>
      <c r="U10" s="30">
        <f>[6]descuentos!D5</f>
        <v>611</v>
      </c>
      <c r="V10" s="25">
        <f t="shared" ref="V10:V24" si="0">P10+Q10+R10+S10+U10+T10</f>
        <v>878.25538200000005</v>
      </c>
      <c r="W10" s="28">
        <f>IF('[6]Calculo ISR '!$AZ$34&gt;0,0,('[6]Calculo ISR '!$AZ$34)*-1)</f>
        <v>0</v>
      </c>
      <c r="X10" s="25">
        <f>O10-V10-Y10+W10</f>
        <v>1586.7696179999998</v>
      </c>
      <c r="Y10" s="25">
        <f t="shared" ref="Y10:Y39" si="1">J10</f>
        <v>144.60000000000002</v>
      </c>
      <c r="Z10" s="183"/>
      <c r="AA10" s="163"/>
    </row>
    <row r="11" spans="1:27" s="35" customFormat="1" ht="45" customHeight="1">
      <c r="A11" s="21" t="s">
        <v>30</v>
      </c>
      <c r="B11" s="33" t="s">
        <v>31</v>
      </c>
      <c r="C11" s="32">
        <v>12</v>
      </c>
      <c r="D11" s="32">
        <v>7.5</v>
      </c>
      <c r="E11" s="24">
        <v>305.5</v>
      </c>
      <c r="F11" s="24">
        <v>348.3</v>
      </c>
      <c r="G11" s="24">
        <f t="shared" ref="G11:H39" si="2">C11*E11</f>
        <v>3666</v>
      </c>
      <c r="H11" s="24">
        <f t="shared" si="2"/>
        <v>2612.25</v>
      </c>
      <c r="I11" s="25">
        <f t="shared" ref="I11:I39" si="3">G11+H11</f>
        <v>6278.25</v>
      </c>
      <c r="J11" s="25">
        <f t="shared" ref="J11:J39" si="4">(C11+D11)*19.28</f>
        <v>375.96000000000004</v>
      </c>
      <c r="K11" s="25">
        <f>(C11+D11)*I6</f>
        <v>213.52499999999998</v>
      </c>
      <c r="L11" s="25"/>
      <c r="M11" s="25">
        <f>I11*J7</f>
        <v>251.13</v>
      </c>
      <c r="N11" s="25">
        <f>'[6]HT-DOCENTE'!J10</f>
        <v>0</v>
      </c>
      <c r="O11" s="25">
        <f>SUM(I11:N11)</f>
        <v>7118.8649999999998</v>
      </c>
      <c r="P11" s="27">
        <f>IF('[6]Calculo ISR '!$BA$34&lt;0,0,'[6]Calculo ISR '!$BA$34)</f>
        <v>893.0953320000001</v>
      </c>
      <c r="Q11" s="28">
        <f>I11*N6</f>
        <v>659.21624999999995</v>
      </c>
      <c r="R11" s="28">
        <v>1986</v>
      </c>
      <c r="S11" s="28">
        <f>I11*T6</f>
        <v>62.782499999999999</v>
      </c>
      <c r="T11" s="28">
        <f>'[6]HT-DOCENTE'!R10</f>
        <v>0</v>
      </c>
      <c r="U11" s="28"/>
      <c r="V11" s="25">
        <f t="shared" si="0"/>
        <v>3601.0940820000001</v>
      </c>
      <c r="W11" s="28">
        <f>IF('[6]Calculo ISR '!$BA$34&gt;0,0,('[6]Calculo ISR '!$BA$34)*-1)</f>
        <v>0</v>
      </c>
      <c r="X11" s="25">
        <f>O11-V11-Y11+W11</f>
        <v>3141.8109179999997</v>
      </c>
      <c r="Y11" s="25">
        <f t="shared" si="1"/>
        <v>375.96000000000004</v>
      </c>
      <c r="Z11" s="161"/>
      <c r="AA11" s="162"/>
    </row>
    <row r="12" spans="1:27" s="35" customFormat="1" ht="45" customHeight="1">
      <c r="A12" s="21" t="s">
        <v>32</v>
      </c>
      <c r="B12" s="33" t="s">
        <v>99</v>
      </c>
      <c r="C12" s="32">
        <v>10</v>
      </c>
      <c r="D12" s="32">
        <v>0</v>
      </c>
      <c r="E12" s="24">
        <v>305.5</v>
      </c>
      <c r="F12" s="24">
        <v>348.3</v>
      </c>
      <c r="G12" s="24">
        <f t="shared" si="2"/>
        <v>3055</v>
      </c>
      <c r="H12" s="24">
        <f t="shared" si="2"/>
        <v>0</v>
      </c>
      <c r="I12" s="25">
        <f t="shared" si="3"/>
        <v>3055</v>
      </c>
      <c r="J12" s="25">
        <f t="shared" si="4"/>
        <v>192.8</v>
      </c>
      <c r="K12" s="25">
        <f>(C12+D12)*I6</f>
        <v>109.5</v>
      </c>
      <c r="L12" s="25"/>
      <c r="M12" s="25">
        <f>I12*J7</f>
        <v>122.2</v>
      </c>
      <c r="N12" s="25">
        <v>0</v>
      </c>
      <c r="O12" s="25">
        <f t="shared" ref="O12:O39" si="5">SUM(I12:N12)</f>
        <v>3479.5</v>
      </c>
      <c r="P12" s="27">
        <f>IF('[6]Calculo ISR '!$BB$34&lt;0,0,'[6]Calculo ISR '!$BB$34)</f>
        <v>128.40987199999998</v>
      </c>
      <c r="Q12" s="28">
        <f>I12*N6</f>
        <v>320.77499999999998</v>
      </c>
      <c r="R12" s="28">
        <v>873</v>
      </c>
      <c r="S12" s="28">
        <f>I12*T6</f>
        <v>30.55</v>
      </c>
      <c r="T12" s="28">
        <f>'[6]HT-DOCENTE'!R11</f>
        <v>0</v>
      </c>
      <c r="U12" s="28"/>
      <c r="V12" s="25">
        <f t="shared" si="0"/>
        <v>1352.7348719999998</v>
      </c>
      <c r="W12" s="28">
        <f>IF('[6]Calculo ISR '!$BB$34&gt;0,0,('[6]Calculo ISR '!$BB$34)*-1)</f>
        <v>0</v>
      </c>
      <c r="X12" s="25">
        <f>O12-V12-Y12+W12</f>
        <v>1933.965128</v>
      </c>
      <c r="Y12" s="25">
        <f t="shared" si="1"/>
        <v>192.8</v>
      </c>
      <c r="Z12" s="161"/>
      <c r="AA12" s="162"/>
    </row>
    <row r="13" spans="1:27" s="35" customFormat="1" ht="45" customHeight="1">
      <c r="A13" s="21" t="s">
        <v>34</v>
      </c>
      <c r="B13" s="33" t="s">
        <v>35</v>
      </c>
      <c r="C13" s="32">
        <v>12</v>
      </c>
      <c r="D13" s="32">
        <v>7.5</v>
      </c>
      <c r="E13" s="24">
        <v>305.5</v>
      </c>
      <c r="F13" s="24">
        <v>348.3</v>
      </c>
      <c r="G13" s="24">
        <f t="shared" si="2"/>
        <v>3666</v>
      </c>
      <c r="H13" s="24">
        <f>D13*F13</f>
        <v>2612.25</v>
      </c>
      <c r="I13" s="25">
        <f t="shared" si="3"/>
        <v>6278.25</v>
      </c>
      <c r="J13" s="25">
        <f t="shared" si="4"/>
        <v>375.96000000000004</v>
      </c>
      <c r="K13" s="25">
        <f>(C13+D13)*I6</f>
        <v>213.52499999999998</v>
      </c>
      <c r="L13" s="25"/>
      <c r="M13" s="25">
        <f>I13*I7</f>
        <v>125.565</v>
      </c>
      <c r="N13" s="25">
        <f>'[6]HT-DOCENTE'!J12</f>
        <v>0</v>
      </c>
      <c r="O13" s="25">
        <f t="shared" si="5"/>
        <v>6993.2999999999993</v>
      </c>
      <c r="P13" s="27">
        <f>IF('[6]Calculo ISR '!$BC$34&lt;0,0,'[6]Calculo ISR '!$BC$34)</f>
        <v>866.27464799999996</v>
      </c>
      <c r="Q13" s="28">
        <f>I13*N6</f>
        <v>659.21624999999995</v>
      </c>
      <c r="R13" s="28">
        <f>'[6]HT-DOCENTE'!P12</f>
        <v>0</v>
      </c>
      <c r="S13" s="28">
        <f>I13*T6</f>
        <v>62.782499999999999</v>
      </c>
      <c r="T13" s="28">
        <f>'[6]HT-DOCENTE'!R12</f>
        <v>0</v>
      </c>
      <c r="U13" s="28"/>
      <c r="V13" s="25">
        <f t="shared" si="0"/>
        <v>1588.273398</v>
      </c>
      <c r="W13" s="28">
        <f>IF('[6]Calculo ISR '!$BC$34&gt;0,0,('[6]Calculo ISR '!$BC$34)*-1)</f>
        <v>0</v>
      </c>
      <c r="X13" s="25">
        <f t="shared" ref="X13:X24" si="6">O13-V13-Y13+W13</f>
        <v>5029.066601999999</v>
      </c>
      <c r="Y13" s="25">
        <f t="shared" si="1"/>
        <v>375.96000000000004</v>
      </c>
      <c r="Z13" s="161"/>
      <c r="AA13" s="162"/>
    </row>
    <row r="14" spans="1:27" s="35" customFormat="1" ht="45" customHeight="1">
      <c r="A14" s="21" t="s">
        <v>36</v>
      </c>
      <c r="B14" s="33" t="s">
        <v>37</v>
      </c>
      <c r="C14" s="32">
        <v>5.5</v>
      </c>
      <c r="D14" s="32">
        <v>7.5</v>
      </c>
      <c r="E14" s="24">
        <v>305.5</v>
      </c>
      <c r="F14" s="24">
        <v>348.3</v>
      </c>
      <c r="G14" s="24">
        <f t="shared" si="2"/>
        <v>1680.25</v>
      </c>
      <c r="H14" s="24">
        <f t="shared" si="2"/>
        <v>2612.25</v>
      </c>
      <c r="I14" s="25">
        <f t="shared" si="3"/>
        <v>4292.5</v>
      </c>
      <c r="J14" s="25">
        <f t="shared" si="4"/>
        <v>250.64000000000001</v>
      </c>
      <c r="K14" s="25">
        <f>(C14+D14)*I6</f>
        <v>142.35</v>
      </c>
      <c r="L14" s="25">
        <f>(C14+D14)*E7</f>
        <v>289.90000000000003</v>
      </c>
      <c r="M14" s="25"/>
      <c r="N14" s="25">
        <f>'[6]HT-DOCENTE'!J13</f>
        <v>0</v>
      </c>
      <c r="O14" s="25">
        <f>SUM(I14:N14)</f>
        <v>4975.3900000000003</v>
      </c>
      <c r="P14" s="27">
        <f>IF('[6]Calculo ISR '!$BD$34&lt;0,0,'[6]Calculo ISR '!$BD$34)</f>
        <v>474.18068800000009</v>
      </c>
      <c r="Q14" s="28">
        <f>I14*N6</f>
        <v>450.71249999999998</v>
      </c>
      <c r="R14" s="28">
        <v>1100</v>
      </c>
      <c r="S14" s="28">
        <f>I14*T6</f>
        <v>42.925000000000004</v>
      </c>
      <c r="T14" s="28">
        <f>'[6]HT-DOCENTE'!R13</f>
        <v>0</v>
      </c>
      <c r="U14" s="28"/>
      <c r="V14" s="25">
        <f t="shared" si="0"/>
        <v>2067.8181880000002</v>
      </c>
      <c r="W14" s="28">
        <f>IF('[6]Calculo ISR '!$BD$34&gt;0,0,('[6]Calculo ISR '!$BD$34)*-1)</f>
        <v>0</v>
      </c>
      <c r="X14" s="25">
        <f t="shared" si="6"/>
        <v>2656.9318120000003</v>
      </c>
      <c r="Y14" s="25">
        <f t="shared" si="1"/>
        <v>250.64000000000001</v>
      </c>
      <c r="Z14" s="161"/>
      <c r="AA14" s="162"/>
    </row>
    <row r="15" spans="1:27" s="35" customFormat="1" ht="45" customHeight="1">
      <c r="A15" s="21" t="s">
        <v>38</v>
      </c>
      <c r="B15" s="33" t="s">
        <v>39</v>
      </c>
      <c r="C15" s="32">
        <v>11</v>
      </c>
      <c r="D15" s="32">
        <v>7.5</v>
      </c>
      <c r="E15" s="24">
        <v>305.5</v>
      </c>
      <c r="F15" s="24">
        <v>348.3</v>
      </c>
      <c r="G15" s="24">
        <f t="shared" si="2"/>
        <v>3360.5</v>
      </c>
      <c r="H15" s="24">
        <f t="shared" si="2"/>
        <v>2612.25</v>
      </c>
      <c r="I15" s="25">
        <f t="shared" si="3"/>
        <v>5972.75</v>
      </c>
      <c r="J15" s="25">
        <f t="shared" si="4"/>
        <v>356.68</v>
      </c>
      <c r="K15" s="25">
        <f>(C15+D15)*I6</f>
        <v>202.57499999999999</v>
      </c>
      <c r="L15" s="25">
        <f>(C15+D15)*E7</f>
        <v>412.55</v>
      </c>
      <c r="M15" s="25"/>
      <c r="N15" s="25">
        <f>'[6]HT-DOCENTE'!J14</f>
        <v>0</v>
      </c>
      <c r="O15" s="25">
        <f t="shared" si="5"/>
        <v>6944.5550000000003</v>
      </c>
      <c r="P15" s="27">
        <f>IF('[6]Calculo ISR '!$BE$34&lt;0,0,'[6]Calculo ISR '!$BE$34)</f>
        <v>859.98092400000007</v>
      </c>
      <c r="Q15" s="28">
        <f>I15*N6</f>
        <v>627.13874999999996</v>
      </c>
      <c r="R15" s="28">
        <v>1655</v>
      </c>
      <c r="S15" s="28">
        <f>I15*T6</f>
        <v>59.727499999999999</v>
      </c>
      <c r="T15" s="28">
        <f>'[6]HT-DOCENTE'!R14</f>
        <v>0</v>
      </c>
      <c r="U15" s="28"/>
      <c r="V15" s="25">
        <f t="shared" si="0"/>
        <v>3201.847174</v>
      </c>
      <c r="W15" s="28">
        <f>IF('[6]Calculo ISR '!$BE$34&gt;0,0,('[6]Calculo ISR '!$BE$34)*-1)</f>
        <v>0</v>
      </c>
      <c r="X15" s="25">
        <f t="shared" si="6"/>
        <v>3386.0278260000005</v>
      </c>
      <c r="Y15" s="25">
        <f t="shared" si="1"/>
        <v>356.68</v>
      </c>
      <c r="Z15" s="161"/>
      <c r="AA15" s="162"/>
    </row>
    <row r="16" spans="1:27" s="35" customFormat="1" ht="45" customHeight="1">
      <c r="A16" s="21" t="s">
        <v>40</v>
      </c>
      <c r="B16" s="33" t="s">
        <v>41</v>
      </c>
      <c r="C16" s="32">
        <f>'[6]HT-DOCENTE'!C15</f>
        <v>19.5</v>
      </c>
      <c r="D16" s="32">
        <v>0</v>
      </c>
      <c r="E16" s="24">
        <v>305.5</v>
      </c>
      <c r="F16" s="24">
        <v>348.3</v>
      </c>
      <c r="G16" s="24">
        <f t="shared" si="2"/>
        <v>5957.25</v>
      </c>
      <c r="H16" s="24">
        <f t="shared" si="2"/>
        <v>0</v>
      </c>
      <c r="I16" s="25">
        <f t="shared" si="3"/>
        <v>5957.25</v>
      </c>
      <c r="J16" s="25">
        <f t="shared" si="4"/>
        <v>375.96000000000004</v>
      </c>
      <c r="K16" s="25">
        <f>(C16+D16)*I6</f>
        <v>213.52499999999998</v>
      </c>
      <c r="L16" s="25">
        <f>(C16+D16)*E7</f>
        <v>434.85</v>
      </c>
      <c r="M16" s="25"/>
      <c r="N16" s="25">
        <f>'[6]HT-DOCENTE'!J15</f>
        <v>0</v>
      </c>
      <c r="O16" s="25">
        <f t="shared" si="5"/>
        <v>6981.585</v>
      </c>
      <c r="P16" s="27">
        <f>IF('[6]Calculo ISR '!$BF$34&lt;0,0,'[6]Calculo ISR '!$BF$34)</f>
        <v>863.77232400000003</v>
      </c>
      <c r="Q16" s="28">
        <f>I16*N6</f>
        <v>625.51125000000002</v>
      </c>
      <c r="R16" s="28">
        <f>'[6]HT-DOCENTE'!P15</f>
        <v>0</v>
      </c>
      <c r="S16" s="28">
        <f>I16*T6</f>
        <v>59.572499999999998</v>
      </c>
      <c r="T16" s="28">
        <v>0</v>
      </c>
      <c r="U16" s="28"/>
      <c r="V16" s="25">
        <f t="shared" si="0"/>
        <v>1548.856074</v>
      </c>
      <c r="W16" s="28">
        <f>IF('[6]Calculo ISR '!$BF$34&gt;0,0,('[6]Calculo ISR '!$BF$34)*-1)</f>
        <v>0</v>
      </c>
      <c r="X16" s="25">
        <f t="shared" si="6"/>
        <v>5056.7689259999997</v>
      </c>
      <c r="Y16" s="25">
        <f t="shared" si="1"/>
        <v>375.96000000000004</v>
      </c>
      <c r="Z16" s="161"/>
      <c r="AA16" s="162"/>
    </row>
    <row r="17" spans="1:28" s="35" customFormat="1" ht="45" customHeight="1">
      <c r="A17" s="21" t="s">
        <v>42</v>
      </c>
      <c r="B17" s="33" t="s">
        <v>43</v>
      </c>
      <c r="C17" s="32">
        <v>2</v>
      </c>
      <c r="D17" s="32">
        <v>0</v>
      </c>
      <c r="E17" s="24">
        <v>305.5</v>
      </c>
      <c r="F17" s="24">
        <v>348.3</v>
      </c>
      <c r="G17" s="24">
        <f t="shared" si="2"/>
        <v>611</v>
      </c>
      <c r="H17" s="24">
        <f t="shared" si="2"/>
        <v>0</v>
      </c>
      <c r="I17" s="25">
        <f>G17+H17</f>
        <v>611</v>
      </c>
      <c r="J17" s="25">
        <f t="shared" si="4"/>
        <v>38.56</v>
      </c>
      <c r="K17" s="25">
        <f>(C17+D17)*I6</f>
        <v>21.9</v>
      </c>
      <c r="L17" s="25">
        <f>(C17+D17)*E7*2</f>
        <v>89.2</v>
      </c>
      <c r="M17" s="25"/>
      <c r="N17" s="25">
        <f>'[6]HT-DOCENTE'!J16</f>
        <v>0</v>
      </c>
      <c r="O17" s="25">
        <f>SUM(I17:N17)</f>
        <v>760.66</v>
      </c>
      <c r="P17" s="27">
        <f>IF('[6]Calculo ISR '!$BG$34&lt;0,0,'[6]Calculo ISR '!$BG$34)</f>
        <v>0</v>
      </c>
      <c r="Q17" s="28">
        <f>I17*N6</f>
        <v>64.155000000000001</v>
      </c>
      <c r="R17" s="28">
        <v>0</v>
      </c>
      <c r="S17" s="28">
        <f>I17*T6</f>
        <v>6.11</v>
      </c>
      <c r="T17" s="28">
        <f>'[6]HT-DOCENTE'!R16</f>
        <v>0</v>
      </c>
      <c r="U17" s="28"/>
      <c r="V17" s="25">
        <f t="shared" si="0"/>
        <v>70.265000000000001</v>
      </c>
      <c r="W17" s="28">
        <f>IF('[6]Calculo ISR '!$BG$34&gt;0,0,('[6]Calculo ISR '!$BG$34)*-1)</f>
        <v>165.65343999999999</v>
      </c>
      <c r="X17" s="25">
        <f t="shared" si="6"/>
        <v>817.48844000000008</v>
      </c>
      <c r="Y17" s="25">
        <f t="shared" si="1"/>
        <v>38.56</v>
      </c>
      <c r="Z17" s="161"/>
      <c r="AA17" s="162"/>
    </row>
    <row r="18" spans="1:28" s="35" customFormat="1" ht="45" customHeight="1">
      <c r="A18" s="21" t="s">
        <v>44</v>
      </c>
      <c r="B18" s="33" t="s">
        <v>45</v>
      </c>
      <c r="C18" s="34">
        <v>11</v>
      </c>
      <c r="D18" s="34">
        <v>7.5</v>
      </c>
      <c r="E18" s="24">
        <v>305.5</v>
      </c>
      <c r="F18" s="24">
        <v>348.3</v>
      </c>
      <c r="G18" s="24">
        <f t="shared" si="2"/>
        <v>3360.5</v>
      </c>
      <c r="H18" s="24">
        <f t="shared" si="2"/>
        <v>2612.25</v>
      </c>
      <c r="I18" s="25">
        <f t="shared" si="3"/>
        <v>5972.75</v>
      </c>
      <c r="J18" s="25">
        <f t="shared" si="4"/>
        <v>356.68</v>
      </c>
      <c r="K18" s="25">
        <f>(C18+D18)*I6</f>
        <v>202.57499999999999</v>
      </c>
      <c r="L18" s="25"/>
      <c r="M18" s="25"/>
      <c r="N18" s="25">
        <f>'[6]HT-DOCENTE'!J17</f>
        <v>0</v>
      </c>
      <c r="O18" s="25">
        <f t="shared" si="5"/>
        <v>6532.0050000000001</v>
      </c>
      <c r="P18" s="27">
        <f>IF('[6]Calculo ISR '!$BH$34&lt;0,0,'[6]Calculo ISR '!$BH$34)</f>
        <v>771.86024400000008</v>
      </c>
      <c r="Q18" s="28">
        <f>I18*N6</f>
        <v>627.13874999999996</v>
      </c>
      <c r="R18" s="28">
        <f>'[6]HT-DOCENTE'!P17</f>
        <v>0</v>
      </c>
      <c r="S18" s="28">
        <f>I18*T6</f>
        <v>59.727499999999999</v>
      </c>
      <c r="T18" s="28">
        <f>'[6]HT-DOCENTE'!R17</f>
        <v>0</v>
      </c>
      <c r="U18" s="28"/>
      <c r="V18" s="25">
        <f t="shared" si="0"/>
        <v>1458.726494</v>
      </c>
      <c r="W18" s="28">
        <f>IF('[6]Calculo ISR '!$BH$34&gt;0,0,('[6]Calculo ISR '!$BH$34)*-1)</f>
        <v>0</v>
      </c>
      <c r="X18" s="25">
        <f t="shared" si="6"/>
        <v>4716.5985060000003</v>
      </c>
      <c r="Y18" s="25">
        <f t="shared" si="1"/>
        <v>356.68</v>
      </c>
      <c r="Z18" s="161"/>
      <c r="AA18" s="162"/>
    </row>
    <row r="19" spans="1:28" s="35" customFormat="1" ht="45" customHeight="1">
      <c r="A19" s="21" t="s">
        <v>46</v>
      </c>
      <c r="B19" s="33" t="s">
        <v>47</v>
      </c>
      <c r="C19" s="34">
        <v>6.5</v>
      </c>
      <c r="D19" s="34">
        <v>0</v>
      </c>
      <c r="E19" s="24">
        <v>305.5</v>
      </c>
      <c r="F19" s="24">
        <v>348.3</v>
      </c>
      <c r="G19" s="24">
        <f t="shared" si="2"/>
        <v>1985.75</v>
      </c>
      <c r="H19" s="24">
        <f t="shared" si="2"/>
        <v>0</v>
      </c>
      <c r="I19" s="25">
        <f t="shared" si="3"/>
        <v>1985.75</v>
      </c>
      <c r="J19" s="25">
        <f t="shared" si="4"/>
        <v>125.32000000000001</v>
      </c>
      <c r="K19" s="25">
        <f>(C19+D19)*I6</f>
        <v>71.174999999999997</v>
      </c>
      <c r="L19" s="25"/>
      <c r="M19" s="25"/>
      <c r="N19" s="25">
        <v>0</v>
      </c>
      <c r="O19" s="25">
        <f t="shared" si="5"/>
        <v>2182.2450000000003</v>
      </c>
      <c r="P19" s="27">
        <f>IF('[6]Calculo ISR '!$BI$34&lt;0,0,'[6]Calculo ISR '!$BI$34)</f>
        <v>0</v>
      </c>
      <c r="Q19" s="28">
        <f>I19*N6</f>
        <v>208.50375</v>
      </c>
      <c r="R19" s="28">
        <v>1254.74</v>
      </c>
      <c r="S19" s="28">
        <f>I19*T6</f>
        <v>19.857500000000002</v>
      </c>
      <c r="T19" s="28">
        <f>'[6]HT-DOCENTE'!R18</f>
        <v>0</v>
      </c>
      <c r="U19" s="30"/>
      <c r="V19" s="25">
        <f>P19+Q19+R19+S19+U19+T19</f>
        <v>1483.1012500000002</v>
      </c>
      <c r="W19" s="28">
        <f>IF('[6]Calculo ISR '!$BI$34&gt;0,0,('[6]Calculo ISR '!$BI$34)*-1)</f>
        <v>68.07463999999996</v>
      </c>
      <c r="X19" s="25">
        <f t="shared" si="6"/>
        <v>641.89839000000006</v>
      </c>
      <c r="Y19" s="25">
        <f t="shared" si="1"/>
        <v>125.32000000000001</v>
      </c>
      <c r="Z19" s="163"/>
      <c r="AA19" s="163"/>
    </row>
    <row r="20" spans="1:28" s="35" customFormat="1" ht="45" customHeight="1">
      <c r="A20" s="21" t="s">
        <v>48</v>
      </c>
      <c r="B20" s="33" t="s">
        <v>49</v>
      </c>
      <c r="C20" s="34">
        <v>19.5</v>
      </c>
      <c r="D20" s="34">
        <v>0</v>
      </c>
      <c r="E20" s="24">
        <v>305.5</v>
      </c>
      <c r="F20" s="24">
        <v>348.3</v>
      </c>
      <c r="G20" s="24">
        <f t="shared" si="2"/>
        <v>5957.25</v>
      </c>
      <c r="H20" s="24">
        <f t="shared" si="2"/>
        <v>0</v>
      </c>
      <c r="I20" s="25">
        <f t="shared" si="3"/>
        <v>5957.25</v>
      </c>
      <c r="J20" s="25">
        <f t="shared" si="4"/>
        <v>375.96000000000004</v>
      </c>
      <c r="K20" s="25">
        <f>(C20+D20)*I6</f>
        <v>213.52499999999998</v>
      </c>
      <c r="L20" s="25"/>
      <c r="M20" s="25"/>
      <c r="N20" s="25">
        <v>0</v>
      </c>
      <c r="O20" s="25">
        <f t="shared" si="5"/>
        <v>6546.7349999999997</v>
      </c>
      <c r="P20" s="27">
        <f>IF('[6]Calculo ISR '!$BJ$34&lt;0,0,'[6]Calculo ISR '!$BJ$34)</f>
        <v>770.88836400000002</v>
      </c>
      <c r="Q20" s="28">
        <f>I20*N6</f>
        <v>625.51125000000002</v>
      </c>
      <c r="R20" s="28">
        <f>'[6]HT-DOCENTE'!P19</f>
        <v>0</v>
      </c>
      <c r="S20" s="28">
        <f>I20*T6</f>
        <v>59.572499999999998</v>
      </c>
      <c r="T20" s="28">
        <f>'[6]HT-DOCENTE'!R19</f>
        <v>0</v>
      </c>
      <c r="U20" s="28"/>
      <c r="V20" s="25">
        <f t="shared" si="0"/>
        <v>1455.9721139999999</v>
      </c>
      <c r="W20" s="28">
        <f>IF('[6]Calculo ISR '!$BJ$34&gt;0,0,('[6]Calculo ISR '!$BJ$34)*-1)</f>
        <v>0</v>
      </c>
      <c r="X20" s="25">
        <f t="shared" si="6"/>
        <v>4714.8028859999995</v>
      </c>
      <c r="Y20" s="25">
        <f t="shared" si="1"/>
        <v>375.96000000000004</v>
      </c>
      <c r="Z20" s="161"/>
      <c r="AA20" s="162"/>
    </row>
    <row r="21" spans="1:28" s="35" customFormat="1" ht="45" customHeight="1">
      <c r="A21" s="21" t="s">
        <v>50</v>
      </c>
      <c r="B21" s="33" t="s">
        <v>51</v>
      </c>
      <c r="C21" s="34">
        <v>18.5</v>
      </c>
      <c r="D21" s="34">
        <v>0</v>
      </c>
      <c r="E21" s="24">
        <v>305.5</v>
      </c>
      <c r="F21" s="24">
        <v>348.3</v>
      </c>
      <c r="G21" s="24">
        <f t="shared" si="2"/>
        <v>5651.75</v>
      </c>
      <c r="H21" s="24">
        <f t="shared" si="2"/>
        <v>0</v>
      </c>
      <c r="I21" s="25">
        <f t="shared" si="3"/>
        <v>5651.75</v>
      </c>
      <c r="J21" s="25">
        <f t="shared" si="4"/>
        <v>356.68</v>
      </c>
      <c r="K21" s="25">
        <f>(C21+D21)*I6</f>
        <v>202.57499999999999</v>
      </c>
      <c r="L21" s="25"/>
      <c r="M21" s="25"/>
      <c r="N21" s="25">
        <v>0</v>
      </c>
      <c r="O21" s="25">
        <f>SUM(I21:N21)</f>
        <v>6211.0050000000001</v>
      </c>
      <c r="P21" s="27">
        <f>IF('[6]Calculo ISR '!$BK$34&lt;0,0,'[6]Calculo ISR '!$BK$34)</f>
        <v>703.29464400000006</v>
      </c>
      <c r="Q21" s="28">
        <f>I21*N6</f>
        <v>593.43375000000003</v>
      </c>
      <c r="R21" s="28">
        <v>1570</v>
      </c>
      <c r="S21" s="28">
        <f>I21*T6</f>
        <v>56.517499999999998</v>
      </c>
      <c r="T21" s="28"/>
      <c r="U21" s="28"/>
      <c r="V21" s="25">
        <f t="shared" si="0"/>
        <v>2923.2458940000001</v>
      </c>
      <c r="W21" s="28">
        <f>IF('[6]Calculo ISR '!$BK$34&gt;0,0,('[6]Calculo ISR '!$BK$34)*-1)</f>
        <v>0</v>
      </c>
      <c r="X21" s="25">
        <f t="shared" si="6"/>
        <v>2931.0791060000001</v>
      </c>
      <c r="Y21" s="25">
        <f t="shared" si="1"/>
        <v>356.68</v>
      </c>
      <c r="Z21" s="161"/>
      <c r="AA21" s="162"/>
    </row>
    <row r="22" spans="1:28" s="35" customFormat="1" ht="45" customHeight="1">
      <c r="A22" s="21" t="s">
        <v>52</v>
      </c>
      <c r="B22" s="33" t="s">
        <v>53</v>
      </c>
      <c r="C22" s="34">
        <v>19.5</v>
      </c>
      <c r="D22" s="34">
        <v>0</v>
      </c>
      <c r="E22" s="24">
        <v>305.5</v>
      </c>
      <c r="F22" s="24">
        <v>348.3</v>
      </c>
      <c r="G22" s="24">
        <f t="shared" si="2"/>
        <v>5957.25</v>
      </c>
      <c r="H22" s="24">
        <f t="shared" si="2"/>
        <v>0</v>
      </c>
      <c r="I22" s="25">
        <f t="shared" si="3"/>
        <v>5957.25</v>
      </c>
      <c r="J22" s="25">
        <f t="shared" si="4"/>
        <v>375.96000000000004</v>
      </c>
      <c r="K22" s="25">
        <f>(C22+D22)*I6</f>
        <v>213.52499999999998</v>
      </c>
      <c r="L22" s="25"/>
      <c r="M22" s="25"/>
      <c r="N22" s="25">
        <v>0</v>
      </c>
      <c r="O22" s="25">
        <f t="shared" si="5"/>
        <v>6546.7349999999997</v>
      </c>
      <c r="P22" s="27">
        <f>IF('[6]Calculo ISR '!$BL$34&lt;0,0,'[6]Calculo ISR '!$BL$34)</f>
        <v>770.88836400000002</v>
      </c>
      <c r="Q22" s="28">
        <f>I22*N6</f>
        <v>625.51125000000002</v>
      </c>
      <c r="R22" s="28">
        <f>'[6]HT-DOCENTE'!P21</f>
        <v>0</v>
      </c>
      <c r="S22" s="28">
        <f>I22*T6</f>
        <v>59.572499999999998</v>
      </c>
      <c r="T22" s="28"/>
      <c r="U22" s="28"/>
      <c r="V22" s="25">
        <f t="shared" si="0"/>
        <v>1455.9721139999999</v>
      </c>
      <c r="W22" s="28">
        <f>IF('[6]Calculo ISR '!$BL$34&gt;0,0,('[6]Calculo ISR '!$BL$34)*-1)</f>
        <v>0</v>
      </c>
      <c r="X22" s="25">
        <f t="shared" si="6"/>
        <v>4714.8028859999995</v>
      </c>
      <c r="Y22" s="25">
        <f t="shared" si="1"/>
        <v>375.96000000000004</v>
      </c>
      <c r="Z22" s="161"/>
      <c r="AA22" s="162"/>
    </row>
    <row r="23" spans="1:28" s="35" customFormat="1" ht="45" customHeight="1">
      <c r="A23" s="21" t="s">
        <v>54</v>
      </c>
      <c r="B23" s="33" t="s">
        <v>55</v>
      </c>
      <c r="C23" s="34">
        <v>19.5</v>
      </c>
      <c r="D23" s="34">
        <v>0</v>
      </c>
      <c r="E23" s="24">
        <v>305.5</v>
      </c>
      <c r="F23" s="24">
        <v>348.3</v>
      </c>
      <c r="G23" s="24">
        <f t="shared" si="2"/>
        <v>5957.25</v>
      </c>
      <c r="H23" s="24">
        <f t="shared" si="2"/>
        <v>0</v>
      </c>
      <c r="I23" s="25">
        <f t="shared" si="3"/>
        <v>5957.25</v>
      </c>
      <c r="J23" s="25">
        <f t="shared" si="4"/>
        <v>375.96000000000004</v>
      </c>
      <c r="K23" s="25">
        <f>(C23+D23)*I6</f>
        <v>213.52499999999998</v>
      </c>
      <c r="L23" s="25"/>
      <c r="M23" s="25"/>
      <c r="N23" s="25">
        <v>0</v>
      </c>
      <c r="O23" s="25">
        <f t="shared" si="5"/>
        <v>6546.7349999999997</v>
      </c>
      <c r="P23" s="27">
        <f>IF('[6]Calculo ISR '!$BM$34&lt;0,0,'[6]Calculo ISR '!$BM$34)</f>
        <v>770.88836400000002</v>
      </c>
      <c r="Q23" s="28">
        <f>I23*N6</f>
        <v>625.51125000000002</v>
      </c>
      <c r="R23" s="28">
        <v>1324</v>
      </c>
      <c r="S23" s="28">
        <f>I23*T6</f>
        <v>59.572499999999998</v>
      </c>
      <c r="T23" s="28">
        <f>'[6]HT-DOCENTE'!R22</f>
        <v>0</v>
      </c>
      <c r="U23" s="28"/>
      <c r="V23" s="25">
        <f t="shared" si="0"/>
        <v>2779.9721140000001</v>
      </c>
      <c r="W23" s="28">
        <f>IF('[6]Calculo ISR '!$BM$34&gt;0,0,('[6]Calculo ISR '!$BM$34)*-1)</f>
        <v>0</v>
      </c>
      <c r="X23" s="25">
        <f t="shared" si="6"/>
        <v>3390.8028859999995</v>
      </c>
      <c r="Y23" s="25">
        <f t="shared" si="1"/>
        <v>375.96000000000004</v>
      </c>
      <c r="Z23" s="161"/>
      <c r="AA23" s="162"/>
    </row>
    <row r="24" spans="1:28" s="35" customFormat="1" ht="45" customHeight="1">
      <c r="A24" s="21" t="s">
        <v>56</v>
      </c>
      <c r="B24" s="33" t="s">
        <v>57</v>
      </c>
      <c r="C24" s="34">
        <v>19</v>
      </c>
      <c r="D24" s="34">
        <v>0</v>
      </c>
      <c r="E24" s="24">
        <v>305.5</v>
      </c>
      <c r="F24" s="24">
        <v>348.3</v>
      </c>
      <c r="G24" s="24">
        <f t="shared" si="2"/>
        <v>5804.5</v>
      </c>
      <c r="H24" s="24">
        <f t="shared" si="2"/>
        <v>0</v>
      </c>
      <c r="I24" s="25">
        <f t="shared" si="3"/>
        <v>5804.5</v>
      </c>
      <c r="J24" s="25">
        <f t="shared" si="4"/>
        <v>366.32000000000005</v>
      </c>
      <c r="K24" s="25">
        <f>(C24+D24)*I6</f>
        <v>208.04999999999998</v>
      </c>
      <c r="L24" s="25">
        <f>(C24+D24)*E7</f>
        <v>423.7</v>
      </c>
      <c r="M24" s="25"/>
      <c r="N24" s="25">
        <v>0</v>
      </c>
      <c r="O24" s="25">
        <f t="shared" si="5"/>
        <v>6802.57</v>
      </c>
      <c r="P24" s="27">
        <f>IF('[6]Calculo ISR '!$BN$34&lt;0,0,'[6]Calculo ISR '!$BN$34)</f>
        <v>827.59382400000004</v>
      </c>
      <c r="Q24" s="28">
        <f>I24*N6</f>
        <v>609.47249999999997</v>
      </c>
      <c r="R24" s="28">
        <f>'[6]HT-DOCENTE'!P23</f>
        <v>0</v>
      </c>
      <c r="S24" s="28">
        <f>I24*T6</f>
        <v>58.045000000000002</v>
      </c>
      <c r="T24" s="28">
        <f>'[6]HT-DOCENTE'!R23</f>
        <v>0</v>
      </c>
      <c r="U24" s="28"/>
      <c r="V24" s="25">
        <f t="shared" si="0"/>
        <v>1495.111324</v>
      </c>
      <c r="W24" s="28">
        <f>IF('[6]Calculo ISR '!$BN$34&gt;0,0,('[6]Calculo ISR '!$BN$34)*-1)</f>
        <v>0</v>
      </c>
      <c r="X24" s="25">
        <f t="shared" si="6"/>
        <v>4941.1386760000005</v>
      </c>
      <c r="Y24" s="25">
        <f t="shared" si="1"/>
        <v>366.32000000000005</v>
      </c>
      <c r="Z24" s="161"/>
      <c r="AA24" s="162"/>
    </row>
    <row r="25" spans="1:28" s="35" customFormat="1" ht="45" customHeight="1">
      <c r="A25" s="21" t="s">
        <v>58</v>
      </c>
      <c r="B25" s="33" t="s">
        <v>59</v>
      </c>
      <c r="C25" s="34">
        <v>11</v>
      </c>
      <c r="D25" s="34">
        <v>0</v>
      </c>
      <c r="E25" s="24">
        <v>305.5</v>
      </c>
      <c r="F25" s="24">
        <v>348.3</v>
      </c>
      <c r="G25" s="24">
        <f t="shared" si="2"/>
        <v>3360.5</v>
      </c>
      <c r="H25" s="24">
        <f t="shared" si="2"/>
        <v>0</v>
      </c>
      <c r="I25" s="25">
        <f t="shared" si="3"/>
        <v>3360.5</v>
      </c>
      <c r="J25" s="25">
        <f t="shared" si="4"/>
        <v>212.08</v>
      </c>
      <c r="K25" s="25">
        <f>(C25+D25)*I6</f>
        <v>120.44999999999999</v>
      </c>
      <c r="L25" s="25"/>
      <c r="M25" s="25"/>
      <c r="N25" s="25"/>
      <c r="O25" s="25">
        <f>SUM(I25:N25)</f>
        <v>3693.0299999999997</v>
      </c>
      <c r="P25" s="27">
        <f>IF('[6]Calculo ISR '!$BO$34&lt;0,0,'[6]Calculo ISR '!$BO$34)</f>
        <v>149.54427199999995</v>
      </c>
      <c r="Q25" s="28">
        <f>I25*N6</f>
        <v>352.85249999999996</v>
      </c>
      <c r="R25" s="28">
        <v>707</v>
      </c>
      <c r="S25" s="28">
        <f>I25*T6</f>
        <v>33.605000000000004</v>
      </c>
      <c r="T25" s="28"/>
      <c r="U25" s="28"/>
      <c r="V25" s="25">
        <f>P25+Q25+R25+S25+U25+T25</f>
        <v>1243.0017720000001</v>
      </c>
      <c r="W25" s="28">
        <f>IF('[6]Calculo ISR '!$BO$34&gt;0,0,('[6]Calculo ISR '!$BO$34)*-1)</f>
        <v>0</v>
      </c>
      <c r="X25" s="25">
        <f>O25-V25-Y25+W25</f>
        <v>2237.9482279999997</v>
      </c>
      <c r="Y25" s="25">
        <f t="shared" si="1"/>
        <v>212.08</v>
      </c>
      <c r="Z25" s="161"/>
      <c r="AA25" s="162"/>
    </row>
    <row r="26" spans="1:28" s="35" customFormat="1" ht="45" customHeight="1">
      <c r="A26" s="21" t="s">
        <v>60</v>
      </c>
      <c r="B26" s="33" t="s">
        <v>100</v>
      </c>
      <c r="C26" s="34">
        <v>18.5</v>
      </c>
      <c r="D26" s="34"/>
      <c r="E26" s="24">
        <v>305.5</v>
      </c>
      <c r="F26" s="24">
        <v>348.3</v>
      </c>
      <c r="G26" s="24">
        <f t="shared" si="2"/>
        <v>5651.75</v>
      </c>
      <c r="H26" s="24">
        <f t="shared" si="2"/>
        <v>0</v>
      </c>
      <c r="I26" s="25">
        <f t="shared" si="3"/>
        <v>5651.75</v>
      </c>
      <c r="J26" s="25">
        <f t="shared" si="4"/>
        <v>356.68</v>
      </c>
      <c r="K26" s="25">
        <f>(C26+D26)*I6</f>
        <v>202.57499999999999</v>
      </c>
      <c r="L26" s="25"/>
      <c r="M26" s="25"/>
      <c r="N26" s="25"/>
      <c r="O26" s="25">
        <f t="shared" si="5"/>
        <v>6211.0050000000001</v>
      </c>
      <c r="P26" s="27">
        <f>IF('[6]Calculo ISR '!$BP$34&lt;0,0,'[6]Calculo ISR '!$BP$34)</f>
        <v>703.29464400000006</v>
      </c>
      <c r="Q26" s="28">
        <f>I26*N6</f>
        <v>593.43375000000003</v>
      </c>
      <c r="R26" s="28"/>
      <c r="S26" s="28"/>
      <c r="T26" s="28"/>
      <c r="U26" s="28"/>
      <c r="V26" s="25">
        <f>P26+Q26+R26+S26+T26+U26</f>
        <v>1296.7283940000002</v>
      </c>
      <c r="W26" s="28">
        <f>IF('[6]Calculo ISR '!$BP$34&gt;0,0,('[6]Calculo ISR '!$BP$34)*-1)</f>
        <v>0</v>
      </c>
      <c r="X26" s="25">
        <f>O26-V26-Y26+W26</f>
        <v>4557.5966059999992</v>
      </c>
      <c r="Y26" s="25">
        <f t="shared" si="1"/>
        <v>356.68</v>
      </c>
      <c r="Z26" s="161"/>
      <c r="AA26" s="162"/>
    </row>
    <row r="27" spans="1:28" s="35" customFormat="1" ht="45" customHeight="1">
      <c r="A27" s="21" t="s">
        <v>62</v>
      </c>
      <c r="B27" s="33" t="s">
        <v>63</v>
      </c>
      <c r="C27" s="34">
        <v>17.5</v>
      </c>
      <c r="D27" s="34">
        <v>0</v>
      </c>
      <c r="E27" s="24">
        <v>305.5</v>
      </c>
      <c r="F27" s="24">
        <v>348.3</v>
      </c>
      <c r="G27" s="24">
        <f t="shared" si="2"/>
        <v>5346.25</v>
      </c>
      <c r="H27" s="24">
        <f t="shared" si="2"/>
        <v>0</v>
      </c>
      <c r="I27" s="25">
        <f t="shared" si="3"/>
        <v>5346.25</v>
      </c>
      <c r="J27" s="25">
        <f t="shared" si="4"/>
        <v>337.40000000000003</v>
      </c>
      <c r="K27" s="25">
        <f>(C27+D27)*I6</f>
        <v>191.625</v>
      </c>
      <c r="L27" s="25"/>
      <c r="M27" s="25"/>
      <c r="N27" s="25">
        <v>0</v>
      </c>
      <c r="O27" s="25">
        <f t="shared" si="5"/>
        <v>5875.2749999999996</v>
      </c>
      <c r="P27" s="27">
        <f>IF('[6]Calculo ISR '!$BQ$34&lt;0,0,'[6]Calculo ISR '!$BQ$34)</f>
        <v>635.7009240000001</v>
      </c>
      <c r="Q27" s="28">
        <f>I27*N6</f>
        <v>561.35624999999993</v>
      </c>
      <c r="R27" s="28"/>
      <c r="S27" s="28">
        <f>I27*T6</f>
        <v>53.462499999999999</v>
      </c>
      <c r="T27" s="28"/>
      <c r="U27" s="28"/>
      <c r="V27" s="25">
        <f>P27+Q27+R27+S27+T27+U27</f>
        <v>1250.5196740000001</v>
      </c>
      <c r="W27" s="28">
        <f>IF('[6]Calculo ISR '!$BQ$34&gt;0,0,('[6]Calculo ISR '!$BQ$34)*-1)</f>
        <v>0</v>
      </c>
      <c r="X27" s="25">
        <f>O27-V27+W27-Y27</f>
        <v>4287.3553259999999</v>
      </c>
      <c r="Y27" s="25">
        <f t="shared" si="1"/>
        <v>337.40000000000003</v>
      </c>
      <c r="Z27" s="161"/>
      <c r="AA27" s="162"/>
    </row>
    <row r="28" spans="1:28" s="35" customFormat="1" ht="45" customHeight="1">
      <c r="A28" s="21" t="s">
        <v>64</v>
      </c>
      <c r="B28" s="33" t="s">
        <v>65</v>
      </c>
      <c r="C28" s="34">
        <v>17</v>
      </c>
      <c r="D28" s="34">
        <v>0</v>
      </c>
      <c r="E28" s="24">
        <v>305.5</v>
      </c>
      <c r="F28" s="24">
        <v>348.3</v>
      </c>
      <c r="G28" s="24">
        <f t="shared" si="2"/>
        <v>5193.5</v>
      </c>
      <c r="H28" s="24">
        <f t="shared" si="2"/>
        <v>0</v>
      </c>
      <c r="I28" s="25">
        <f t="shared" si="3"/>
        <v>5193.5</v>
      </c>
      <c r="J28" s="25">
        <f t="shared" si="4"/>
        <v>327.76</v>
      </c>
      <c r="K28" s="25">
        <f>(C28+D28)*I6</f>
        <v>186.14999999999998</v>
      </c>
      <c r="L28" s="25"/>
      <c r="M28" s="25"/>
      <c r="N28" s="25">
        <v>0</v>
      </c>
      <c r="O28" s="25">
        <f>SUM(I28:N28)</f>
        <v>5707.41</v>
      </c>
      <c r="P28" s="27">
        <f>IF('[6]Calculo ISR '!$BR$34&lt;0,0,'[6]Calculo ISR '!$BR$34)</f>
        <v>601.90406400000006</v>
      </c>
      <c r="Q28" s="28">
        <f>I28*N6</f>
        <v>545.3175</v>
      </c>
      <c r="R28" s="28"/>
      <c r="S28" s="28"/>
      <c r="T28" s="28"/>
      <c r="U28" s="28"/>
      <c r="V28" s="25">
        <f t="shared" ref="V28:V31" si="7">P28+Q28+R28+S28+T28+U28</f>
        <v>1147.2215639999999</v>
      </c>
      <c r="W28" s="28">
        <f>IF('[6]Calculo ISR '!$BR$34&gt;0,0,('[6]Calculo ISR '!$BR$34)*-1)</f>
        <v>0</v>
      </c>
      <c r="X28" s="25">
        <f t="shared" ref="X28:X39" si="8">O28-V28+W28-Y28</f>
        <v>4232.4284360000001</v>
      </c>
      <c r="Y28" s="25">
        <f t="shared" si="1"/>
        <v>327.76</v>
      </c>
      <c r="Z28" s="161"/>
      <c r="AA28" s="162"/>
    </row>
    <row r="29" spans="1:28" s="35" customFormat="1" ht="45" customHeight="1">
      <c r="A29" s="21" t="s">
        <v>66</v>
      </c>
      <c r="B29" s="36" t="s">
        <v>67</v>
      </c>
      <c r="C29" s="34">
        <v>11.5</v>
      </c>
      <c r="D29" s="34">
        <v>0</v>
      </c>
      <c r="E29" s="24">
        <v>305.5</v>
      </c>
      <c r="F29" s="24">
        <v>348.3</v>
      </c>
      <c r="G29" s="24">
        <f t="shared" si="2"/>
        <v>3513.25</v>
      </c>
      <c r="H29" s="24">
        <f t="shared" si="2"/>
        <v>0</v>
      </c>
      <c r="I29" s="25">
        <f t="shared" si="3"/>
        <v>3513.25</v>
      </c>
      <c r="J29" s="25">
        <f t="shared" si="4"/>
        <v>221.72000000000003</v>
      </c>
      <c r="K29" s="25">
        <f>(C29+D29)*I6</f>
        <v>125.925</v>
      </c>
      <c r="L29" s="25"/>
      <c r="M29" s="25"/>
      <c r="N29" s="25">
        <v>0</v>
      </c>
      <c r="O29" s="25">
        <f t="shared" si="5"/>
        <v>3860.8950000000004</v>
      </c>
      <c r="P29" s="27">
        <f>IF('[6]Calculo ISR '!$BS$34&lt;0,0,'[6]Calculo ISR '!$BS$34)</f>
        <v>184.45915199999999</v>
      </c>
      <c r="Q29" s="28">
        <f>I29*N6</f>
        <v>368.89125000000001</v>
      </c>
      <c r="R29" s="28"/>
      <c r="S29" s="28"/>
      <c r="T29" s="28"/>
      <c r="U29" s="28"/>
      <c r="V29" s="25">
        <f t="shared" si="7"/>
        <v>553.35040200000003</v>
      </c>
      <c r="W29" s="28">
        <f>IF('[6]Calculo ISR '!$BS$34&gt;0,0,('[6]Calculo ISR '!$BS$34)*-1)</f>
        <v>0</v>
      </c>
      <c r="X29" s="25">
        <f t="shared" si="8"/>
        <v>3085.8245980000002</v>
      </c>
      <c r="Y29" s="25">
        <f t="shared" si="1"/>
        <v>221.72000000000003</v>
      </c>
      <c r="Z29" s="161"/>
      <c r="AA29" s="162"/>
    </row>
    <row r="30" spans="1:28" s="35" customFormat="1" ht="45" customHeight="1">
      <c r="A30" s="21" t="s">
        <v>68</v>
      </c>
      <c r="B30" s="33" t="s">
        <v>69</v>
      </c>
      <c r="C30" s="34">
        <v>10.5</v>
      </c>
      <c r="D30" s="34">
        <v>0</v>
      </c>
      <c r="E30" s="24">
        <v>305.5</v>
      </c>
      <c r="F30" s="24">
        <v>348.3</v>
      </c>
      <c r="G30" s="24">
        <f t="shared" si="2"/>
        <v>3207.75</v>
      </c>
      <c r="H30" s="24">
        <f t="shared" si="2"/>
        <v>0</v>
      </c>
      <c r="I30" s="25">
        <f t="shared" si="3"/>
        <v>3207.75</v>
      </c>
      <c r="J30" s="25">
        <f t="shared" si="4"/>
        <v>202.44</v>
      </c>
      <c r="K30" s="25">
        <f>(C30+D30)*I6</f>
        <v>114.97499999999999</v>
      </c>
      <c r="L30" s="25"/>
      <c r="M30" s="25"/>
      <c r="N30" s="25">
        <v>0</v>
      </c>
      <c r="O30" s="25">
        <f t="shared" si="5"/>
        <v>3525.165</v>
      </c>
      <c r="P30" s="27">
        <f>IF('[6]Calculo ISR '!$BT$34&lt;0,0,'[6]Calculo ISR '!$BT$34)</f>
        <v>132.32939199999996</v>
      </c>
      <c r="Q30" s="28">
        <f>I30*N6</f>
        <v>336.81374999999997</v>
      </c>
      <c r="R30" s="28"/>
      <c r="S30" s="28"/>
      <c r="T30" s="28"/>
      <c r="U30" s="28"/>
      <c r="V30" s="25">
        <f>P30+Q30+R30+S30+T30+U30</f>
        <v>469.1431419999999</v>
      </c>
      <c r="W30" s="28">
        <f>IF('[6]Calculo ISR '!$BT$34&gt;0,0,('[6]Calculo ISR '!$BT$34)*-1)</f>
        <v>0</v>
      </c>
      <c r="X30" s="25">
        <f>O30-V30+W30-Y30</f>
        <v>2853.581858</v>
      </c>
      <c r="Y30" s="25">
        <f t="shared" si="1"/>
        <v>202.44</v>
      </c>
      <c r="Z30" s="161"/>
      <c r="AA30" s="162"/>
    </row>
    <row r="31" spans="1:28" s="35" customFormat="1" ht="45" customHeight="1">
      <c r="A31" s="21" t="s">
        <v>70</v>
      </c>
      <c r="B31" s="33" t="s">
        <v>71</v>
      </c>
      <c r="C31" s="34">
        <v>7.5</v>
      </c>
      <c r="D31" s="34">
        <v>0</v>
      </c>
      <c r="E31" s="24">
        <v>305.5</v>
      </c>
      <c r="F31" s="24">
        <v>348.3</v>
      </c>
      <c r="G31" s="24">
        <f t="shared" si="2"/>
        <v>2291.25</v>
      </c>
      <c r="H31" s="24">
        <f t="shared" si="2"/>
        <v>0</v>
      </c>
      <c r="I31" s="25">
        <f t="shared" si="3"/>
        <v>2291.25</v>
      </c>
      <c r="J31" s="25">
        <f t="shared" si="4"/>
        <v>144.60000000000002</v>
      </c>
      <c r="K31" s="25">
        <f>(C31+D31)*I6</f>
        <v>82.125</v>
      </c>
      <c r="L31" s="25"/>
      <c r="M31" s="25"/>
      <c r="N31" s="25">
        <v>0</v>
      </c>
      <c r="O31" s="25">
        <f>SUM(I31:N31)</f>
        <v>2517.9749999999999</v>
      </c>
      <c r="P31" s="27">
        <f>IF('[6]Calculo ISR '!$BU$34&lt;0,0,'[6]Calculo ISR '!$BU$34)</f>
        <v>0</v>
      </c>
      <c r="Q31" s="28">
        <f>I31*N6</f>
        <v>240.58124999999998</v>
      </c>
      <c r="R31" s="28"/>
      <c r="S31" s="28"/>
      <c r="T31" s="28"/>
      <c r="U31" s="28"/>
      <c r="V31" s="25">
        <f t="shared" si="7"/>
        <v>240.58124999999998</v>
      </c>
      <c r="W31" s="28">
        <f>IF('[6]Calculo ISR '!$BU$34&gt;0,0,('[6]Calculo ISR '!$BU$34)*-1)</f>
        <v>6.2098880000000065</v>
      </c>
      <c r="X31" s="25">
        <f t="shared" si="8"/>
        <v>2139.0036379999997</v>
      </c>
      <c r="Y31" s="25">
        <f t="shared" si="1"/>
        <v>144.60000000000002</v>
      </c>
      <c r="Z31" s="161"/>
      <c r="AA31" s="162"/>
    </row>
    <row r="32" spans="1:28" s="35" customFormat="1" ht="45" customHeight="1">
      <c r="A32" s="21" t="s">
        <v>72</v>
      </c>
      <c r="B32" s="33" t="s">
        <v>73</v>
      </c>
      <c r="C32" s="34">
        <v>10</v>
      </c>
      <c r="D32" s="34">
        <v>0</v>
      </c>
      <c r="E32" s="24">
        <v>305.5</v>
      </c>
      <c r="F32" s="24">
        <v>348.3</v>
      </c>
      <c r="G32" s="24">
        <f t="shared" si="2"/>
        <v>3055</v>
      </c>
      <c r="H32" s="24">
        <f t="shared" si="2"/>
        <v>0</v>
      </c>
      <c r="I32" s="25">
        <f t="shared" si="3"/>
        <v>3055</v>
      </c>
      <c r="J32" s="25">
        <f t="shared" si="4"/>
        <v>192.8</v>
      </c>
      <c r="K32" s="25">
        <f>(C32+D32)*I6</f>
        <v>109.5</v>
      </c>
      <c r="L32" s="25"/>
      <c r="M32" s="25"/>
      <c r="N32" s="25"/>
      <c r="O32" s="25">
        <f t="shared" si="5"/>
        <v>3357.3</v>
      </c>
      <c r="P32" s="27">
        <f>IF('[6]Calculo ISR '!$BV$34&lt;0,0,'[6]Calculo ISR '!$BV$34)</f>
        <v>115.11451199999996</v>
      </c>
      <c r="Q32" s="28">
        <f>I32*N6</f>
        <v>320.77499999999998</v>
      </c>
      <c r="R32" s="28"/>
      <c r="S32" s="28"/>
      <c r="T32" s="28"/>
      <c r="U32" s="28"/>
      <c r="V32" s="25">
        <f>P32+Q32+R32+S32+T32+U32</f>
        <v>435.88951199999997</v>
      </c>
      <c r="W32" s="28">
        <f>IF('[6]Calculo ISR '!$BV$34&gt;0,0,('[6]Calculo ISR '!$BV$34)*-1)</f>
        <v>0</v>
      </c>
      <c r="X32" s="25">
        <f t="shared" si="8"/>
        <v>2728.6104880000003</v>
      </c>
      <c r="Y32" s="25">
        <f t="shared" si="1"/>
        <v>192.8</v>
      </c>
      <c r="Z32" s="184"/>
      <c r="AA32" s="185"/>
      <c r="AB32" s="70"/>
    </row>
    <row r="33" spans="1:31" s="35" customFormat="1" ht="45" customHeight="1">
      <c r="A33" s="21" t="s">
        <v>94</v>
      </c>
      <c r="B33" s="33" t="s">
        <v>101</v>
      </c>
      <c r="C33" s="34">
        <v>10</v>
      </c>
      <c r="D33" s="34">
        <v>0</v>
      </c>
      <c r="E33" s="24">
        <v>305.5</v>
      </c>
      <c r="F33" s="24">
        <v>348.3</v>
      </c>
      <c r="G33" s="24">
        <f t="shared" si="2"/>
        <v>3055</v>
      </c>
      <c r="H33" s="24">
        <f t="shared" si="2"/>
        <v>0</v>
      </c>
      <c r="I33" s="25">
        <f t="shared" si="3"/>
        <v>3055</v>
      </c>
      <c r="J33" s="25">
        <f t="shared" si="4"/>
        <v>192.8</v>
      </c>
      <c r="K33" s="25">
        <f>(C33+D33)*I6</f>
        <v>109.5</v>
      </c>
      <c r="L33" s="25"/>
      <c r="M33" s="25"/>
      <c r="N33" s="25"/>
      <c r="O33" s="25">
        <f t="shared" si="5"/>
        <v>3357.3</v>
      </c>
      <c r="P33" s="27">
        <f>IF('[6]Calculo ISR '!$BW$34&lt;0,0,'[6]Calculo ISR '!$BW$34)</f>
        <v>115.11451199999996</v>
      </c>
      <c r="Q33" s="28">
        <v>320.77</v>
      </c>
      <c r="R33" s="28"/>
      <c r="S33" s="28"/>
      <c r="T33" s="28"/>
      <c r="U33" s="28"/>
      <c r="V33" s="25">
        <f>P33+Q33+R33+S33+T33+U33</f>
        <v>435.88451199999997</v>
      </c>
      <c r="W33" s="28">
        <f>IF('[6]Calculo ISR '!$BW$34&gt;0,0,('[6]Calculo ISR '!$BW$34)*-1)</f>
        <v>0</v>
      </c>
      <c r="X33" s="25">
        <f t="shared" si="8"/>
        <v>2728.6154879999999</v>
      </c>
      <c r="Y33" s="71">
        <f t="shared" si="1"/>
        <v>192.8</v>
      </c>
      <c r="Z33" s="72"/>
      <c r="AA33" s="73"/>
      <c r="AB33" s="70"/>
    </row>
    <row r="34" spans="1:31" s="35" customFormat="1" ht="45" customHeight="1">
      <c r="A34" s="21" t="s">
        <v>96</v>
      </c>
      <c r="B34" s="33" t="s">
        <v>102</v>
      </c>
      <c r="C34" s="34">
        <v>7.5</v>
      </c>
      <c r="D34" s="34">
        <v>0</v>
      </c>
      <c r="E34" s="24">
        <v>305.5</v>
      </c>
      <c r="F34" s="24">
        <v>348.3</v>
      </c>
      <c r="G34" s="24">
        <f t="shared" si="2"/>
        <v>2291.25</v>
      </c>
      <c r="H34" s="24">
        <f t="shared" si="2"/>
        <v>0</v>
      </c>
      <c r="I34" s="25">
        <f t="shared" si="3"/>
        <v>2291.25</v>
      </c>
      <c r="J34" s="25">
        <f t="shared" si="4"/>
        <v>144.60000000000002</v>
      </c>
      <c r="K34" s="25">
        <f>(C34+D34)*I6</f>
        <v>82.125</v>
      </c>
      <c r="L34" s="25"/>
      <c r="M34" s="25"/>
      <c r="N34" s="25"/>
      <c r="O34" s="25">
        <f t="shared" si="5"/>
        <v>2517.9749999999999</v>
      </c>
      <c r="P34" s="27">
        <f>IF('[6]Calculo ISR '!$BX$34&lt;0,0,'[6]Calculo ISR '!$BX$34)</f>
        <v>0</v>
      </c>
      <c r="Q34" s="28">
        <v>240.58</v>
      </c>
      <c r="R34" s="28"/>
      <c r="S34" s="28"/>
      <c r="T34" s="28"/>
      <c r="U34" s="28"/>
      <c r="V34" s="25">
        <f>P34+Q34+R34+S34+T34+U34</f>
        <v>240.58</v>
      </c>
      <c r="W34" s="28">
        <f>IF('[6]Calculo ISR '!$BX$34&gt;0,0,('[6]Calculo ISR '!$BX$34)*-1)</f>
        <v>6.2098880000000065</v>
      </c>
      <c r="X34" s="25">
        <f t="shared" si="8"/>
        <v>2139.0048879999999</v>
      </c>
      <c r="Y34" s="71">
        <f t="shared" si="1"/>
        <v>144.60000000000002</v>
      </c>
      <c r="Z34" s="72"/>
      <c r="AA34" s="73"/>
      <c r="AB34" s="70"/>
    </row>
    <row r="35" spans="1:31" s="35" customFormat="1" ht="45" customHeight="1">
      <c r="A35" s="21" t="s">
        <v>103</v>
      </c>
      <c r="B35" s="33" t="s">
        <v>104</v>
      </c>
      <c r="C35" s="34">
        <v>5</v>
      </c>
      <c r="D35" s="34">
        <v>0</v>
      </c>
      <c r="E35" s="24">
        <v>305.5</v>
      </c>
      <c r="F35" s="24">
        <v>348.3</v>
      </c>
      <c r="G35" s="24">
        <f t="shared" si="2"/>
        <v>1527.5</v>
      </c>
      <c r="H35" s="24">
        <f t="shared" si="2"/>
        <v>0</v>
      </c>
      <c r="I35" s="25">
        <f t="shared" si="3"/>
        <v>1527.5</v>
      </c>
      <c r="J35" s="25">
        <f t="shared" si="4"/>
        <v>96.4</v>
      </c>
      <c r="K35" s="25">
        <f>(C35+D35)*I6</f>
        <v>54.75</v>
      </c>
      <c r="L35" s="25"/>
      <c r="M35" s="25"/>
      <c r="N35" s="25"/>
      <c r="O35" s="25">
        <f t="shared" si="5"/>
        <v>1678.65</v>
      </c>
      <c r="P35" s="27">
        <f>IF('[6]Calculo ISR '!$BX$34&lt;0,0,'[6]Calculo ISR '!$BX$34)</f>
        <v>0</v>
      </c>
      <c r="Q35" s="28">
        <v>160.38999999999999</v>
      </c>
      <c r="R35" s="28"/>
      <c r="S35" s="28"/>
      <c r="T35" s="28"/>
      <c r="U35" s="28"/>
      <c r="V35" s="25">
        <f t="shared" ref="V35:V39" si="9">P35+Q35+R35+S35+T35+U35</f>
        <v>160.38999999999999</v>
      </c>
      <c r="W35" s="28">
        <f>IF('[6]Calculo ISR '!$BY$34&gt;0,0,('[6]Calculo ISR '!$BY$34)*-1)</f>
        <v>110.45383999999997</v>
      </c>
      <c r="X35" s="25">
        <f t="shared" si="8"/>
        <v>1532.31384</v>
      </c>
      <c r="Y35" s="25">
        <f t="shared" si="1"/>
        <v>96.4</v>
      </c>
      <c r="Z35" s="72"/>
      <c r="AA35" s="73"/>
      <c r="AB35" s="70"/>
    </row>
    <row r="36" spans="1:31" s="35" customFormat="1" ht="45" customHeight="1">
      <c r="A36" s="21" t="s">
        <v>105</v>
      </c>
      <c r="B36" s="33" t="s">
        <v>106</v>
      </c>
      <c r="C36" s="34">
        <v>5</v>
      </c>
      <c r="D36" s="34">
        <v>0</v>
      </c>
      <c r="E36" s="24">
        <v>305.5</v>
      </c>
      <c r="F36" s="24">
        <v>348.3</v>
      </c>
      <c r="G36" s="24">
        <f t="shared" si="2"/>
        <v>1527.5</v>
      </c>
      <c r="H36" s="24">
        <f t="shared" si="2"/>
        <v>0</v>
      </c>
      <c r="I36" s="25">
        <f t="shared" si="3"/>
        <v>1527.5</v>
      </c>
      <c r="J36" s="25">
        <f t="shared" si="4"/>
        <v>96.4</v>
      </c>
      <c r="K36" s="25">
        <f>(C36+D36)*I$6</f>
        <v>54.75</v>
      </c>
      <c r="L36" s="25"/>
      <c r="M36" s="25"/>
      <c r="N36" s="25"/>
      <c r="O36" s="25">
        <f t="shared" si="5"/>
        <v>1678.65</v>
      </c>
      <c r="P36" s="27">
        <f>IF('[6]Calculo ISR '!$BX$34&lt;0,0,'[6]Calculo ISR '!$BX$34)</f>
        <v>0</v>
      </c>
      <c r="Q36" s="28">
        <v>160.38999999999999</v>
      </c>
      <c r="R36" s="28"/>
      <c r="S36" s="28"/>
      <c r="T36" s="28"/>
      <c r="U36" s="28"/>
      <c r="V36" s="25">
        <f t="shared" si="9"/>
        <v>160.38999999999999</v>
      </c>
      <c r="W36" s="28">
        <f>IF('[6]Calculo ISR '!$BZ$34&gt;0,0,('[6]Calculo ISR '!$BZ$34)*-1)</f>
        <v>110.45383999999997</v>
      </c>
      <c r="X36" s="25">
        <f t="shared" si="8"/>
        <v>1532.31384</v>
      </c>
      <c r="Y36" s="25">
        <f t="shared" si="1"/>
        <v>96.4</v>
      </c>
      <c r="Z36" s="72"/>
      <c r="AA36" s="73"/>
      <c r="AB36" s="70"/>
    </row>
    <row r="37" spans="1:31" s="35" customFormat="1" ht="45" customHeight="1">
      <c r="A37" s="21" t="s">
        <v>108</v>
      </c>
      <c r="B37" s="33" t="s">
        <v>109</v>
      </c>
      <c r="C37" s="34">
        <v>7.5</v>
      </c>
      <c r="D37" s="34">
        <v>0</v>
      </c>
      <c r="E37" s="24">
        <v>305.5</v>
      </c>
      <c r="F37" s="24">
        <v>348.3</v>
      </c>
      <c r="G37" s="24">
        <f t="shared" si="2"/>
        <v>2291.25</v>
      </c>
      <c r="H37" s="24">
        <f t="shared" si="2"/>
        <v>0</v>
      </c>
      <c r="I37" s="25">
        <f t="shared" si="3"/>
        <v>2291.25</v>
      </c>
      <c r="J37" s="25">
        <f t="shared" si="4"/>
        <v>144.60000000000002</v>
      </c>
      <c r="K37" s="25">
        <f t="shared" ref="K37:K39" si="10">(C37+D37)*I$6</f>
        <v>82.125</v>
      </c>
      <c r="L37" s="25"/>
      <c r="M37" s="25"/>
      <c r="N37" s="25"/>
      <c r="O37" s="25">
        <f>SUM(I37:N37)</f>
        <v>2517.9749999999999</v>
      </c>
      <c r="P37" s="27"/>
      <c r="Q37" s="28">
        <v>160.38999999999999</v>
      </c>
      <c r="R37" s="28"/>
      <c r="S37" s="28"/>
      <c r="T37" s="28"/>
      <c r="U37" s="28"/>
      <c r="V37" s="25">
        <f t="shared" si="9"/>
        <v>160.38999999999999</v>
      </c>
      <c r="W37" s="28">
        <f>IF('[6]Calculo ISR '!$CA$34&gt;0,0,('[6]Calculo ISR '!$CA$34)*-1)</f>
        <v>6.2098880000000065</v>
      </c>
      <c r="X37" s="25">
        <f t="shared" si="8"/>
        <v>2219.194888</v>
      </c>
      <c r="Y37" s="25">
        <f t="shared" si="1"/>
        <v>144.60000000000002</v>
      </c>
      <c r="Z37" s="93"/>
      <c r="AA37" s="73"/>
      <c r="AB37" s="70"/>
    </row>
    <row r="38" spans="1:31" s="35" customFormat="1" ht="45" customHeight="1">
      <c r="A38" s="21" t="s">
        <v>110</v>
      </c>
      <c r="B38" s="33" t="s">
        <v>111</v>
      </c>
      <c r="C38" s="34">
        <v>5</v>
      </c>
      <c r="D38" s="34">
        <v>0</v>
      </c>
      <c r="E38" s="24">
        <v>305.5</v>
      </c>
      <c r="F38" s="24">
        <v>348.3</v>
      </c>
      <c r="G38" s="24">
        <f t="shared" si="2"/>
        <v>1527.5</v>
      </c>
      <c r="H38" s="24">
        <f t="shared" si="2"/>
        <v>0</v>
      </c>
      <c r="I38" s="25">
        <f t="shared" si="3"/>
        <v>1527.5</v>
      </c>
      <c r="J38" s="25">
        <f t="shared" si="4"/>
        <v>96.4</v>
      </c>
      <c r="K38" s="25">
        <f t="shared" si="10"/>
        <v>54.75</v>
      </c>
      <c r="L38" s="25"/>
      <c r="M38" s="25"/>
      <c r="N38" s="25"/>
      <c r="O38" s="25">
        <f>SUM(I38:N38)</f>
        <v>1678.65</v>
      </c>
      <c r="P38" s="27"/>
      <c r="Q38" s="28">
        <v>160.38999999999999</v>
      </c>
      <c r="R38" s="28"/>
      <c r="S38" s="28"/>
      <c r="T38" s="28"/>
      <c r="U38" s="28"/>
      <c r="V38" s="25">
        <f t="shared" si="9"/>
        <v>160.38999999999999</v>
      </c>
      <c r="W38" s="28">
        <f>IF('[6]Calculo ISR '!$CB$34&gt;0,0,('[6]Calculo ISR '!$CB$34)*-1)</f>
        <v>110.45383999999997</v>
      </c>
      <c r="X38" s="25">
        <f t="shared" si="8"/>
        <v>1532.31384</v>
      </c>
      <c r="Y38" s="25">
        <f t="shared" si="1"/>
        <v>96.4</v>
      </c>
      <c r="Z38" s="93"/>
      <c r="AA38" s="73"/>
      <c r="AB38" s="70"/>
    </row>
    <row r="39" spans="1:31" s="35" customFormat="1" ht="45" customHeight="1">
      <c r="A39" s="21" t="s">
        <v>112</v>
      </c>
      <c r="B39" s="33" t="s">
        <v>113</v>
      </c>
      <c r="C39" s="34">
        <v>5</v>
      </c>
      <c r="D39" s="34">
        <v>0</v>
      </c>
      <c r="E39" s="24">
        <v>305.5</v>
      </c>
      <c r="F39" s="24">
        <v>348.3</v>
      </c>
      <c r="G39" s="24">
        <f t="shared" si="2"/>
        <v>1527.5</v>
      </c>
      <c r="H39" s="24">
        <f t="shared" si="2"/>
        <v>0</v>
      </c>
      <c r="I39" s="25">
        <f t="shared" si="3"/>
        <v>1527.5</v>
      </c>
      <c r="J39" s="25">
        <f t="shared" si="4"/>
        <v>96.4</v>
      </c>
      <c r="K39" s="25">
        <f t="shared" si="10"/>
        <v>54.75</v>
      </c>
      <c r="L39" s="25"/>
      <c r="M39" s="25"/>
      <c r="N39" s="25"/>
      <c r="O39" s="25">
        <f t="shared" si="5"/>
        <v>1678.65</v>
      </c>
      <c r="P39" s="27"/>
      <c r="Q39" s="28">
        <v>160.38999999999999</v>
      </c>
      <c r="R39" s="28"/>
      <c r="S39" s="28"/>
      <c r="T39" s="28"/>
      <c r="U39" s="28"/>
      <c r="V39" s="25">
        <f t="shared" si="9"/>
        <v>160.38999999999999</v>
      </c>
      <c r="W39" s="28">
        <f>IF('[6]Calculo ISR '!$CC$34&gt;0,0,('[6]Calculo ISR '!$CC$34)*-1)</f>
        <v>110.45383999999997</v>
      </c>
      <c r="X39" s="25">
        <f t="shared" si="8"/>
        <v>1532.31384</v>
      </c>
      <c r="Y39" s="25">
        <f t="shared" si="1"/>
        <v>96.4</v>
      </c>
      <c r="Z39" s="93"/>
      <c r="AA39" s="73"/>
      <c r="AB39" s="70"/>
    </row>
    <row r="40" spans="1:31" s="2" customFormat="1" ht="30" customHeight="1" thickBot="1">
      <c r="A40" s="86"/>
      <c r="B40" s="38" t="s">
        <v>74</v>
      </c>
      <c r="C40" s="39">
        <f t="shared" ref="C40:M40" si="11">SUM(C10:C39)</f>
        <v>341.5</v>
      </c>
      <c r="D40" s="39">
        <f t="shared" si="11"/>
        <v>37.5</v>
      </c>
      <c r="E40" s="40">
        <f t="shared" si="11"/>
        <v>9165</v>
      </c>
      <c r="F40" s="40">
        <f t="shared" si="11"/>
        <v>10448.999999999998</v>
      </c>
      <c r="G40" s="40">
        <f t="shared" si="11"/>
        <v>104328.25</v>
      </c>
      <c r="H40" s="40">
        <f t="shared" si="11"/>
        <v>13061.25</v>
      </c>
      <c r="I40" s="40">
        <f t="shared" si="11"/>
        <v>117389.5</v>
      </c>
      <c r="J40" s="40">
        <f t="shared" si="11"/>
        <v>7307.12</v>
      </c>
      <c r="K40" s="40">
        <f t="shared" si="11"/>
        <v>4150.05</v>
      </c>
      <c r="L40" s="40">
        <f t="shared" si="11"/>
        <v>1650.2000000000003</v>
      </c>
      <c r="M40" s="40">
        <f t="shared" si="11"/>
        <v>590.54499999999996</v>
      </c>
      <c r="N40" s="40">
        <f t="shared" ref="N40" si="12">SUM(N10:N36)</f>
        <v>0</v>
      </c>
      <c r="O40" s="40">
        <f t="shared" ref="O40:X40" si="13">SUM(O10:O39)</f>
        <v>131087.41500000001</v>
      </c>
      <c r="P40" s="40">
        <f t="shared" si="13"/>
        <v>11342.350696</v>
      </c>
      <c r="Q40" s="40">
        <f t="shared" si="13"/>
        <v>12245.709999999994</v>
      </c>
      <c r="R40" s="40">
        <f t="shared" si="13"/>
        <v>10469.74</v>
      </c>
      <c r="S40" s="40">
        <f t="shared" si="13"/>
        <v>807.29499999999996</v>
      </c>
      <c r="T40" s="40">
        <f t="shared" si="13"/>
        <v>0</v>
      </c>
      <c r="U40" s="74">
        <f t="shared" si="13"/>
        <v>611</v>
      </c>
      <c r="V40" s="40">
        <f t="shared" si="13"/>
        <v>35476.095696000004</v>
      </c>
      <c r="W40" s="40">
        <f t="shared" si="13"/>
        <v>694.17310399999997</v>
      </c>
      <c r="X40" s="40">
        <f t="shared" si="13"/>
        <v>88998.37240800001</v>
      </c>
      <c r="Y40" s="40">
        <f>SUM(Y9:Y39)</f>
        <v>7307.12</v>
      </c>
      <c r="Z40" s="41"/>
      <c r="AA40" s="3"/>
      <c r="AB40" s="75"/>
      <c r="AC40" s="42"/>
    </row>
    <row r="41" spans="1:31" s="65" customFormat="1" ht="5.25" customHeight="1">
      <c r="A41" s="76"/>
      <c r="B41" s="60">
        <v>30</v>
      </c>
      <c r="C41" s="61"/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64"/>
      <c r="AB41" s="94"/>
    </row>
    <row r="42" spans="1:31" s="65" customFormat="1" ht="5.25" customHeight="1">
      <c r="A42" s="76"/>
      <c r="B42" s="60"/>
      <c r="C42" s="61"/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3"/>
      <c r="AA42" s="64"/>
      <c r="AB42" s="64"/>
    </row>
    <row r="43" spans="1:31" s="2" customFormat="1" ht="15" customHeight="1">
      <c r="A43" s="69"/>
      <c r="B43" s="48" t="s">
        <v>75</v>
      </c>
      <c r="C43" s="1"/>
      <c r="D43" s="1"/>
      <c r="E43" s="1"/>
      <c r="F43" s="1"/>
      <c r="G43" s="1"/>
      <c r="H43" s="66" t="s">
        <v>76</v>
      </c>
      <c r="I43" s="64">
        <f>I40+'[6]HT-ADMINISTRATIVOS FIRMA '!E46</f>
        <v>319247.02437726827</v>
      </c>
      <c r="L43" s="66"/>
      <c r="M43" s="66"/>
      <c r="N43" s="66"/>
      <c r="O43" s="66"/>
      <c r="P43" s="49"/>
      <c r="Q43" s="50"/>
      <c r="R43" s="1"/>
      <c r="S43" s="1"/>
      <c r="T43" s="1"/>
      <c r="U43" s="1"/>
      <c r="V43" s="1" t="s">
        <v>77</v>
      </c>
      <c r="W43" s="1"/>
      <c r="X43" s="1"/>
      <c r="Y43" s="1"/>
      <c r="Z43" s="1"/>
      <c r="AB43" s="42"/>
      <c r="AE43" s="1"/>
    </row>
    <row r="44" spans="1:31" s="2" customFormat="1" hidden="1">
      <c r="A44" s="69"/>
      <c r="B44" s="1"/>
      <c r="C44" s="1"/>
      <c r="D44" s="1"/>
      <c r="E44" s="1"/>
      <c r="F44" s="1"/>
      <c r="G44" s="1"/>
      <c r="H44" s="1"/>
      <c r="K44" s="1"/>
      <c r="L44" s="1"/>
      <c r="M44" s="1"/>
      <c r="N44" s="1"/>
      <c r="O44" s="51"/>
      <c r="P44" s="51"/>
      <c r="Q44" s="51"/>
      <c r="R44" s="1"/>
      <c r="S44" s="1"/>
      <c r="T44" s="1"/>
      <c r="U44" s="1"/>
      <c r="V44" s="1"/>
      <c r="W44" s="1"/>
      <c r="X44" s="1"/>
      <c r="Y44" s="1"/>
      <c r="Z44" s="1"/>
      <c r="AB44" s="42"/>
      <c r="AE44" s="1"/>
    </row>
    <row r="45" spans="1:31" s="2" customFormat="1" hidden="1">
      <c r="A45" s="69"/>
      <c r="B45" s="1"/>
      <c r="C45" s="1"/>
      <c r="D45" s="1"/>
      <c r="E45" s="1"/>
      <c r="F45" s="1"/>
      <c r="G45" s="1"/>
      <c r="H45" s="1"/>
      <c r="K45" s="1"/>
      <c r="L45" s="1"/>
      <c r="M45" s="1"/>
      <c r="N45" s="1"/>
      <c r="O45" s="51"/>
      <c r="P45" s="51"/>
      <c r="Q45" s="51"/>
      <c r="R45" s="1"/>
      <c r="S45" s="1"/>
      <c r="T45" s="1"/>
      <c r="U45" s="1"/>
      <c r="V45" s="1"/>
      <c r="W45" s="1"/>
      <c r="X45" s="1"/>
      <c r="Y45" s="1"/>
      <c r="Z45" s="1"/>
      <c r="AB45" s="42"/>
      <c r="AE45" s="1"/>
    </row>
    <row r="46" spans="1:31" s="2" customFormat="1" hidden="1">
      <c r="A46" s="69"/>
      <c r="B46" s="1"/>
      <c r="C46" s="1"/>
      <c r="D46" s="1"/>
      <c r="E46" s="1"/>
      <c r="F46" s="1"/>
      <c r="G46" s="1"/>
      <c r="H46" s="1"/>
      <c r="K46" s="1"/>
      <c r="L46" s="1"/>
      <c r="M46" s="1"/>
      <c r="N46" s="1"/>
      <c r="O46" s="52"/>
      <c r="P46" s="52"/>
      <c r="Q46" s="52"/>
      <c r="R46" s="1"/>
      <c r="S46" s="3"/>
      <c r="T46" s="1"/>
      <c r="U46" s="1"/>
      <c r="V46" s="1"/>
      <c r="W46" s="1"/>
      <c r="X46" s="1"/>
      <c r="Y46" s="1"/>
      <c r="Z46" s="1"/>
      <c r="AE46" s="1"/>
    </row>
    <row r="47" spans="1:31" s="2" customFormat="1">
      <c r="A47" s="69"/>
      <c r="B47" s="48" t="s">
        <v>78</v>
      </c>
      <c r="C47" s="1"/>
      <c r="D47" s="1"/>
      <c r="E47" s="1"/>
      <c r="F47" s="1"/>
      <c r="G47" s="53" t="s">
        <v>79</v>
      </c>
      <c r="H47" s="1"/>
      <c r="I47" s="42"/>
      <c r="L47" s="53"/>
      <c r="M47" s="53"/>
      <c r="N47" s="53"/>
      <c r="O47" s="53"/>
      <c r="P47" s="52"/>
      <c r="Q47" s="49"/>
      <c r="R47" s="1"/>
      <c r="S47" s="1"/>
      <c r="T47" s="1"/>
      <c r="U47" s="1"/>
      <c r="V47" s="53" t="s">
        <v>80</v>
      </c>
      <c r="W47" s="53"/>
      <c r="X47" s="53"/>
      <c r="Y47" s="53"/>
      <c r="Z47" s="1"/>
      <c r="AE47" s="1"/>
    </row>
    <row r="48" spans="1:31" ht="12.75" customHeight="1">
      <c r="B48" s="54" t="s">
        <v>81</v>
      </c>
      <c r="G48" s="53" t="s">
        <v>82</v>
      </c>
      <c r="L48" s="53"/>
      <c r="M48" s="53"/>
      <c r="N48" s="53"/>
      <c r="O48" s="53"/>
      <c r="P48" s="53"/>
      <c r="Q48" s="52"/>
      <c r="V48" s="181" t="s">
        <v>83</v>
      </c>
      <c r="W48" s="181"/>
      <c r="X48" s="181"/>
      <c r="Y48" s="55"/>
      <c r="AA48" s="3"/>
    </row>
    <row r="49" spans="1:27">
      <c r="AA49" s="3"/>
    </row>
    <row r="50" spans="1:27">
      <c r="R50" s="3"/>
      <c r="AA50" s="3"/>
    </row>
    <row r="51" spans="1:27">
      <c r="AA51" s="3"/>
    </row>
    <row r="52" spans="1:27">
      <c r="AA52" s="3"/>
    </row>
    <row r="53" spans="1:27">
      <c r="O53" s="6"/>
      <c r="AA53" s="3"/>
    </row>
    <row r="54" spans="1:27">
      <c r="AA54" s="3"/>
    </row>
    <row r="55" spans="1:27">
      <c r="AA55" s="3"/>
    </row>
    <row r="56" spans="1:27" s="56" customFormat="1">
      <c r="A56" s="6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7" s="56" customFormat="1">
      <c r="A57" s="6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7" s="57" customFormat="1">
      <c r="A58" s="6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7" s="57" customFormat="1">
      <c r="A59" s="6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7" s="57" customFormat="1">
      <c r="A60" s="6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7" s="57" customFormat="1">
      <c r="A61" s="6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7" s="57" customFormat="1">
      <c r="A62" s="6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7" s="57" customFormat="1">
      <c r="A63" s="6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7" s="57" customFormat="1">
      <c r="A64" s="6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57" customFormat="1">
      <c r="A65" s="6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57" customFormat="1">
      <c r="A66" s="6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57" customFormat="1">
      <c r="A67" s="6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9" spans="1:26">
      <c r="S69" s="3"/>
    </row>
  </sheetData>
  <mergeCells count="31">
    <mergeCell ref="V48:X48"/>
    <mergeCell ref="Z27:AA27"/>
    <mergeCell ref="Z28:AA28"/>
    <mergeCell ref="Z29:AA29"/>
    <mergeCell ref="Z30:AA30"/>
    <mergeCell ref="Z31:AA31"/>
    <mergeCell ref="Z32:AA32"/>
    <mergeCell ref="Z26:AA26"/>
    <mergeCell ref="Z15:AA15"/>
    <mergeCell ref="Z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Z14:AA14"/>
    <mergeCell ref="A8:A9"/>
    <mergeCell ref="B8:B9"/>
    <mergeCell ref="C8:I8"/>
    <mergeCell ref="J8:O8"/>
    <mergeCell ref="P8:V8"/>
    <mergeCell ref="W8:Y8"/>
    <mergeCell ref="Z9:AA9"/>
    <mergeCell ref="Z10:AA10"/>
    <mergeCell ref="Z11:AA11"/>
    <mergeCell ref="Z12:AA12"/>
    <mergeCell ref="Z13:AA13"/>
  </mergeCells>
  <pageMargins left="0.8" right="0.15748031496062992" top="0.47244094488188981" bottom="0.51181102362204722" header="0.31496062992125984" footer="0.31496062992125984"/>
  <pageSetup paperSize="5"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AE69"/>
  <sheetViews>
    <sheetView topLeftCell="A3" zoomScale="80" zoomScaleNormal="80" zoomScaleSheetLayoutView="100" workbookViewId="0">
      <pane xSplit="2" ySplit="7" topLeftCell="C39" activePane="bottomRight" state="frozen"/>
      <selection activeCell="A3" sqref="A3"/>
      <selection pane="topRight" activeCell="C3" sqref="C3"/>
      <selection pane="bottomLeft" activeCell="A10" sqref="A10"/>
      <selection pane="bottomRight" activeCell="V47" sqref="V47"/>
    </sheetView>
  </sheetViews>
  <sheetFormatPr baseColWidth="10" defaultRowHeight="12.75"/>
  <cols>
    <col min="1" max="1" width="12.7109375" style="69" customWidth="1"/>
    <col min="2" max="2" width="31.5703125" style="1" customWidth="1"/>
    <col min="3" max="4" width="7.140625" style="1" customWidth="1"/>
    <col min="5" max="5" width="10.42578125" style="1" customWidth="1"/>
    <col min="6" max="6" width="11" style="1" customWidth="1"/>
    <col min="7" max="7" width="13.28515625" style="1" customWidth="1"/>
    <col min="8" max="8" width="10.85546875" style="1" customWidth="1"/>
    <col min="9" max="9" width="13" style="1" customWidth="1"/>
    <col min="10" max="10" width="10.5703125" style="1" customWidth="1"/>
    <col min="11" max="11" width="9.85546875" style="1" customWidth="1"/>
    <col min="12" max="12" width="10.140625" style="1" customWidth="1"/>
    <col min="13" max="13" width="8.42578125" style="1" customWidth="1"/>
    <col min="14" max="14" width="5.85546875" style="1" customWidth="1"/>
    <col min="15" max="15" width="12.42578125" style="1" customWidth="1"/>
    <col min="16" max="16" width="11" style="1" hidden="1" customWidth="1"/>
    <col min="17" max="17" width="10.85546875" style="1" hidden="1" customWidth="1"/>
    <col min="18" max="18" width="11.140625" style="1" hidden="1" customWidth="1"/>
    <col min="19" max="19" width="8.5703125" style="1" hidden="1" customWidth="1"/>
    <col min="20" max="20" width="5" style="1" hidden="1" customWidth="1"/>
    <col min="21" max="21" width="9.85546875" style="1" hidden="1" customWidth="1"/>
    <col min="22" max="22" width="15" style="1" customWidth="1"/>
    <col min="23" max="23" width="8.28515625" style="1" customWidth="1"/>
    <col min="24" max="24" width="13.7109375" style="1" customWidth="1"/>
    <col min="25" max="25" width="10.5703125" style="1" hidden="1" customWidth="1"/>
    <col min="26" max="26" width="31" style="1" hidden="1" customWidth="1"/>
    <col min="27" max="27" width="12.28515625" style="1" hidden="1" customWidth="1"/>
    <col min="28" max="16384" width="11.42578125" style="1"/>
  </cols>
  <sheetData>
    <row r="2" spans="1:27">
      <c r="B2" s="2" t="s">
        <v>0</v>
      </c>
    </row>
    <row r="3" spans="1:27">
      <c r="B3" s="2"/>
    </row>
    <row r="4" spans="1:27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7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2"/>
      <c r="P5" s="2"/>
      <c r="Q5" s="2"/>
      <c r="R5" s="2"/>
      <c r="S5" s="2"/>
      <c r="T5" s="2"/>
      <c r="U5" s="2"/>
      <c r="V5" s="2"/>
      <c r="W5" s="2"/>
    </row>
    <row r="6" spans="1:27">
      <c r="B6" s="2"/>
      <c r="C6" s="2"/>
      <c r="D6" s="2"/>
      <c r="E6" s="4">
        <v>19.28</v>
      </c>
      <c r="F6" s="4"/>
      <c r="G6" s="4"/>
      <c r="H6" s="4"/>
      <c r="I6" s="4">
        <v>10.95</v>
      </c>
      <c r="J6" s="4"/>
      <c r="K6" s="65"/>
      <c r="L6" s="65"/>
      <c r="M6" s="65"/>
      <c r="N6" s="58">
        <v>0.105</v>
      </c>
      <c r="O6" s="65"/>
      <c r="P6" s="65"/>
      <c r="Q6" s="65"/>
      <c r="R6" s="65"/>
      <c r="S6" s="65"/>
      <c r="T6" s="5">
        <v>0.01</v>
      </c>
      <c r="U6" s="65"/>
      <c r="V6" s="65"/>
      <c r="W6" s="65"/>
    </row>
    <row r="7" spans="1:27" ht="13.5" thickBot="1">
      <c r="A7" s="85" t="s">
        <v>0</v>
      </c>
      <c r="C7" s="2"/>
      <c r="D7" s="2"/>
      <c r="E7" s="4">
        <v>22.3</v>
      </c>
      <c r="F7" s="4"/>
      <c r="G7" s="4"/>
      <c r="H7" s="4"/>
      <c r="I7" s="7">
        <v>0.02</v>
      </c>
      <c r="J7" s="8">
        <v>0.04</v>
      </c>
      <c r="K7" s="6" t="s">
        <v>114</v>
      </c>
      <c r="L7" s="2"/>
      <c r="M7" s="2"/>
      <c r="N7" s="2"/>
      <c r="P7" s="2"/>
      <c r="Q7" s="2"/>
      <c r="R7" s="2"/>
      <c r="S7" s="2"/>
      <c r="T7" s="2"/>
      <c r="U7" s="2"/>
      <c r="V7" s="2"/>
      <c r="W7" s="2"/>
    </row>
    <row r="8" spans="1:27" ht="15.75" customHeight="1" thickBot="1">
      <c r="A8" s="164" t="s">
        <v>2</v>
      </c>
      <c r="B8" s="166" t="s">
        <v>3</v>
      </c>
      <c r="C8" s="168" t="s">
        <v>4</v>
      </c>
      <c r="D8" s="169"/>
      <c r="E8" s="169"/>
      <c r="F8" s="169"/>
      <c r="G8" s="169"/>
      <c r="H8" s="169"/>
      <c r="I8" s="170"/>
      <c r="J8" s="171" t="s">
        <v>5</v>
      </c>
      <c r="K8" s="172"/>
      <c r="L8" s="172"/>
      <c r="M8" s="173"/>
      <c r="N8" s="173"/>
      <c r="O8" s="174"/>
      <c r="P8" s="175" t="s">
        <v>6</v>
      </c>
      <c r="Q8" s="176"/>
      <c r="R8" s="176"/>
      <c r="S8" s="176"/>
      <c r="T8" s="176"/>
      <c r="U8" s="176"/>
      <c r="V8" s="176"/>
      <c r="W8" s="177" t="s">
        <v>7</v>
      </c>
      <c r="X8" s="177"/>
      <c r="Y8" s="177"/>
    </row>
    <row r="9" spans="1:27" s="20" customFormat="1" ht="72">
      <c r="A9" s="165"/>
      <c r="B9" s="167"/>
      <c r="C9" s="9" t="s">
        <v>87</v>
      </c>
      <c r="D9" s="9" t="s">
        <v>88</v>
      </c>
      <c r="E9" s="9" t="s">
        <v>89</v>
      </c>
      <c r="F9" s="9" t="s">
        <v>90</v>
      </c>
      <c r="G9" s="9" t="s">
        <v>91</v>
      </c>
      <c r="H9" s="9" t="s">
        <v>92</v>
      </c>
      <c r="I9" s="67" t="s">
        <v>10</v>
      </c>
      <c r="J9" s="11" t="s">
        <v>11</v>
      </c>
      <c r="K9" s="11" t="s">
        <v>12</v>
      </c>
      <c r="L9" s="12" t="s">
        <v>13</v>
      </c>
      <c r="M9" s="13" t="s">
        <v>14</v>
      </c>
      <c r="N9" s="14" t="s">
        <v>15</v>
      </c>
      <c r="O9" s="14" t="s">
        <v>16</v>
      </c>
      <c r="P9" s="15" t="s">
        <v>17</v>
      </c>
      <c r="Q9" s="16" t="s">
        <v>18</v>
      </c>
      <c r="R9" s="16" t="s">
        <v>19</v>
      </c>
      <c r="S9" s="16" t="s">
        <v>20</v>
      </c>
      <c r="T9" s="16" t="s">
        <v>21</v>
      </c>
      <c r="U9" s="16" t="s">
        <v>22</v>
      </c>
      <c r="V9" s="16" t="s">
        <v>23</v>
      </c>
      <c r="W9" s="17" t="s">
        <v>24</v>
      </c>
      <c r="X9" s="18" t="s">
        <v>25</v>
      </c>
      <c r="Y9" s="19" t="s">
        <v>26</v>
      </c>
      <c r="Z9" s="178" t="s">
        <v>27</v>
      </c>
      <c r="AA9" s="178"/>
    </row>
    <row r="10" spans="1:27" s="69" customFormat="1" ht="45" customHeight="1">
      <c r="A10" s="21" t="s">
        <v>28</v>
      </c>
      <c r="B10" s="68" t="s">
        <v>29</v>
      </c>
      <c r="C10" s="32">
        <v>7.5</v>
      </c>
      <c r="D10" s="23">
        <v>0</v>
      </c>
      <c r="E10" s="24">
        <v>305.5</v>
      </c>
      <c r="F10" s="24">
        <v>348.3</v>
      </c>
      <c r="G10" s="24">
        <f>C10*E10</f>
        <v>2291.25</v>
      </c>
      <c r="H10" s="24">
        <f>D10*F10</f>
        <v>0</v>
      </c>
      <c r="I10" s="25">
        <f>G10+H10</f>
        <v>2291.25</v>
      </c>
      <c r="J10" s="25">
        <f>(C10+D10)*19.28</f>
        <v>144.60000000000002</v>
      </c>
      <c r="K10" s="25">
        <f>(C10+D10)*I6</f>
        <v>82.125</v>
      </c>
      <c r="L10" s="25"/>
      <c r="M10" s="25">
        <f>I10*J7</f>
        <v>91.65</v>
      </c>
      <c r="N10" s="26">
        <v>0</v>
      </c>
      <c r="O10" s="25">
        <f>SUM(I10:N10)</f>
        <v>2609.625</v>
      </c>
      <c r="P10" s="27">
        <f>IF('[7]Calculo ISR '!$AZ$34&lt;0,0,'[7]Calculo ISR '!$AZ$34)</f>
        <v>3.7616319999999916</v>
      </c>
      <c r="Q10" s="28">
        <f>I10*N6</f>
        <v>240.58124999999998</v>
      </c>
      <c r="R10" s="29">
        <v>0</v>
      </c>
      <c r="S10" s="28">
        <f>I10*T6</f>
        <v>22.912500000000001</v>
      </c>
      <c r="T10" s="28"/>
      <c r="U10" s="30">
        <f>[7]descuentos!D6</f>
        <v>763.75</v>
      </c>
      <c r="V10" s="25">
        <f t="shared" ref="V10:V24" si="0">P10+Q10+R10+S10+U10+T10</f>
        <v>1031.0053820000001</v>
      </c>
      <c r="W10" s="28">
        <f>IF('[7]Calculo ISR '!$AZ$34&gt;0,0,('[7]Calculo ISR '!$AZ$34)*-1)</f>
        <v>0</v>
      </c>
      <c r="X10" s="25">
        <f>O10-V10-Y10+W10</f>
        <v>1434.0196179999998</v>
      </c>
      <c r="Y10" s="25">
        <f t="shared" ref="Y10:Y39" si="1">J10</f>
        <v>144.60000000000002</v>
      </c>
      <c r="Z10" s="183"/>
      <c r="AA10" s="163"/>
    </row>
    <row r="11" spans="1:27" s="35" customFormat="1" ht="45" customHeight="1">
      <c r="A11" s="21" t="s">
        <v>30</v>
      </c>
      <c r="B11" s="33" t="s">
        <v>31</v>
      </c>
      <c r="C11" s="32">
        <v>12</v>
      </c>
      <c r="D11" s="32">
        <v>7.5</v>
      </c>
      <c r="E11" s="24">
        <v>305.5</v>
      </c>
      <c r="F11" s="24">
        <v>348.3</v>
      </c>
      <c r="G11" s="24">
        <f t="shared" ref="G11:H39" si="2">C11*E11</f>
        <v>3666</v>
      </c>
      <c r="H11" s="24">
        <f t="shared" si="2"/>
        <v>2612.25</v>
      </c>
      <c r="I11" s="25">
        <f t="shared" ref="I11:I39" si="3">G11+H11</f>
        <v>6278.25</v>
      </c>
      <c r="J11" s="25">
        <f t="shared" ref="J11:J39" si="4">(C11+D11)*19.28</f>
        <v>375.96000000000004</v>
      </c>
      <c r="K11" s="25">
        <f>(C11+D11)*I6</f>
        <v>213.52499999999998</v>
      </c>
      <c r="L11" s="25"/>
      <c r="M11" s="25">
        <f>I11*J7</f>
        <v>251.13</v>
      </c>
      <c r="N11" s="25">
        <f>'[7]HT-DOCENTE'!J10</f>
        <v>0</v>
      </c>
      <c r="O11" s="25">
        <f>SUM(I11:N11)</f>
        <v>7118.8649999999998</v>
      </c>
      <c r="P11" s="27">
        <f>IF('[7]Calculo ISR '!$BA$34&lt;0,0,'[7]Calculo ISR '!$BA$34)</f>
        <v>893.0953320000001</v>
      </c>
      <c r="Q11" s="28">
        <f>I11*N6</f>
        <v>659.21624999999995</v>
      </c>
      <c r="R11" s="28">
        <v>1986</v>
      </c>
      <c r="S11" s="28">
        <f>I11*T6</f>
        <v>62.782499999999999</v>
      </c>
      <c r="T11" s="28">
        <f>'[7]HT-DOCENTE'!R10</f>
        <v>0</v>
      </c>
      <c r="U11" s="28"/>
      <c r="V11" s="25">
        <f t="shared" si="0"/>
        <v>3601.0940820000001</v>
      </c>
      <c r="W11" s="28">
        <f>IF('[7]Calculo ISR '!$BA$34&gt;0,0,('[7]Calculo ISR '!$BA$34)*-1)</f>
        <v>0</v>
      </c>
      <c r="X11" s="25">
        <f>O11-V11-Y11+W11</f>
        <v>3141.8109179999997</v>
      </c>
      <c r="Y11" s="25">
        <f t="shared" si="1"/>
        <v>375.96000000000004</v>
      </c>
      <c r="Z11" s="161"/>
      <c r="AA11" s="162"/>
    </row>
    <row r="12" spans="1:27" s="35" customFormat="1" ht="45" customHeight="1">
      <c r="A12" s="21" t="s">
        <v>32</v>
      </c>
      <c r="B12" s="33" t="s">
        <v>99</v>
      </c>
      <c r="C12" s="32">
        <v>10</v>
      </c>
      <c r="D12" s="32">
        <v>0</v>
      </c>
      <c r="E12" s="24">
        <v>305.5</v>
      </c>
      <c r="F12" s="24">
        <v>348.3</v>
      </c>
      <c r="G12" s="24">
        <f t="shared" si="2"/>
        <v>3055</v>
      </c>
      <c r="H12" s="24">
        <f t="shared" si="2"/>
        <v>0</v>
      </c>
      <c r="I12" s="25">
        <f t="shared" si="3"/>
        <v>3055</v>
      </c>
      <c r="J12" s="25">
        <f t="shared" si="4"/>
        <v>192.8</v>
      </c>
      <c r="K12" s="25">
        <f>(C12+D12)*I6</f>
        <v>109.5</v>
      </c>
      <c r="L12" s="25"/>
      <c r="M12" s="25">
        <f>I12*J7</f>
        <v>122.2</v>
      </c>
      <c r="N12" s="25">
        <v>0</v>
      </c>
      <c r="O12" s="25">
        <f t="shared" ref="O12:O39" si="5">SUM(I12:N12)</f>
        <v>3479.5</v>
      </c>
      <c r="P12" s="27">
        <f>IF('[7]Calculo ISR '!$BB$34&lt;0,0,'[7]Calculo ISR '!$BB$34)</f>
        <v>128.40987199999998</v>
      </c>
      <c r="Q12" s="28">
        <f>I12*N6</f>
        <v>320.77499999999998</v>
      </c>
      <c r="R12" s="28">
        <v>873</v>
      </c>
      <c r="S12" s="28">
        <f>I12*T6</f>
        <v>30.55</v>
      </c>
      <c r="T12" s="28">
        <f>'[7]HT-DOCENTE'!R11</f>
        <v>0</v>
      </c>
      <c r="U12" s="28"/>
      <c r="V12" s="25">
        <f t="shared" si="0"/>
        <v>1352.7348719999998</v>
      </c>
      <c r="W12" s="28">
        <f>IF('[7]Calculo ISR '!$BB$34&gt;0,0,('[7]Calculo ISR '!$BB$34)*-1)</f>
        <v>0</v>
      </c>
      <c r="X12" s="25">
        <f>O12-V12-Y12+W12</f>
        <v>1933.965128</v>
      </c>
      <c r="Y12" s="25">
        <f t="shared" si="1"/>
        <v>192.8</v>
      </c>
      <c r="Z12" s="161"/>
      <c r="AA12" s="162"/>
    </row>
    <row r="13" spans="1:27" s="35" customFormat="1" ht="45" customHeight="1">
      <c r="A13" s="21" t="s">
        <v>34</v>
      </c>
      <c r="B13" s="33" t="s">
        <v>35</v>
      </c>
      <c r="C13" s="32">
        <v>12</v>
      </c>
      <c r="D13" s="32">
        <v>7.5</v>
      </c>
      <c r="E13" s="24">
        <v>305.5</v>
      </c>
      <c r="F13" s="24">
        <v>348.3</v>
      </c>
      <c r="G13" s="24">
        <f t="shared" si="2"/>
        <v>3666</v>
      </c>
      <c r="H13" s="24">
        <f>D13*F13</f>
        <v>2612.25</v>
      </c>
      <c r="I13" s="25">
        <f t="shared" si="3"/>
        <v>6278.25</v>
      </c>
      <c r="J13" s="25">
        <f t="shared" si="4"/>
        <v>375.96000000000004</v>
      </c>
      <c r="K13" s="25">
        <f>(C13+D13)*I6</f>
        <v>213.52499999999998</v>
      </c>
      <c r="L13" s="25"/>
      <c r="M13" s="25">
        <f>I13*I7</f>
        <v>125.565</v>
      </c>
      <c r="N13" s="25">
        <f>'[7]HT-DOCENTE'!J12</f>
        <v>0</v>
      </c>
      <c r="O13" s="25">
        <f t="shared" si="5"/>
        <v>6993.2999999999993</v>
      </c>
      <c r="P13" s="27">
        <f>IF('[7]Calculo ISR '!$BC$34&lt;0,0,'[7]Calculo ISR '!$BC$34)</f>
        <v>866.27464799999996</v>
      </c>
      <c r="Q13" s="28">
        <f>I13*N6</f>
        <v>659.21624999999995</v>
      </c>
      <c r="R13" s="28">
        <f>'[7]HT-DOCENTE'!P12</f>
        <v>0</v>
      </c>
      <c r="S13" s="28">
        <f>I13*T6</f>
        <v>62.782499999999999</v>
      </c>
      <c r="T13" s="28">
        <f>'[7]HT-DOCENTE'!R12</f>
        <v>0</v>
      </c>
      <c r="U13" s="28"/>
      <c r="V13" s="25">
        <f t="shared" si="0"/>
        <v>1588.273398</v>
      </c>
      <c r="W13" s="28">
        <f>IF('[7]Calculo ISR '!$BC$34&gt;0,0,('[7]Calculo ISR '!$BC$34)*-1)</f>
        <v>0</v>
      </c>
      <c r="X13" s="25">
        <f t="shared" ref="X13:X24" si="6">O13-V13-Y13+W13</f>
        <v>5029.066601999999</v>
      </c>
      <c r="Y13" s="25">
        <f t="shared" si="1"/>
        <v>375.96000000000004</v>
      </c>
      <c r="Z13" s="161"/>
      <c r="AA13" s="162"/>
    </row>
    <row r="14" spans="1:27" s="35" customFormat="1" ht="45" customHeight="1">
      <c r="A14" s="21" t="s">
        <v>36</v>
      </c>
      <c r="B14" s="33" t="s">
        <v>37</v>
      </c>
      <c r="C14" s="32">
        <v>5.5</v>
      </c>
      <c r="D14" s="32">
        <v>7.5</v>
      </c>
      <c r="E14" s="24">
        <v>305.5</v>
      </c>
      <c r="F14" s="24">
        <v>348.3</v>
      </c>
      <c r="G14" s="24">
        <f t="shared" si="2"/>
        <v>1680.25</v>
      </c>
      <c r="H14" s="24">
        <f t="shared" si="2"/>
        <v>2612.25</v>
      </c>
      <c r="I14" s="25">
        <f t="shared" si="3"/>
        <v>4292.5</v>
      </c>
      <c r="J14" s="25">
        <f t="shared" si="4"/>
        <v>250.64000000000001</v>
      </c>
      <c r="K14" s="25">
        <f>(C14+D14)*I6</f>
        <v>142.35</v>
      </c>
      <c r="L14" s="25">
        <f>(C14+D14)*E7</f>
        <v>289.90000000000003</v>
      </c>
      <c r="M14" s="25"/>
      <c r="N14" s="25">
        <f>'[7]HT-DOCENTE'!J13</f>
        <v>0</v>
      </c>
      <c r="O14" s="25">
        <f>SUM(I14:N14)</f>
        <v>4975.3900000000003</v>
      </c>
      <c r="P14" s="27">
        <f>IF('[7]Calculo ISR '!$BD$34&lt;0,0,'[7]Calculo ISR '!$BD$34)</f>
        <v>474.18068800000009</v>
      </c>
      <c r="Q14" s="28">
        <f>I14*N6</f>
        <v>450.71249999999998</v>
      </c>
      <c r="R14" s="28">
        <v>1100</v>
      </c>
      <c r="S14" s="28">
        <f>I14*T6</f>
        <v>42.925000000000004</v>
      </c>
      <c r="T14" s="28">
        <f>'[7]HT-DOCENTE'!R13</f>
        <v>0</v>
      </c>
      <c r="U14" s="28"/>
      <c r="V14" s="25">
        <f t="shared" si="0"/>
        <v>2067.8181880000002</v>
      </c>
      <c r="W14" s="28">
        <f>IF('[7]Calculo ISR '!$BD$34&gt;0,0,('[7]Calculo ISR '!$BD$34)*-1)</f>
        <v>0</v>
      </c>
      <c r="X14" s="25">
        <f t="shared" si="6"/>
        <v>2656.9318120000003</v>
      </c>
      <c r="Y14" s="25">
        <f t="shared" si="1"/>
        <v>250.64000000000001</v>
      </c>
      <c r="Z14" s="161"/>
      <c r="AA14" s="162"/>
    </row>
    <row r="15" spans="1:27" s="35" customFormat="1" ht="45" customHeight="1">
      <c r="A15" s="21" t="s">
        <v>38</v>
      </c>
      <c r="B15" s="33" t="s">
        <v>39</v>
      </c>
      <c r="C15" s="32">
        <v>11</v>
      </c>
      <c r="D15" s="32">
        <v>7.5</v>
      </c>
      <c r="E15" s="24">
        <v>305.5</v>
      </c>
      <c r="F15" s="24">
        <v>348.3</v>
      </c>
      <c r="G15" s="24">
        <f t="shared" si="2"/>
        <v>3360.5</v>
      </c>
      <c r="H15" s="24">
        <f t="shared" si="2"/>
        <v>2612.25</v>
      </c>
      <c r="I15" s="25">
        <f t="shared" si="3"/>
        <v>5972.75</v>
      </c>
      <c r="J15" s="25">
        <f t="shared" si="4"/>
        <v>356.68</v>
      </c>
      <c r="K15" s="25">
        <f>(C15+D15)*I6</f>
        <v>202.57499999999999</v>
      </c>
      <c r="L15" s="25">
        <f>(C15+D15)*E7</f>
        <v>412.55</v>
      </c>
      <c r="M15" s="25"/>
      <c r="N15" s="25">
        <f>'[7]HT-DOCENTE'!J14</f>
        <v>0</v>
      </c>
      <c r="O15" s="25">
        <f t="shared" si="5"/>
        <v>6944.5550000000003</v>
      </c>
      <c r="P15" s="27">
        <f>IF('[7]Calculo ISR '!$BE$34&lt;0,0,'[7]Calculo ISR '!$BE$34)</f>
        <v>859.98092400000007</v>
      </c>
      <c r="Q15" s="28">
        <f>I15*N6</f>
        <v>627.13874999999996</v>
      </c>
      <c r="R15" s="28">
        <v>1655</v>
      </c>
      <c r="S15" s="28">
        <f>I15*T6</f>
        <v>59.727499999999999</v>
      </c>
      <c r="T15" s="28">
        <f>'[7]HT-DOCENTE'!R14</f>
        <v>0</v>
      </c>
      <c r="U15" s="28"/>
      <c r="V15" s="25">
        <f t="shared" si="0"/>
        <v>3201.847174</v>
      </c>
      <c r="W15" s="28">
        <f>IF('[7]Calculo ISR '!$BE$34&gt;0,0,('[7]Calculo ISR '!$BE$34)*-1)</f>
        <v>0</v>
      </c>
      <c r="X15" s="25">
        <f t="shared" si="6"/>
        <v>3386.0278260000005</v>
      </c>
      <c r="Y15" s="25">
        <f t="shared" si="1"/>
        <v>356.68</v>
      </c>
      <c r="Z15" s="161"/>
      <c r="AA15" s="162"/>
    </row>
    <row r="16" spans="1:27" s="35" customFormat="1" ht="45" customHeight="1">
      <c r="A16" s="21" t="s">
        <v>40</v>
      </c>
      <c r="B16" s="33" t="s">
        <v>41</v>
      </c>
      <c r="C16" s="32">
        <f>'[7]HT-DOCENTE'!C15</f>
        <v>19.5</v>
      </c>
      <c r="D16" s="32">
        <v>0</v>
      </c>
      <c r="E16" s="24">
        <v>305.5</v>
      </c>
      <c r="F16" s="24">
        <v>348.3</v>
      </c>
      <c r="G16" s="24">
        <f t="shared" si="2"/>
        <v>5957.25</v>
      </c>
      <c r="H16" s="24">
        <f t="shared" si="2"/>
        <v>0</v>
      </c>
      <c r="I16" s="25">
        <f t="shared" si="3"/>
        <v>5957.25</v>
      </c>
      <c r="J16" s="25">
        <f t="shared" si="4"/>
        <v>375.96000000000004</v>
      </c>
      <c r="K16" s="25">
        <f>(C16+D16)*I6</f>
        <v>213.52499999999998</v>
      </c>
      <c r="L16" s="25">
        <f>(C16+D16)*E7</f>
        <v>434.85</v>
      </c>
      <c r="M16" s="25"/>
      <c r="N16" s="25">
        <f>'[7]HT-DOCENTE'!J15</f>
        <v>0</v>
      </c>
      <c r="O16" s="25">
        <f t="shared" si="5"/>
        <v>6981.585</v>
      </c>
      <c r="P16" s="27">
        <f>IF('[7]Calculo ISR '!$BF$34&lt;0,0,'[7]Calculo ISR '!$BF$34)</f>
        <v>863.77232400000003</v>
      </c>
      <c r="Q16" s="28">
        <f>I16*N6</f>
        <v>625.51125000000002</v>
      </c>
      <c r="R16" s="28">
        <f>'[7]HT-DOCENTE'!P15</f>
        <v>0</v>
      </c>
      <c r="S16" s="28">
        <f>I16*T6</f>
        <v>59.572499999999998</v>
      </c>
      <c r="T16" s="28">
        <v>0</v>
      </c>
      <c r="U16" s="28"/>
      <c r="V16" s="25">
        <f t="shared" si="0"/>
        <v>1548.856074</v>
      </c>
      <c r="W16" s="28">
        <f>IF('[7]Calculo ISR '!$BF$34&gt;0,0,('[7]Calculo ISR '!$BF$34)*-1)</f>
        <v>0</v>
      </c>
      <c r="X16" s="25">
        <f t="shared" si="6"/>
        <v>5056.7689259999997</v>
      </c>
      <c r="Y16" s="25">
        <f t="shared" si="1"/>
        <v>375.96000000000004</v>
      </c>
      <c r="Z16" s="161"/>
      <c r="AA16" s="162"/>
    </row>
    <row r="17" spans="1:28" s="35" customFormat="1" ht="45" customHeight="1">
      <c r="A17" s="21" t="s">
        <v>42</v>
      </c>
      <c r="B17" s="33" t="s">
        <v>43</v>
      </c>
      <c r="C17" s="32">
        <v>2</v>
      </c>
      <c r="D17" s="32">
        <v>0</v>
      </c>
      <c r="E17" s="24">
        <v>305.5</v>
      </c>
      <c r="F17" s="24">
        <v>348.3</v>
      </c>
      <c r="G17" s="24">
        <f t="shared" si="2"/>
        <v>611</v>
      </c>
      <c r="H17" s="24">
        <f t="shared" si="2"/>
        <v>0</v>
      </c>
      <c r="I17" s="25">
        <f>G17+H17</f>
        <v>611</v>
      </c>
      <c r="J17" s="25">
        <f t="shared" si="4"/>
        <v>38.56</v>
      </c>
      <c r="K17" s="25">
        <f>(C17+D17)*I6</f>
        <v>21.9</v>
      </c>
      <c r="L17" s="25">
        <f>(C17+D17)*E7*2</f>
        <v>89.2</v>
      </c>
      <c r="M17" s="25"/>
      <c r="N17" s="25">
        <f>'[7]HT-DOCENTE'!J16</f>
        <v>0</v>
      </c>
      <c r="O17" s="25">
        <f>SUM(I17:N17)</f>
        <v>760.66</v>
      </c>
      <c r="P17" s="27">
        <f>IF('[7]Calculo ISR '!$BG$34&lt;0,0,'[7]Calculo ISR '!$BG$34)</f>
        <v>0</v>
      </c>
      <c r="Q17" s="28">
        <f>I17*N6</f>
        <v>64.155000000000001</v>
      </c>
      <c r="R17" s="28">
        <v>0</v>
      </c>
      <c r="S17" s="28">
        <f>I17*T6</f>
        <v>6.11</v>
      </c>
      <c r="T17" s="28">
        <f>'[7]HT-DOCENTE'!R16</f>
        <v>0</v>
      </c>
      <c r="U17" s="28"/>
      <c r="V17" s="25">
        <f t="shared" si="0"/>
        <v>70.265000000000001</v>
      </c>
      <c r="W17" s="28">
        <f>IF('[7]Calculo ISR '!$BG$34&gt;0,0,('[7]Calculo ISR '!$BG$34)*-1)</f>
        <v>165.65343999999999</v>
      </c>
      <c r="X17" s="25">
        <f t="shared" si="6"/>
        <v>817.48844000000008</v>
      </c>
      <c r="Y17" s="25">
        <f t="shared" si="1"/>
        <v>38.56</v>
      </c>
      <c r="Z17" s="161"/>
      <c r="AA17" s="162"/>
    </row>
    <row r="18" spans="1:28" s="35" customFormat="1" ht="45" customHeight="1">
      <c r="A18" s="21" t="s">
        <v>44</v>
      </c>
      <c r="B18" s="33" t="s">
        <v>45</v>
      </c>
      <c r="C18" s="34">
        <v>11</v>
      </c>
      <c r="D18" s="34">
        <v>7.5</v>
      </c>
      <c r="E18" s="24">
        <v>305.5</v>
      </c>
      <c r="F18" s="24">
        <v>348.3</v>
      </c>
      <c r="G18" s="24">
        <f t="shared" si="2"/>
        <v>3360.5</v>
      </c>
      <c r="H18" s="24">
        <f t="shared" si="2"/>
        <v>2612.25</v>
      </c>
      <c r="I18" s="25">
        <f t="shared" si="3"/>
        <v>5972.75</v>
      </c>
      <c r="J18" s="25">
        <f t="shared" si="4"/>
        <v>356.68</v>
      </c>
      <c r="K18" s="25">
        <f>(C18+D18)*I6</f>
        <v>202.57499999999999</v>
      </c>
      <c r="L18" s="25"/>
      <c r="M18" s="25"/>
      <c r="N18" s="25">
        <f>'[7]HT-DOCENTE'!J17</f>
        <v>0</v>
      </c>
      <c r="O18" s="25">
        <f t="shared" si="5"/>
        <v>6532.0050000000001</v>
      </c>
      <c r="P18" s="27">
        <f>IF('[7]Calculo ISR '!$BH$34&lt;0,0,'[7]Calculo ISR '!$BH$34)</f>
        <v>771.86024400000008</v>
      </c>
      <c r="Q18" s="28">
        <f>I18*N6</f>
        <v>627.13874999999996</v>
      </c>
      <c r="R18" s="28">
        <f>'[7]HT-DOCENTE'!P17</f>
        <v>0</v>
      </c>
      <c r="S18" s="28">
        <f>I18*T6</f>
        <v>59.727499999999999</v>
      </c>
      <c r="T18" s="28">
        <f>'[7]HT-DOCENTE'!R17</f>
        <v>0</v>
      </c>
      <c r="U18" s="28"/>
      <c r="V18" s="25">
        <f t="shared" si="0"/>
        <v>1458.726494</v>
      </c>
      <c r="W18" s="28">
        <f>IF('[7]Calculo ISR '!$BH$34&gt;0,0,('[7]Calculo ISR '!$BH$34)*-1)</f>
        <v>0</v>
      </c>
      <c r="X18" s="25">
        <f t="shared" si="6"/>
        <v>4716.5985060000003</v>
      </c>
      <c r="Y18" s="25">
        <f t="shared" si="1"/>
        <v>356.68</v>
      </c>
      <c r="Z18" s="161"/>
      <c r="AA18" s="162"/>
    </row>
    <row r="19" spans="1:28" s="35" customFormat="1" ht="45" customHeight="1">
      <c r="A19" s="21" t="s">
        <v>46</v>
      </c>
      <c r="B19" s="33" t="s">
        <v>47</v>
      </c>
      <c r="C19" s="34">
        <v>6.5</v>
      </c>
      <c r="D19" s="34">
        <v>0</v>
      </c>
      <c r="E19" s="24">
        <v>305.5</v>
      </c>
      <c r="F19" s="24">
        <v>348.3</v>
      </c>
      <c r="G19" s="24">
        <f t="shared" si="2"/>
        <v>1985.75</v>
      </c>
      <c r="H19" s="24">
        <f t="shared" si="2"/>
        <v>0</v>
      </c>
      <c r="I19" s="25">
        <f t="shared" si="3"/>
        <v>1985.75</v>
      </c>
      <c r="J19" s="25">
        <f t="shared" si="4"/>
        <v>125.32000000000001</v>
      </c>
      <c r="K19" s="25">
        <f>(C19+D19)*I6</f>
        <v>71.174999999999997</v>
      </c>
      <c r="L19" s="25"/>
      <c r="M19" s="25"/>
      <c r="N19" s="25">
        <v>0</v>
      </c>
      <c r="O19" s="25">
        <f t="shared" si="5"/>
        <v>2182.2450000000003</v>
      </c>
      <c r="P19" s="27">
        <f>IF('[7]Calculo ISR '!$BI$34&lt;0,0,'[7]Calculo ISR '!$BI$34)</f>
        <v>0</v>
      </c>
      <c r="Q19" s="28">
        <f>I19*N6</f>
        <v>208.50375</v>
      </c>
      <c r="R19" s="28">
        <v>1254.74</v>
      </c>
      <c r="S19" s="28">
        <f>I19*T6</f>
        <v>19.857500000000002</v>
      </c>
      <c r="T19" s="28">
        <f>'[7]HT-DOCENTE'!R18</f>
        <v>0</v>
      </c>
      <c r="U19" s="30">
        <f>[7]descuentos!D8</f>
        <v>152.75</v>
      </c>
      <c r="V19" s="25">
        <f>P19+Q19+R19+S19+U19+T19</f>
        <v>1635.8512500000002</v>
      </c>
      <c r="W19" s="28">
        <f>IF('[7]Calculo ISR '!$BI$34&gt;0,0,('[7]Calculo ISR '!$BI$34)*-1)</f>
        <v>68.07463999999996</v>
      </c>
      <c r="X19" s="25">
        <f t="shared" si="6"/>
        <v>489.14839000000018</v>
      </c>
      <c r="Y19" s="25">
        <f t="shared" si="1"/>
        <v>125.32000000000001</v>
      </c>
      <c r="Z19" s="163"/>
      <c r="AA19" s="163"/>
    </row>
    <row r="20" spans="1:28" s="35" customFormat="1" ht="45" customHeight="1">
      <c r="A20" s="21" t="s">
        <v>48</v>
      </c>
      <c r="B20" s="33" t="s">
        <v>49</v>
      </c>
      <c r="C20" s="34">
        <v>19.5</v>
      </c>
      <c r="D20" s="34">
        <v>0</v>
      </c>
      <c r="E20" s="24">
        <v>305.5</v>
      </c>
      <c r="F20" s="24">
        <v>348.3</v>
      </c>
      <c r="G20" s="24">
        <f t="shared" si="2"/>
        <v>5957.25</v>
      </c>
      <c r="H20" s="24">
        <f t="shared" si="2"/>
        <v>0</v>
      </c>
      <c r="I20" s="25">
        <f t="shared" si="3"/>
        <v>5957.25</v>
      </c>
      <c r="J20" s="25">
        <f t="shared" si="4"/>
        <v>375.96000000000004</v>
      </c>
      <c r="K20" s="25">
        <f>(C20+D20)*I6</f>
        <v>213.52499999999998</v>
      </c>
      <c r="L20" s="25"/>
      <c r="M20" s="25"/>
      <c r="N20" s="25">
        <v>0</v>
      </c>
      <c r="O20" s="25">
        <f t="shared" si="5"/>
        <v>6546.7349999999997</v>
      </c>
      <c r="P20" s="27">
        <f>IF('[7]Calculo ISR '!$BJ$34&lt;0,0,'[7]Calculo ISR '!$BJ$34)</f>
        <v>770.88836400000002</v>
      </c>
      <c r="Q20" s="28">
        <f>I20*N6</f>
        <v>625.51125000000002</v>
      </c>
      <c r="R20" s="28">
        <f>'[7]HT-DOCENTE'!P19</f>
        <v>0</v>
      </c>
      <c r="S20" s="28">
        <f>I20*T6</f>
        <v>59.572499999999998</v>
      </c>
      <c r="T20" s="28">
        <f>'[7]HT-DOCENTE'!R19</f>
        <v>0</v>
      </c>
      <c r="U20" s="28"/>
      <c r="V20" s="25">
        <f t="shared" si="0"/>
        <v>1455.9721139999999</v>
      </c>
      <c r="W20" s="28">
        <f>IF('[7]Calculo ISR '!$BJ$34&gt;0,0,('[7]Calculo ISR '!$BJ$34)*-1)</f>
        <v>0</v>
      </c>
      <c r="X20" s="25">
        <f t="shared" si="6"/>
        <v>4714.8028859999995</v>
      </c>
      <c r="Y20" s="25">
        <f t="shared" si="1"/>
        <v>375.96000000000004</v>
      </c>
      <c r="Z20" s="161"/>
      <c r="AA20" s="162"/>
    </row>
    <row r="21" spans="1:28" s="35" customFormat="1" ht="45" customHeight="1">
      <c r="A21" s="21" t="s">
        <v>50</v>
      </c>
      <c r="B21" s="33" t="s">
        <v>51</v>
      </c>
      <c r="C21" s="34">
        <v>18.5</v>
      </c>
      <c r="D21" s="34">
        <v>0</v>
      </c>
      <c r="E21" s="24">
        <v>305.5</v>
      </c>
      <c r="F21" s="24">
        <v>348.3</v>
      </c>
      <c r="G21" s="24">
        <f t="shared" si="2"/>
        <v>5651.75</v>
      </c>
      <c r="H21" s="24">
        <f t="shared" si="2"/>
        <v>0</v>
      </c>
      <c r="I21" s="25">
        <f t="shared" si="3"/>
        <v>5651.75</v>
      </c>
      <c r="J21" s="25">
        <f t="shared" si="4"/>
        <v>356.68</v>
      </c>
      <c r="K21" s="25">
        <f>(C21+D21)*I6</f>
        <v>202.57499999999999</v>
      </c>
      <c r="L21" s="25"/>
      <c r="M21" s="25"/>
      <c r="N21" s="25">
        <v>0</v>
      </c>
      <c r="O21" s="25">
        <f>SUM(I21:N21)</f>
        <v>6211.0050000000001</v>
      </c>
      <c r="P21" s="27">
        <f>IF('[7]Calculo ISR '!$BK$34&lt;0,0,'[7]Calculo ISR '!$BK$34)</f>
        <v>703.29464400000006</v>
      </c>
      <c r="Q21" s="28">
        <f>I21*N6</f>
        <v>593.43375000000003</v>
      </c>
      <c r="R21" s="28">
        <v>1570</v>
      </c>
      <c r="S21" s="28">
        <f>I21*T6</f>
        <v>56.517499999999998</v>
      </c>
      <c r="T21" s="28"/>
      <c r="U21" s="28"/>
      <c r="V21" s="25">
        <f t="shared" si="0"/>
        <v>2923.2458940000001</v>
      </c>
      <c r="W21" s="28">
        <f>IF('[7]Calculo ISR '!$BK$34&gt;0,0,('[7]Calculo ISR '!$BK$34)*-1)</f>
        <v>0</v>
      </c>
      <c r="X21" s="25">
        <f t="shared" si="6"/>
        <v>2931.0791060000001</v>
      </c>
      <c r="Y21" s="25">
        <f t="shared" si="1"/>
        <v>356.68</v>
      </c>
      <c r="Z21" s="161"/>
      <c r="AA21" s="162"/>
    </row>
    <row r="22" spans="1:28" s="35" customFormat="1" ht="45" customHeight="1">
      <c r="A22" s="21" t="s">
        <v>52</v>
      </c>
      <c r="B22" s="33" t="s">
        <v>53</v>
      </c>
      <c r="C22" s="34">
        <v>19.5</v>
      </c>
      <c r="D22" s="34">
        <v>0</v>
      </c>
      <c r="E22" s="24">
        <v>305.5</v>
      </c>
      <c r="F22" s="24">
        <v>348.3</v>
      </c>
      <c r="G22" s="24">
        <f t="shared" si="2"/>
        <v>5957.25</v>
      </c>
      <c r="H22" s="24">
        <f t="shared" si="2"/>
        <v>0</v>
      </c>
      <c r="I22" s="25">
        <f t="shared" si="3"/>
        <v>5957.25</v>
      </c>
      <c r="J22" s="25">
        <f t="shared" si="4"/>
        <v>375.96000000000004</v>
      </c>
      <c r="K22" s="25">
        <f>(C22+D22)*I6</f>
        <v>213.52499999999998</v>
      </c>
      <c r="L22" s="25"/>
      <c r="M22" s="25"/>
      <c r="N22" s="25">
        <v>0</v>
      </c>
      <c r="O22" s="25">
        <f t="shared" si="5"/>
        <v>6546.7349999999997</v>
      </c>
      <c r="P22" s="27">
        <f>IF('[7]Calculo ISR '!$BL$34&lt;0,0,'[7]Calculo ISR '!$BL$34)</f>
        <v>770.88836400000002</v>
      </c>
      <c r="Q22" s="28">
        <f>I22*N6</f>
        <v>625.51125000000002</v>
      </c>
      <c r="R22" s="28">
        <f>'[7]HT-DOCENTE'!P21</f>
        <v>0</v>
      </c>
      <c r="S22" s="28">
        <f>I22*T6</f>
        <v>59.572499999999998</v>
      </c>
      <c r="T22" s="28"/>
      <c r="U22" s="28"/>
      <c r="V22" s="25">
        <f t="shared" si="0"/>
        <v>1455.9721139999999</v>
      </c>
      <c r="W22" s="28">
        <f>IF('[7]Calculo ISR '!$BL$34&gt;0,0,('[7]Calculo ISR '!$BL$34)*-1)</f>
        <v>0</v>
      </c>
      <c r="X22" s="25">
        <f t="shared" si="6"/>
        <v>4714.8028859999995</v>
      </c>
      <c r="Y22" s="25">
        <f t="shared" si="1"/>
        <v>375.96000000000004</v>
      </c>
      <c r="Z22" s="161"/>
      <c r="AA22" s="162"/>
    </row>
    <row r="23" spans="1:28" s="35" customFormat="1" ht="45" customHeight="1">
      <c r="A23" s="21" t="s">
        <v>54</v>
      </c>
      <c r="B23" s="33" t="s">
        <v>55</v>
      </c>
      <c r="C23" s="34">
        <v>19.5</v>
      </c>
      <c r="D23" s="34">
        <v>0</v>
      </c>
      <c r="E23" s="24">
        <v>305.5</v>
      </c>
      <c r="F23" s="24">
        <v>348.3</v>
      </c>
      <c r="G23" s="24">
        <f t="shared" si="2"/>
        <v>5957.25</v>
      </c>
      <c r="H23" s="24">
        <f t="shared" si="2"/>
        <v>0</v>
      </c>
      <c r="I23" s="25">
        <f t="shared" si="3"/>
        <v>5957.25</v>
      </c>
      <c r="J23" s="25">
        <f t="shared" si="4"/>
        <v>375.96000000000004</v>
      </c>
      <c r="K23" s="25">
        <f>(C23+D23)*I6</f>
        <v>213.52499999999998</v>
      </c>
      <c r="L23" s="25"/>
      <c r="M23" s="25"/>
      <c r="N23" s="25">
        <v>0</v>
      </c>
      <c r="O23" s="25">
        <f t="shared" si="5"/>
        <v>6546.7349999999997</v>
      </c>
      <c r="P23" s="27">
        <f>IF('[7]Calculo ISR '!$BM$34&lt;0,0,'[7]Calculo ISR '!$BM$34)</f>
        <v>770.88836400000002</v>
      </c>
      <c r="Q23" s="28">
        <f>I23*N6</f>
        <v>625.51125000000002</v>
      </c>
      <c r="R23" s="28">
        <v>1324</v>
      </c>
      <c r="S23" s="28">
        <f>I23*T6</f>
        <v>59.572499999999998</v>
      </c>
      <c r="T23" s="28">
        <f>'[7]HT-DOCENTE'!R22</f>
        <v>0</v>
      </c>
      <c r="U23" s="28"/>
      <c r="V23" s="25">
        <f t="shared" si="0"/>
        <v>2779.9721140000001</v>
      </c>
      <c r="W23" s="28">
        <f>IF('[7]Calculo ISR '!$BM$34&gt;0,0,('[7]Calculo ISR '!$BM$34)*-1)</f>
        <v>0</v>
      </c>
      <c r="X23" s="25">
        <f t="shared" si="6"/>
        <v>3390.8028859999995</v>
      </c>
      <c r="Y23" s="25">
        <f t="shared" si="1"/>
        <v>375.96000000000004</v>
      </c>
      <c r="Z23" s="161"/>
      <c r="AA23" s="162"/>
    </row>
    <row r="24" spans="1:28" s="35" customFormat="1" ht="45" customHeight="1">
      <c r="A24" s="21" t="s">
        <v>56</v>
      </c>
      <c r="B24" s="33" t="s">
        <v>57</v>
      </c>
      <c r="C24" s="34">
        <v>19</v>
      </c>
      <c r="D24" s="34">
        <v>0</v>
      </c>
      <c r="E24" s="24">
        <v>305.5</v>
      </c>
      <c r="F24" s="24">
        <v>348.3</v>
      </c>
      <c r="G24" s="24">
        <f t="shared" si="2"/>
        <v>5804.5</v>
      </c>
      <c r="H24" s="24">
        <f t="shared" si="2"/>
        <v>0</v>
      </c>
      <c r="I24" s="25">
        <f t="shared" si="3"/>
        <v>5804.5</v>
      </c>
      <c r="J24" s="25">
        <f t="shared" si="4"/>
        <v>366.32000000000005</v>
      </c>
      <c r="K24" s="25">
        <f>(C24+D24)*I6</f>
        <v>208.04999999999998</v>
      </c>
      <c r="L24" s="25">
        <f>(C24+D24)*E7</f>
        <v>423.7</v>
      </c>
      <c r="M24" s="25"/>
      <c r="N24" s="25">
        <v>0</v>
      </c>
      <c r="O24" s="25">
        <f t="shared" si="5"/>
        <v>6802.57</v>
      </c>
      <c r="P24" s="27">
        <f>IF('[7]Calculo ISR '!$BN$34&lt;0,0,'[7]Calculo ISR '!$BN$34)</f>
        <v>827.59382400000004</v>
      </c>
      <c r="Q24" s="28">
        <f>I24*N6</f>
        <v>609.47249999999997</v>
      </c>
      <c r="R24" s="28">
        <f>'[7]HT-DOCENTE'!P23</f>
        <v>0</v>
      </c>
      <c r="S24" s="28">
        <f>I24*T6</f>
        <v>58.045000000000002</v>
      </c>
      <c r="T24" s="28">
        <f>'[7]HT-DOCENTE'!R23</f>
        <v>0</v>
      </c>
      <c r="U24" s="30">
        <f>[7]descuentos!D7</f>
        <v>152.75</v>
      </c>
      <c r="V24" s="25">
        <f t="shared" si="0"/>
        <v>1647.861324</v>
      </c>
      <c r="W24" s="28">
        <f>IF('[7]Calculo ISR '!$BN$34&gt;0,0,('[7]Calculo ISR '!$BN$34)*-1)</f>
        <v>0</v>
      </c>
      <c r="X24" s="25">
        <f t="shared" si="6"/>
        <v>4788.3886760000005</v>
      </c>
      <c r="Y24" s="25">
        <f t="shared" si="1"/>
        <v>366.32000000000005</v>
      </c>
      <c r="Z24" s="161"/>
      <c r="AA24" s="162"/>
    </row>
    <row r="25" spans="1:28" s="35" customFormat="1" ht="45" customHeight="1">
      <c r="A25" s="21" t="s">
        <v>58</v>
      </c>
      <c r="B25" s="33" t="s">
        <v>59</v>
      </c>
      <c r="C25" s="34">
        <v>11</v>
      </c>
      <c r="D25" s="34">
        <v>0</v>
      </c>
      <c r="E25" s="24">
        <v>305.5</v>
      </c>
      <c r="F25" s="24">
        <v>348.3</v>
      </c>
      <c r="G25" s="24">
        <f t="shared" si="2"/>
        <v>3360.5</v>
      </c>
      <c r="H25" s="24">
        <f t="shared" si="2"/>
        <v>0</v>
      </c>
      <c r="I25" s="25">
        <f t="shared" si="3"/>
        <v>3360.5</v>
      </c>
      <c r="J25" s="25">
        <f t="shared" si="4"/>
        <v>212.08</v>
      </c>
      <c r="K25" s="25">
        <f>(C25+D25)*I6</f>
        <v>120.44999999999999</v>
      </c>
      <c r="L25" s="25"/>
      <c r="M25" s="25"/>
      <c r="N25" s="25"/>
      <c r="O25" s="25">
        <f>SUM(I25:N25)</f>
        <v>3693.0299999999997</v>
      </c>
      <c r="P25" s="27">
        <f>IF('[7]Calculo ISR '!$BO$34&lt;0,0,'[7]Calculo ISR '!$BO$34)</f>
        <v>149.54427199999995</v>
      </c>
      <c r="Q25" s="28">
        <f>I25*N6</f>
        <v>352.85249999999996</v>
      </c>
      <c r="R25" s="28">
        <v>707</v>
      </c>
      <c r="S25" s="28">
        <f>I25*T6</f>
        <v>33.605000000000004</v>
      </c>
      <c r="T25" s="28"/>
      <c r="U25" s="28"/>
      <c r="V25" s="25">
        <f>P25+Q25+R25+S25+U25+T25</f>
        <v>1243.0017720000001</v>
      </c>
      <c r="W25" s="28">
        <f>IF('[7]Calculo ISR '!$BO$34&gt;0,0,('[7]Calculo ISR '!$BO$34)*-1)</f>
        <v>0</v>
      </c>
      <c r="X25" s="25">
        <f>O25-V25-Y25+W25</f>
        <v>2237.9482279999997</v>
      </c>
      <c r="Y25" s="25">
        <f t="shared" si="1"/>
        <v>212.08</v>
      </c>
      <c r="Z25" s="161"/>
      <c r="AA25" s="162"/>
    </row>
    <row r="26" spans="1:28" s="35" customFormat="1" ht="45" customHeight="1">
      <c r="A26" s="21" t="s">
        <v>60</v>
      </c>
      <c r="B26" s="33" t="s">
        <v>100</v>
      </c>
      <c r="C26" s="34">
        <v>18.5</v>
      </c>
      <c r="D26" s="34"/>
      <c r="E26" s="24">
        <v>305.5</v>
      </c>
      <c r="F26" s="24">
        <v>348.3</v>
      </c>
      <c r="G26" s="24">
        <f t="shared" si="2"/>
        <v>5651.75</v>
      </c>
      <c r="H26" s="24">
        <f t="shared" si="2"/>
        <v>0</v>
      </c>
      <c r="I26" s="25">
        <f t="shared" si="3"/>
        <v>5651.75</v>
      </c>
      <c r="J26" s="25">
        <f t="shared" si="4"/>
        <v>356.68</v>
      </c>
      <c r="K26" s="25">
        <f>(C26+D26)*I6</f>
        <v>202.57499999999999</v>
      </c>
      <c r="L26" s="25"/>
      <c r="M26" s="25"/>
      <c r="N26" s="25"/>
      <c r="O26" s="25">
        <f t="shared" si="5"/>
        <v>6211.0050000000001</v>
      </c>
      <c r="P26" s="27">
        <f>IF('[7]Calculo ISR '!$BP$34&lt;0,0,'[7]Calculo ISR '!$BP$34)</f>
        <v>703.29464400000006</v>
      </c>
      <c r="Q26" s="28">
        <f>I26*N6</f>
        <v>593.43375000000003</v>
      </c>
      <c r="R26" s="28"/>
      <c r="S26" s="28"/>
      <c r="T26" s="28"/>
      <c r="U26" s="28"/>
      <c r="V26" s="25">
        <f>P26+Q26+R26+S26+T26+U26</f>
        <v>1296.7283940000002</v>
      </c>
      <c r="W26" s="28">
        <f>IF('[7]Calculo ISR '!$BP$34&gt;0,0,('[7]Calculo ISR '!$BP$34)*-1)</f>
        <v>0</v>
      </c>
      <c r="X26" s="25">
        <f>O26-V26-Y26+W26</f>
        <v>4557.5966059999992</v>
      </c>
      <c r="Y26" s="25">
        <f t="shared" si="1"/>
        <v>356.68</v>
      </c>
      <c r="Z26" s="161"/>
      <c r="AA26" s="162"/>
    </row>
    <row r="27" spans="1:28" s="35" customFormat="1" ht="45" customHeight="1">
      <c r="A27" s="21" t="s">
        <v>62</v>
      </c>
      <c r="B27" s="33" t="s">
        <v>63</v>
      </c>
      <c r="C27" s="34">
        <v>17.5</v>
      </c>
      <c r="D27" s="34">
        <v>0</v>
      </c>
      <c r="E27" s="24">
        <v>305.5</v>
      </c>
      <c r="F27" s="24">
        <v>348.3</v>
      </c>
      <c r="G27" s="24">
        <f t="shared" si="2"/>
        <v>5346.25</v>
      </c>
      <c r="H27" s="24">
        <f t="shared" si="2"/>
        <v>0</v>
      </c>
      <c r="I27" s="25">
        <f t="shared" si="3"/>
        <v>5346.25</v>
      </c>
      <c r="J27" s="25">
        <f t="shared" si="4"/>
        <v>337.40000000000003</v>
      </c>
      <c r="K27" s="25">
        <f>(C27+D27)*I6</f>
        <v>191.625</v>
      </c>
      <c r="L27" s="25"/>
      <c r="M27" s="25"/>
      <c r="N27" s="25">
        <v>0</v>
      </c>
      <c r="O27" s="25">
        <f t="shared" si="5"/>
        <v>5875.2749999999996</v>
      </c>
      <c r="P27" s="27">
        <f>IF('[7]Calculo ISR '!$BQ$34&lt;0,0,'[7]Calculo ISR '!$BQ$34)</f>
        <v>635.7009240000001</v>
      </c>
      <c r="Q27" s="28">
        <f>I27*N6</f>
        <v>561.35624999999993</v>
      </c>
      <c r="R27" s="28"/>
      <c r="S27" s="28">
        <f>I27*T6</f>
        <v>53.462499999999999</v>
      </c>
      <c r="T27" s="28"/>
      <c r="U27" s="28"/>
      <c r="V27" s="25">
        <f>P27+Q27+R27+S27+T27+U27</f>
        <v>1250.5196740000001</v>
      </c>
      <c r="W27" s="28">
        <f>IF('[7]Calculo ISR '!$BQ$34&gt;0,0,('[7]Calculo ISR '!$BQ$34)*-1)</f>
        <v>0</v>
      </c>
      <c r="X27" s="25">
        <f>O27-V27+W27-Y27</f>
        <v>4287.3553259999999</v>
      </c>
      <c r="Y27" s="25">
        <f t="shared" si="1"/>
        <v>337.40000000000003</v>
      </c>
      <c r="Z27" s="161"/>
      <c r="AA27" s="162"/>
    </row>
    <row r="28" spans="1:28" s="35" customFormat="1" ht="45" customHeight="1">
      <c r="A28" s="21" t="s">
        <v>64</v>
      </c>
      <c r="B28" s="33" t="s">
        <v>65</v>
      </c>
      <c r="C28" s="34">
        <v>17</v>
      </c>
      <c r="D28" s="34">
        <v>0</v>
      </c>
      <c r="E28" s="24">
        <v>305.5</v>
      </c>
      <c r="F28" s="24">
        <v>348.3</v>
      </c>
      <c r="G28" s="24">
        <f t="shared" si="2"/>
        <v>5193.5</v>
      </c>
      <c r="H28" s="24">
        <f t="shared" si="2"/>
        <v>0</v>
      </c>
      <c r="I28" s="25">
        <f t="shared" si="3"/>
        <v>5193.5</v>
      </c>
      <c r="J28" s="25">
        <f t="shared" si="4"/>
        <v>327.76</v>
      </c>
      <c r="K28" s="25">
        <f>(C28+D28)*I6</f>
        <v>186.14999999999998</v>
      </c>
      <c r="L28" s="25"/>
      <c r="M28" s="25"/>
      <c r="N28" s="25">
        <v>0</v>
      </c>
      <c r="O28" s="25">
        <f>SUM(I28:N28)</f>
        <v>5707.41</v>
      </c>
      <c r="P28" s="27">
        <f>IF('[7]Calculo ISR '!$BR$34&lt;0,0,'[7]Calculo ISR '!$BR$34)</f>
        <v>601.90406400000006</v>
      </c>
      <c r="Q28" s="28">
        <f>I28*N6</f>
        <v>545.3175</v>
      </c>
      <c r="R28" s="28"/>
      <c r="S28" s="28"/>
      <c r="T28" s="28"/>
      <c r="U28" s="28"/>
      <c r="V28" s="25">
        <f t="shared" ref="V28:V31" si="7">P28+Q28+R28+S28+T28+U28</f>
        <v>1147.2215639999999</v>
      </c>
      <c r="W28" s="28">
        <f>IF('[7]Calculo ISR '!$BR$34&gt;0,0,('[7]Calculo ISR '!$BR$34)*-1)</f>
        <v>0</v>
      </c>
      <c r="X28" s="25">
        <f t="shared" ref="X28:X39" si="8">O28-V28+W28-Y28</f>
        <v>4232.4284360000001</v>
      </c>
      <c r="Y28" s="25">
        <f t="shared" si="1"/>
        <v>327.76</v>
      </c>
      <c r="Z28" s="161"/>
      <c r="AA28" s="162"/>
    </row>
    <row r="29" spans="1:28" s="35" customFormat="1" ht="45" customHeight="1">
      <c r="A29" s="21" t="s">
        <v>66</v>
      </c>
      <c r="B29" s="36" t="s">
        <v>67</v>
      </c>
      <c r="C29" s="34">
        <v>11.5</v>
      </c>
      <c r="D29" s="34">
        <v>0</v>
      </c>
      <c r="E29" s="24">
        <v>305.5</v>
      </c>
      <c r="F29" s="24">
        <v>348.3</v>
      </c>
      <c r="G29" s="24">
        <f t="shared" si="2"/>
        <v>3513.25</v>
      </c>
      <c r="H29" s="24">
        <f t="shared" si="2"/>
        <v>0</v>
      </c>
      <c r="I29" s="25">
        <f t="shared" si="3"/>
        <v>3513.25</v>
      </c>
      <c r="J29" s="25">
        <f t="shared" si="4"/>
        <v>221.72000000000003</v>
      </c>
      <c r="K29" s="25">
        <f>(C29+D29)*I6</f>
        <v>125.925</v>
      </c>
      <c r="L29" s="25"/>
      <c r="M29" s="25"/>
      <c r="N29" s="25">
        <v>0</v>
      </c>
      <c r="O29" s="25">
        <f t="shared" si="5"/>
        <v>3860.8950000000004</v>
      </c>
      <c r="P29" s="27">
        <f>IF('[7]Calculo ISR '!$BS$34&lt;0,0,'[7]Calculo ISR '!$BS$34)</f>
        <v>184.45915199999999</v>
      </c>
      <c r="Q29" s="28">
        <f>I29*N6</f>
        <v>368.89125000000001</v>
      </c>
      <c r="R29" s="28"/>
      <c r="S29" s="28"/>
      <c r="T29" s="28"/>
      <c r="U29" s="28"/>
      <c r="V29" s="25">
        <f t="shared" si="7"/>
        <v>553.35040200000003</v>
      </c>
      <c r="W29" s="28">
        <f>IF('[7]Calculo ISR '!$BS$34&gt;0,0,('[7]Calculo ISR '!$BS$34)*-1)</f>
        <v>0</v>
      </c>
      <c r="X29" s="25">
        <f t="shared" si="8"/>
        <v>3085.8245980000002</v>
      </c>
      <c r="Y29" s="25">
        <f t="shared" si="1"/>
        <v>221.72000000000003</v>
      </c>
      <c r="Z29" s="161"/>
      <c r="AA29" s="162"/>
    </row>
    <row r="30" spans="1:28" s="35" customFormat="1" ht="45" customHeight="1">
      <c r="A30" s="21" t="s">
        <v>68</v>
      </c>
      <c r="B30" s="33" t="s">
        <v>69</v>
      </c>
      <c r="C30" s="34">
        <v>10.5</v>
      </c>
      <c r="D30" s="34">
        <v>0</v>
      </c>
      <c r="E30" s="24">
        <v>305.5</v>
      </c>
      <c r="F30" s="24">
        <v>348.3</v>
      </c>
      <c r="G30" s="24">
        <f t="shared" si="2"/>
        <v>3207.75</v>
      </c>
      <c r="H30" s="24">
        <f t="shared" si="2"/>
        <v>0</v>
      </c>
      <c r="I30" s="25">
        <f t="shared" si="3"/>
        <v>3207.75</v>
      </c>
      <c r="J30" s="25">
        <f t="shared" si="4"/>
        <v>202.44</v>
      </c>
      <c r="K30" s="25">
        <f>(C30+D30)*I6</f>
        <v>114.97499999999999</v>
      </c>
      <c r="L30" s="25"/>
      <c r="M30" s="25"/>
      <c r="N30" s="25">
        <v>0</v>
      </c>
      <c r="O30" s="25">
        <f t="shared" si="5"/>
        <v>3525.165</v>
      </c>
      <c r="P30" s="27">
        <f>IF('[7]Calculo ISR '!$BT$34&lt;0,0,'[7]Calculo ISR '!$BT$34)</f>
        <v>132.32939199999996</v>
      </c>
      <c r="Q30" s="28">
        <f>I30*N6</f>
        <v>336.81374999999997</v>
      </c>
      <c r="R30" s="28"/>
      <c r="S30" s="28"/>
      <c r="T30" s="28"/>
      <c r="U30" s="28"/>
      <c r="V30" s="25">
        <f>P30+Q30+R30+S30+T30+U30</f>
        <v>469.1431419999999</v>
      </c>
      <c r="W30" s="28">
        <f>IF('[7]Calculo ISR '!$BT$34&gt;0,0,('[7]Calculo ISR '!$BT$34)*-1)</f>
        <v>0</v>
      </c>
      <c r="X30" s="25">
        <f>O30-V30+W30-Y30</f>
        <v>2853.581858</v>
      </c>
      <c r="Y30" s="25">
        <f t="shared" si="1"/>
        <v>202.44</v>
      </c>
      <c r="Z30" s="161"/>
      <c r="AA30" s="162"/>
    </row>
    <row r="31" spans="1:28" s="35" customFormat="1" ht="45" customHeight="1">
      <c r="A31" s="21" t="s">
        <v>70</v>
      </c>
      <c r="B31" s="33" t="s">
        <v>71</v>
      </c>
      <c r="C31" s="34">
        <v>7.5</v>
      </c>
      <c r="D31" s="34">
        <v>0</v>
      </c>
      <c r="E31" s="24">
        <v>305.5</v>
      </c>
      <c r="F31" s="24">
        <v>348.3</v>
      </c>
      <c r="G31" s="24">
        <f t="shared" si="2"/>
        <v>2291.25</v>
      </c>
      <c r="H31" s="24">
        <f t="shared" si="2"/>
        <v>0</v>
      </c>
      <c r="I31" s="25">
        <f t="shared" si="3"/>
        <v>2291.25</v>
      </c>
      <c r="J31" s="25">
        <f t="shared" si="4"/>
        <v>144.60000000000002</v>
      </c>
      <c r="K31" s="25">
        <f>(C31+D31)*I6</f>
        <v>82.125</v>
      </c>
      <c r="L31" s="25"/>
      <c r="M31" s="25"/>
      <c r="N31" s="25">
        <v>0</v>
      </c>
      <c r="O31" s="25">
        <f>SUM(I31:N31)</f>
        <v>2517.9749999999999</v>
      </c>
      <c r="P31" s="27">
        <f>IF('[7]Calculo ISR '!$BU$34&lt;0,0,'[7]Calculo ISR '!$BU$34)</f>
        <v>0</v>
      </c>
      <c r="Q31" s="28">
        <f>I31*N6</f>
        <v>240.58124999999998</v>
      </c>
      <c r="R31" s="28"/>
      <c r="S31" s="28"/>
      <c r="T31" s="28"/>
      <c r="U31" s="28"/>
      <c r="V31" s="25">
        <f t="shared" si="7"/>
        <v>240.58124999999998</v>
      </c>
      <c r="W31" s="28">
        <f>IF('[7]Calculo ISR '!$BU$34&gt;0,0,('[7]Calculo ISR '!$BU$34)*-1)</f>
        <v>6.2098880000000065</v>
      </c>
      <c r="X31" s="25">
        <f t="shared" si="8"/>
        <v>2139.0036379999997</v>
      </c>
      <c r="Y31" s="25">
        <f t="shared" si="1"/>
        <v>144.60000000000002</v>
      </c>
      <c r="Z31" s="161"/>
      <c r="AA31" s="162"/>
    </row>
    <row r="32" spans="1:28" s="35" customFormat="1" ht="45" customHeight="1">
      <c r="A32" s="21" t="s">
        <v>72</v>
      </c>
      <c r="B32" s="33" t="s">
        <v>73</v>
      </c>
      <c r="C32" s="34">
        <v>10</v>
      </c>
      <c r="D32" s="34">
        <v>0</v>
      </c>
      <c r="E32" s="24">
        <v>305.5</v>
      </c>
      <c r="F32" s="24">
        <v>348.3</v>
      </c>
      <c r="G32" s="24">
        <f t="shared" si="2"/>
        <v>3055</v>
      </c>
      <c r="H32" s="24">
        <f t="shared" si="2"/>
        <v>0</v>
      </c>
      <c r="I32" s="25">
        <f t="shared" si="3"/>
        <v>3055</v>
      </c>
      <c r="J32" s="25">
        <f t="shared" si="4"/>
        <v>192.8</v>
      </c>
      <c r="K32" s="25">
        <f>(C32+D32)*I6</f>
        <v>109.5</v>
      </c>
      <c r="L32" s="25"/>
      <c r="M32" s="25"/>
      <c r="N32" s="25"/>
      <c r="O32" s="25">
        <f t="shared" si="5"/>
        <v>3357.3</v>
      </c>
      <c r="P32" s="27">
        <f>IF('[7]Calculo ISR '!$BV$34&lt;0,0,'[7]Calculo ISR '!$BV$34)</f>
        <v>115.11451199999996</v>
      </c>
      <c r="Q32" s="28">
        <f>I32*N6</f>
        <v>320.77499999999998</v>
      </c>
      <c r="R32" s="28"/>
      <c r="S32" s="28"/>
      <c r="T32" s="28"/>
      <c r="U32" s="28"/>
      <c r="V32" s="25">
        <f>P32+Q32+R32+S32+T32+U32</f>
        <v>435.88951199999997</v>
      </c>
      <c r="W32" s="28">
        <f>IF('[7]Calculo ISR '!$BV$34&gt;0,0,('[7]Calculo ISR '!$BV$34)*-1)</f>
        <v>0</v>
      </c>
      <c r="X32" s="25">
        <f t="shared" si="8"/>
        <v>2728.6104880000003</v>
      </c>
      <c r="Y32" s="25">
        <f t="shared" si="1"/>
        <v>192.8</v>
      </c>
      <c r="Z32" s="184"/>
      <c r="AA32" s="185"/>
      <c r="AB32" s="70"/>
    </row>
    <row r="33" spans="1:31" s="35" customFormat="1" ht="45" customHeight="1">
      <c r="A33" s="21" t="s">
        <v>94</v>
      </c>
      <c r="B33" s="33" t="s">
        <v>101</v>
      </c>
      <c r="C33" s="34">
        <v>10</v>
      </c>
      <c r="D33" s="34">
        <v>0</v>
      </c>
      <c r="E33" s="24">
        <v>305.5</v>
      </c>
      <c r="F33" s="24">
        <v>348.3</v>
      </c>
      <c r="G33" s="24">
        <f t="shared" si="2"/>
        <v>3055</v>
      </c>
      <c r="H33" s="24">
        <f t="shared" si="2"/>
        <v>0</v>
      </c>
      <c r="I33" s="25">
        <f t="shared" si="3"/>
        <v>3055</v>
      </c>
      <c r="J33" s="25">
        <f t="shared" si="4"/>
        <v>192.8</v>
      </c>
      <c r="K33" s="25">
        <f>(C33+D33)*I6</f>
        <v>109.5</v>
      </c>
      <c r="L33" s="25"/>
      <c r="M33" s="25"/>
      <c r="N33" s="25"/>
      <c r="O33" s="25">
        <f t="shared" si="5"/>
        <v>3357.3</v>
      </c>
      <c r="P33" s="27">
        <f>IF('[7]Calculo ISR '!$BW$34&lt;0,0,'[7]Calculo ISR '!$BW$34)</f>
        <v>115.11451199999996</v>
      </c>
      <c r="Q33" s="28">
        <v>320.77</v>
      </c>
      <c r="R33" s="28"/>
      <c r="S33" s="28"/>
      <c r="T33" s="28"/>
      <c r="U33" s="28"/>
      <c r="V33" s="25">
        <f>P33+Q33+R33+S33+T33+U33</f>
        <v>435.88451199999997</v>
      </c>
      <c r="W33" s="28">
        <f>IF('[7]Calculo ISR '!$BW$34&gt;0,0,('[7]Calculo ISR '!$BW$34)*-1)</f>
        <v>0</v>
      </c>
      <c r="X33" s="25">
        <f t="shared" si="8"/>
        <v>2728.6154879999999</v>
      </c>
      <c r="Y33" s="71">
        <f t="shared" si="1"/>
        <v>192.8</v>
      </c>
      <c r="Z33" s="72"/>
      <c r="AA33" s="73"/>
      <c r="AB33" s="70"/>
    </row>
    <row r="34" spans="1:31" s="35" customFormat="1" ht="45" customHeight="1">
      <c r="A34" s="21" t="s">
        <v>96</v>
      </c>
      <c r="B34" s="33" t="s">
        <v>102</v>
      </c>
      <c r="C34" s="34">
        <v>7.5</v>
      </c>
      <c r="D34" s="34">
        <v>0</v>
      </c>
      <c r="E34" s="24">
        <v>305.5</v>
      </c>
      <c r="F34" s="24">
        <v>348.3</v>
      </c>
      <c r="G34" s="24">
        <f t="shared" si="2"/>
        <v>2291.25</v>
      </c>
      <c r="H34" s="24">
        <f t="shared" si="2"/>
        <v>0</v>
      </c>
      <c r="I34" s="25">
        <f t="shared" si="3"/>
        <v>2291.25</v>
      </c>
      <c r="J34" s="25">
        <f t="shared" si="4"/>
        <v>144.60000000000002</v>
      </c>
      <c r="K34" s="25">
        <f>(C34+D34)*I6</f>
        <v>82.125</v>
      </c>
      <c r="L34" s="25"/>
      <c r="M34" s="25"/>
      <c r="N34" s="25"/>
      <c r="O34" s="25">
        <f t="shared" si="5"/>
        <v>2517.9749999999999</v>
      </c>
      <c r="P34" s="27">
        <f>IF('[7]Calculo ISR '!$BX$34&lt;0,0,'[7]Calculo ISR '!$BX$34)</f>
        <v>0</v>
      </c>
      <c r="Q34" s="28">
        <v>240.58</v>
      </c>
      <c r="R34" s="28"/>
      <c r="S34" s="28"/>
      <c r="T34" s="28"/>
      <c r="U34" s="28"/>
      <c r="V34" s="25">
        <f>P34+Q34+R34+S34+T34+U34</f>
        <v>240.58</v>
      </c>
      <c r="W34" s="28">
        <f>IF('[7]Calculo ISR '!$BX$34&gt;0,0,('[7]Calculo ISR '!$BX$34)*-1)</f>
        <v>6.2098880000000065</v>
      </c>
      <c r="X34" s="25">
        <f t="shared" si="8"/>
        <v>2139.0048879999999</v>
      </c>
      <c r="Y34" s="71">
        <f t="shared" si="1"/>
        <v>144.60000000000002</v>
      </c>
      <c r="Z34" s="72"/>
      <c r="AA34" s="73"/>
      <c r="AB34" s="70"/>
    </row>
    <row r="35" spans="1:31" s="35" customFormat="1" ht="45" customHeight="1">
      <c r="A35" s="21" t="s">
        <v>103</v>
      </c>
      <c r="B35" s="33" t="s">
        <v>104</v>
      </c>
      <c r="C35" s="34">
        <v>5</v>
      </c>
      <c r="D35" s="34">
        <v>0</v>
      </c>
      <c r="E35" s="24">
        <v>305.5</v>
      </c>
      <c r="F35" s="24">
        <v>348.3</v>
      </c>
      <c r="G35" s="24">
        <f t="shared" si="2"/>
        <v>1527.5</v>
      </c>
      <c r="H35" s="24">
        <f t="shared" si="2"/>
        <v>0</v>
      </c>
      <c r="I35" s="25">
        <f t="shared" si="3"/>
        <v>1527.5</v>
      </c>
      <c r="J35" s="25">
        <f t="shared" si="4"/>
        <v>96.4</v>
      </c>
      <c r="K35" s="25">
        <f>(C35+D35)*I6</f>
        <v>54.75</v>
      </c>
      <c r="L35" s="25"/>
      <c r="M35" s="25"/>
      <c r="N35" s="25"/>
      <c r="O35" s="25">
        <f t="shared" si="5"/>
        <v>1678.65</v>
      </c>
      <c r="P35" s="27">
        <f>IF('[7]Calculo ISR '!$BX$34&lt;0,0,'[7]Calculo ISR '!$BX$34)</f>
        <v>0</v>
      </c>
      <c r="Q35" s="28">
        <v>160.38999999999999</v>
      </c>
      <c r="R35" s="28"/>
      <c r="S35" s="28"/>
      <c r="T35" s="28"/>
      <c r="U35" s="28"/>
      <c r="V35" s="25">
        <f t="shared" ref="V35:V39" si="9">P35+Q35+R35+S35+T35+U35</f>
        <v>160.38999999999999</v>
      </c>
      <c r="W35" s="28">
        <f>IF('[7]Calculo ISR '!$BY$34&gt;0,0,('[7]Calculo ISR '!$BY$34)*-1)</f>
        <v>110.45383999999997</v>
      </c>
      <c r="X35" s="25">
        <f t="shared" si="8"/>
        <v>1532.31384</v>
      </c>
      <c r="Y35" s="25">
        <f t="shared" si="1"/>
        <v>96.4</v>
      </c>
      <c r="Z35" s="72"/>
      <c r="AA35" s="73"/>
      <c r="AB35" s="70"/>
    </row>
    <row r="36" spans="1:31" s="35" customFormat="1" ht="45" customHeight="1">
      <c r="A36" s="21" t="s">
        <v>105</v>
      </c>
      <c r="B36" s="33" t="s">
        <v>106</v>
      </c>
      <c r="C36" s="34">
        <v>5</v>
      </c>
      <c r="D36" s="34">
        <v>0</v>
      </c>
      <c r="E36" s="24">
        <v>305.5</v>
      </c>
      <c r="F36" s="24">
        <v>348.3</v>
      </c>
      <c r="G36" s="24">
        <f t="shared" si="2"/>
        <v>1527.5</v>
      </c>
      <c r="H36" s="24">
        <f t="shared" si="2"/>
        <v>0</v>
      </c>
      <c r="I36" s="25">
        <f t="shared" si="3"/>
        <v>1527.5</v>
      </c>
      <c r="J36" s="25">
        <f t="shared" si="4"/>
        <v>96.4</v>
      </c>
      <c r="K36" s="25">
        <f>(C36+D36)*I$6</f>
        <v>54.75</v>
      </c>
      <c r="L36" s="25"/>
      <c r="M36" s="25"/>
      <c r="N36" s="25"/>
      <c r="O36" s="25">
        <f t="shared" si="5"/>
        <v>1678.65</v>
      </c>
      <c r="P36" s="27">
        <f>IF('[7]Calculo ISR '!$BX$34&lt;0,0,'[7]Calculo ISR '!$BX$34)</f>
        <v>0</v>
      </c>
      <c r="Q36" s="28">
        <v>160.38999999999999</v>
      </c>
      <c r="R36" s="28"/>
      <c r="S36" s="28"/>
      <c r="T36" s="28"/>
      <c r="U36" s="28"/>
      <c r="V36" s="25">
        <f t="shared" si="9"/>
        <v>160.38999999999999</v>
      </c>
      <c r="W36" s="28">
        <f>IF('[7]Calculo ISR '!$BZ$34&gt;0,0,('[7]Calculo ISR '!$BZ$34)*-1)</f>
        <v>110.45383999999997</v>
      </c>
      <c r="X36" s="25">
        <f t="shared" si="8"/>
        <v>1532.31384</v>
      </c>
      <c r="Y36" s="25">
        <f t="shared" si="1"/>
        <v>96.4</v>
      </c>
      <c r="Z36" s="72"/>
      <c r="AA36" s="73"/>
      <c r="AB36" s="70"/>
    </row>
    <row r="37" spans="1:31" s="35" customFormat="1" ht="45" customHeight="1">
      <c r="A37" s="21" t="s">
        <v>108</v>
      </c>
      <c r="B37" s="33" t="s">
        <v>109</v>
      </c>
      <c r="C37" s="34">
        <v>5</v>
      </c>
      <c r="D37" s="34">
        <v>0</v>
      </c>
      <c r="E37" s="24">
        <v>305.5</v>
      </c>
      <c r="F37" s="24">
        <v>348.3</v>
      </c>
      <c r="G37" s="24">
        <f t="shared" si="2"/>
        <v>1527.5</v>
      </c>
      <c r="H37" s="24">
        <f t="shared" si="2"/>
        <v>0</v>
      </c>
      <c r="I37" s="25">
        <f t="shared" si="3"/>
        <v>1527.5</v>
      </c>
      <c r="J37" s="25">
        <f t="shared" si="4"/>
        <v>96.4</v>
      </c>
      <c r="K37" s="25">
        <f t="shared" ref="K37:K39" si="10">(C37+D37)*I$6</f>
        <v>54.75</v>
      </c>
      <c r="L37" s="25"/>
      <c r="M37" s="25"/>
      <c r="N37" s="25"/>
      <c r="O37" s="25">
        <f>SUM(I37:N37)</f>
        <v>1678.65</v>
      </c>
      <c r="P37" s="27"/>
      <c r="Q37" s="28">
        <v>160.38999999999999</v>
      </c>
      <c r="R37" s="28"/>
      <c r="S37" s="28"/>
      <c r="T37" s="28"/>
      <c r="U37" s="28"/>
      <c r="V37" s="25">
        <f t="shared" si="9"/>
        <v>160.38999999999999</v>
      </c>
      <c r="W37" s="28">
        <f>IF('[7]Calculo ISR '!$CA$34&gt;0,0,('[7]Calculo ISR '!$CA$34)*-1)</f>
        <v>110.45383999999997</v>
      </c>
      <c r="X37" s="25">
        <f t="shared" si="8"/>
        <v>1532.31384</v>
      </c>
      <c r="Y37" s="25">
        <f t="shared" si="1"/>
        <v>96.4</v>
      </c>
      <c r="Z37" s="93"/>
      <c r="AA37" s="73"/>
      <c r="AB37" s="70"/>
    </row>
    <row r="38" spans="1:31" s="35" customFormat="1" ht="45" customHeight="1">
      <c r="A38" s="21" t="s">
        <v>110</v>
      </c>
      <c r="B38" s="33" t="s">
        <v>111</v>
      </c>
      <c r="C38" s="34">
        <v>5</v>
      </c>
      <c r="D38" s="34">
        <v>0</v>
      </c>
      <c r="E38" s="24">
        <v>305.5</v>
      </c>
      <c r="F38" s="24">
        <v>348.3</v>
      </c>
      <c r="G38" s="24">
        <f t="shared" si="2"/>
        <v>1527.5</v>
      </c>
      <c r="H38" s="24">
        <f t="shared" si="2"/>
        <v>0</v>
      </c>
      <c r="I38" s="25">
        <f t="shared" si="3"/>
        <v>1527.5</v>
      </c>
      <c r="J38" s="25">
        <f t="shared" si="4"/>
        <v>96.4</v>
      </c>
      <c r="K38" s="25">
        <f t="shared" si="10"/>
        <v>54.75</v>
      </c>
      <c r="L38" s="25"/>
      <c r="M38" s="25"/>
      <c r="N38" s="25"/>
      <c r="O38" s="25">
        <f>SUM(I38:N38)</f>
        <v>1678.65</v>
      </c>
      <c r="P38" s="27"/>
      <c r="Q38" s="28">
        <v>160.38999999999999</v>
      </c>
      <c r="R38" s="28"/>
      <c r="S38" s="28"/>
      <c r="T38" s="28"/>
      <c r="U38" s="28"/>
      <c r="V38" s="25">
        <f t="shared" si="9"/>
        <v>160.38999999999999</v>
      </c>
      <c r="W38" s="28">
        <f>IF('[7]Calculo ISR '!$CB$34&gt;0,0,('[7]Calculo ISR '!$CB$34)*-1)</f>
        <v>110.45383999999997</v>
      </c>
      <c r="X38" s="25">
        <f t="shared" si="8"/>
        <v>1532.31384</v>
      </c>
      <c r="Y38" s="25">
        <f t="shared" si="1"/>
        <v>96.4</v>
      </c>
      <c r="Z38" s="93"/>
      <c r="AA38" s="73"/>
      <c r="AB38" s="70"/>
    </row>
    <row r="39" spans="1:31" s="35" customFormat="1" ht="45" customHeight="1">
      <c r="A39" s="21" t="s">
        <v>112</v>
      </c>
      <c r="B39" s="33" t="s">
        <v>113</v>
      </c>
      <c r="C39" s="34">
        <v>5</v>
      </c>
      <c r="D39" s="34">
        <v>0</v>
      </c>
      <c r="E39" s="24">
        <v>305.5</v>
      </c>
      <c r="F39" s="24">
        <v>348.3</v>
      </c>
      <c r="G39" s="24">
        <f t="shared" si="2"/>
        <v>1527.5</v>
      </c>
      <c r="H39" s="24">
        <f t="shared" si="2"/>
        <v>0</v>
      </c>
      <c r="I39" s="25">
        <f t="shared" si="3"/>
        <v>1527.5</v>
      </c>
      <c r="J39" s="25">
        <f t="shared" si="4"/>
        <v>96.4</v>
      </c>
      <c r="K39" s="25">
        <f t="shared" si="10"/>
        <v>54.75</v>
      </c>
      <c r="L39" s="25"/>
      <c r="M39" s="25"/>
      <c r="N39" s="25"/>
      <c r="O39" s="25">
        <f t="shared" si="5"/>
        <v>1678.65</v>
      </c>
      <c r="P39" s="27"/>
      <c r="Q39" s="28">
        <v>160.38999999999999</v>
      </c>
      <c r="R39" s="28"/>
      <c r="S39" s="28"/>
      <c r="T39" s="28"/>
      <c r="U39" s="28"/>
      <c r="V39" s="25">
        <f t="shared" si="9"/>
        <v>160.38999999999999</v>
      </c>
      <c r="W39" s="28">
        <f>IF('[7]Calculo ISR '!$CC$34&gt;0,0,('[7]Calculo ISR '!$CC$34)*-1)</f>
        <v>110.45383999999997</v>
      </c>
      <c r="X39" s="25">
        <f t="shared" si="8"/>
        <v>1532.31384</v>
      </c>
      <c r="Y39" s="25">
        <f t="shared" si="1"/>
        <v>96.4</v>
      </c>
      <c r="Z39" s="93"/>
      <c r="AA39" s="73"/>
      <c r="AB39" s="70"/>
    </row>
    <row r="40" spans="1:31" s="2" customFormat="1" ht="30" customHeight="1" thickBot="1">
      <c r="A40" s="86"/>
      <c r="B40" s="38" t="s">
        <v>115</v>
      </c>
      <c r="C40" s="39">
        <f t="shared" ref="C40:M40" si="11">SUM(C10:C39)</f>
        <v>339</v>
      </c>
      <c r="D40" s="39">
        <f t="shared" si="11"/>
        <v>37.5</v>
      </c>
      <c r="E40" s="40">
        <f t="shared" si="11"/>
        <v>9165</v>
      </c>
      <c r="F40" s="40">
        <f t="shared" si="11"/>
        <v>10448.999999999998</v>
      </c>
      <c r="G40" s="40">
        <f t="shared" si="11"/>
        <v>103564.5</v>
      </c>
      <c r="H40" s="40">
        <f t="shared" si="11"/>
        <v>13061.25</v>
      </c>
      <c r="I40" s="40">
        <f t="shared" si="11"/>
        <v>116625.75</v>
      </c>
      <c r="J40" s="40">
        <f t="shared" si="11"/>
        <v>7258.9199999999992</v>
      </c>
      <c r="K40" s="40">
        <f t="shared" si="11"/>
        <v>4122.6750000000002</v>
      </c>
      <c r="L40" s="40">
        <f t="shared" si="11"/>
        <v>1650.2000000000003</v>
      </c>
      <c r="M40" s="40">
        <f t="shared" si="11"/>
        <v>590.54499999999996</v>
      </c>
      <c r="N40" s="40">
        <f t="shared" ref="N40" si="12">SUM(N10:N36)</f>
        <v>0</v>
      </c>
      <c r="O40" s="40">
        <f t="shared" ref="O40:X40" si="13">SUM(O10:O39)</f>
        <v>130248.09</v>
      </c>
      <c r="P40" s="40">
        <f t="shared" si="13"/>
        <v>11342.350696</v>
      </c>
      <c r="Q40" s="40">
        <f t="shared" si="13"/>
        <v>12245.709999999994</v>
      </c>
      <c r="R40" s="40">
        <f t="shared" si="13"/>
        <v>10469.74</v>
      </c>
      <c r="S40" s="40">
        <f t="shared" si="13"/>
        <v>807.29499999999996</v>
      </c>
      <c r="T40" s="40">
        <f t="shared" si="13"/>
        <v>0</v>
      </c>
      <c r="U40" s="74">
        <f t="shared" si="13"/>
        <v>1069.25</v>
      </c>
      <c r="V40" s="40">
        <f t="shared" si="13"/>
        <v>35934.345696000004</v>
      </c>
      <c r="W40" s="40">
        <f t="shared" si="13"/>
        <v>798.41705599999989</v>
      </c>
      <c r="X40" s="40">
        <f t="shared" si="13"/>
        <v>87853.241360000015</v>
      </c>
      <c r="Y40" s="40">
        <f>SUM(Y9:Y39)</f>
        <v>7258.9199999999992</v>
      </c>
      <c r="Z40" s="41"/>
      <c r="AA40" s="3"/>
      <c r="AB40" s="75"/>
      <c r="AC40" s="42"/>
    </row>
    <row r="41" spans="1:31" s="2" customFormat="1" ht="8.25" customHeight="1">
      <c r="A41" s="87"/>
      <c r="B41" s="44"/>
      <c r="C41" s="45"/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1"/>
      <c r="AA41" s="3"/>
      <c r="AB41" s="88"/>
    </row>
    <row r="42" spans="1:31" s="2" customFormat="1" ht="8.25" customHeight="1">
      <c r="A42" s="87"/>
      <c r="B42" s="44"/>
      <c r="C42" s="45"/>
      <c r="D42" s="45"/>
      <c r="E42" s="46"/>
      <c r="F42" s="46"/>
      <c r="G42" s="46"/>
      <c r="H42" s="46"/>
      <c r="I42" s="89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1"/>
      <c r="AA42" s="3"/>
      <c r="AB42" s="42"/>
    </row>
    <row r="43" spans="1:31" s="2" customFormat="1" ht="15" customHeight="1">
      <c r="A43" s="69"/>
      <c r="B43" s="48" t="s">
        <v>75</v>
      </c>
      <c r="C43" s="1"/>
      <c r="D43" s="1"/>
      <c r="E43" s="1"/>
      <c r="F43" s="1"/>
      <c r="G43" s="1"/>
      <c r="H43" s="66" t="s">
        <v>76</v>
      </c>
      <c r="I43" s="64">
        <f>I40+'[7]HT-ADMINISTRATIVOS FIRMA '!E46</f>
        <v>311708.54437726823</v>
      </c>
      <c r="L43" s="66"/>
      <c r="M43" s="66"/>
      <c r="N43" s="66"/>
      <c r="O43" s="66"/>
      <c r="P43" s="49"/>
      <c r="Q43" s="50"/>
      <c r="R43" s="1"/>
      <c r="S43" s="1"/>
      <c r="T43" s="1"/>
      <c r="U43" s="1"/>
      <c r="V43" s="1" t="s">
        <v>77</v>
      </c>
      <c r="W43" s="1"/>
      <c r="X43" s="1"/>
      <c r="Y43" s="1"/>
      <c r="Z43" s="1"/>
      <c r="AB43" s="42"/>
      <c r="AE43" s="1"/>
    </row>
    <row r="44" spans="1:31" s="2" customFormat="1" hidden="1">
      <c r="A44" s="69"/>
      <c r="B44" s="1"/>
      <c r="C44" s="1"/>
      <c r="D44" s="1"/>
      <c r="E44" s="1"/>
      <c r="F44" s="1"/>
      <c r="G44" s="1"/>
      <c r="H44" s="1"/>
      <c r="K44" s="1"/>
      <c r="L44" s="1"/>
      <c r="M44" s="1"/>
      <c r="N44" s="1"/>
      <c r="O44" s="51"/>
      <c r="P44" s="51"/>
      <c r="Q44" s="51"/>
      <c r="R44" s="1"/>
      <c r="S44" s="1"/>
      <c r="T44" s="1"/>
      <c r="U44" s="1"/>
      <c r="V44" s="1"/>
      <c r="W44" s="1"/>
      <c r="X44" s="1"/>
      <c r="Y44" s="1"/>
      <c r="Z44" s="1"/>
      <c r="AB44" s="42"/>
      <c r="AE44" s="1"/>
    </row>
    <row r="45" spans="1:31" s="2" customFormat="1" hidden="1">
      <c r="A45" s="69"/>
      <c r="B45" s="1"/>
      <c r="C45" s="1"/>
      <c r="D45" s="1"/>
      <c r="E45" s="1"/>
      <c r="F45" s="1"/>
      <c r="G45" s="1"/>
      <c r="H45" s="1"/>
      <c r="K45" s="1"/>
      <c r="L45" s="1"/>
      <c r="M45" s="1"/>
      <c r="N45" s="1"/>
      <c r="O45" s="51"/>
      <c r="P45" s="51"/>
      <c r="Q45" s="51"/>
      <c r="R45" s="1"/>
      <c r="S45" s="1"/>
      <c r="T45" s="1"/>
      <c r="U45" s="1"/>
      <c r="V45" s="1"/>
      <c r="W45" s="1"/>
      <c r="X45" s="1"/>
      <c r="Y45" s="1"/>
      <c r="Z45" s="1"/>
      <c r="AB45" s="42"/>
      <c r="AE45" s="1"/>
    </row>
    <row r="46" spans="1:31" s="2" customFormat="1" hidden="1">
      <c r="A46" s="69"/>
      <c r="B46" s="1"/>
      <c r="C46" s="1"/>
      <c r="D46" s="1"/>
      <c r="E46" s="1"/>
      <c r="F46" s="1"/>
      <c r="G46" s="1"/>
      <c r="H46" s="1"/>
      <c r="K46" s="1"/>
      <c r="L46" s="1"/>
      <c r="M46" s="1"/>
      <c r="N46" s="1"/>
      <c r="O46" s="52"/>
      <c r="P46" s="52"/>
      <c r="Q46" s="52"/>
      <c r="R46" s="1"/>
      <c r="S46" s="3"/>
      <c r="T46" s="1"/>
      <c r="U46" s="1"/>
      <c r="V46" s="1"/>
      <c r="W46" s="1"/>
      <c r="X46" s="1"/>
      <c r="Y46" s="1"/>
      <c r="Z46" s="1"/>
      <c r="AE46" s="1"/>
    </row>
    <row r="47" spans="1:31" s="2" customFormat="1">
      <c r="A47" s="69"/>
      <c r="B47" s="48" t="s">
        <v>78</v>
      </c>
      <c r="C47" s="1"/>
      <c r="D47" s="1"/>
      <c r="E47" s="1"/>
      <c r="F47" s="1"/>
      <c r="G47" s="53" t="s">
        <v>79</v>
      </c>
      <c r="I47" s="42"/>
      <c r="L47" s="53"/>
      <c r="M47" s="53"/>
      <c r="N47" s="53"/>
      <c r="O47" s="53"/>
      <c r="P47" s="52"/>
      <c r="Q47" s="49"/>
      <c r="R47" s="1"/>
      <c r="S47" s="1"/>
      <c r="T47" s="1"/>
      <c r="U47" s="1"/>
      <c r="V47" s="53" t="s">
        <v>80</v>
      </c>
      <c r="W47" s="53"/>
      <c r="X47" s="53"/>
      <c r="Y47" s="53"/>
      <c r="Z47" s="1"/>
      <c r="AE47" s="1"/>
    </row>
    <row r="48" spans="1:31" ht="12.75" customHeight="1">
      <c r="B48" s="54" t="s">
        <v>81</v>
      </c>
      <c r="G48" s="53" t="s">
        <v>82</v>
      </c>
      <c r="L48" s="53"/>
      <c r="M48" s="53"/>
      <c r="N48" s="53"/>
      <c r="O48" s="53"/>
      <c r="P48" s="53"/>
      <c r="Q48" s="52"/>
      <c r="V48" s="181" t="s">
        <v>83</v>
      </c>
      <c r="W48" s="181"/>
      <c r="X48" s="181"/>
      <c r="Y48" s="55"/>
      <c r="AA48" s="3"/>
    </row>
    <row r="49" spans="1:27">
      <c r="AA49" s="3"/>
    </row>
    <row r="50" spans="1:27">
      <c r="R50" s="3"/>
      <c r="AA50" s="3"/>
    </row>
    <row r="51" spans="1:27">
      <c r="AA51" s="3"/>
    </row>
    <row r="52" spans="1:27">
      <c r="AA52" s="3"/>
    </row>
    <row r="53" spans="1:27">
      <c r="O53" s="6"/>
      <c r="AA53" s="3"/>
    </row>
    <row r="54" spans="1:27">
      <c r="AA54" s="3"/>
    </row>
    <row r="55" spans="1:27">
      <c r="AA55" s="3"/>
    </row>
    <row r="56" spans="1:27" s="56" customFormat="1">
      <c r="A56" s="6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7" s="56" customFormat="1">
      <c r="A57" s="6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7" s="57" customFormat="1">
      <c r="A58" s="6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7" s="57" customFormat="1">
      <c r="A59" s="6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7" s="57" customFormat="1">
      <c r="A60" s="6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7" s="57" customFormat="1">
      <c r="A61" s="6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7" s="57" customFormat="1">
      <c r="A62" s="6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7" s="57" customFormat="1">
      <c r="A63" s="6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7" s="57" customFormat="1">
      <c r="A64" s="6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57" customFormat="1">
      <c r="A65" s="6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57" customFormat="1">
      <c r="A66" s="6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57" customFormat="1">
      <c r="A67" s="6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9" spans="1:26">
      <c r="S69" s="3"/>
    </row>
  </sheetData>
  <mergeCells count="31">
    <mergeCell ref="V48:X48"/>
    <mergeCell ref="Z27:AA27"/>
    <mergeCell ref="Z28:AA28"/>
    <mergeCell ref="Z29:AA29"/>
    <mergeCell ref="Z30:AA30"/>
    <mergeCell ref="Z31:AA31"/>
    <mergeCell ref="Z32:AA32"/>
    <mergeCell ref="Z26:AA26"/>
    <mergeCell ref="Z15:AA15"/>
    <mergeCell ref="Z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Z14:AA14"/>
    <mergeCell ref="A8:A9"/>
    <mergeCell ref="B8:B9"/>
    <mergeCell ref="C8:I8"/>
    <mergeCell ref="J8:O8"/>
    <mergeCell ref="P8:V8"/>
    <mergeCell ref="W8:Y8"/>
    <mergeCell ref="Z9:AA9"/>
    <mergeCell ref="Z10:AA10"/>
    <mergeCell ref="Z11:AA11"/>
    <mergeCell ref="Z12:AA12"/>
    <mergeCell ref="Z13:AA13"/>
  </mergeCells>
  <pageMargins left="0.8" right="0.2" top="0.47244094488188981" bottom="0.51181102362204722" header="0.31496062992125984" footer="0.31496062992125984"/>
  <pageSetup paperSize="5" scale="5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69"/>
  <sheetViews>
    <sheetView topLeftCell="A3" zoomScale="80" zoomScaleNormal="80" zoomScaleSheetLayoutView="100" workbookViewId="0">
      <pane xSplit="2" ySplit="7" topLeftCell="C40" activePane="bottomRight" state="frozen"/>
      <selection activeCell="A3" sqref="A3"/>
      <selection pane="topRight" activeCell="C3" sqref="C3"/>
      <selection pane="bottomLeft" activeCell="A10" sqref="A10"/>
      <selection pane="bottomRight" activeCell="E58" sqref="E58"/>
    </sheetView>
  </sheetViews>
  <sheetFormatPr baseColWidth="10" defaultRowHeight="12.75"/>
  <cols>
    <col min="1" max="1" width="12.7109375" style="69" customWidth="1"/>
    <col min="2" max="2" width="31.5703125" style="1" customWidth="1"/>
    <col min="3" max="4" width="7.140625" style="1" customWidth="1"/>
    <col min="5" max="5" width="10.42578125" style="1" customWidth="1"/>
    <col min="6" max="6" width="11" style="1" customWidth="1"/>
    <col min="7" max="7" width="13.28515625" style="1" customWidth="1"/>
    <col min="8" max="8" width="10.85546875" style="1" customWidth="1"/>
    <col min="9" max="9" width="13" style="1" customWidth="1"/>
    <col min="10" max="10" width="10.5703125" style="1" customWidth="1"/>
    <col min="11" max="11" width="9.85546875" style="1" customWidth="1"/>
    <col min="12" max="12" width="10.140625" style="1" customWidth="1"/>
    <col min="13" max="13" width="8.42578125" style="1" customWidth="1"/>
    <col min="14" max="14" width="3.42578125" style="1" customWidth="1"/>
    <col min="15" max="15" width="12.42578125" style="1" customWidth="1"/>
    <col min="16" max="16" width="11" style="1" hidden="1" customWidth="1"/>
    <col min="17" max="17" width="10.85546875" style="1" hidden="1" customWidth="1"/>
    <col min="18" max="18" width="11.140625" style="1" hidden="1" customWidth="1"/>
    <col min="19" max="19" width="8.5703125" style="1" hidden="1" customWidth="1"/>
    <col min="20" max="20" width="5" style="1" hidden="1" customWidth="1"/>
    <col min="21" max="21" width="9.85546875" style="1" hidden="1" customWidth="1"/>
    <col min="22" max="22" width="11.140625" style="1" customWidth="1"/>
    <col min="23" max="23" width="8.28515625" style="1" customWidth="1"/>
    <col min="24" max="24" width="11.5703125" style="1" customWidth="1"/>
    <col min="25" max="25" width="10.5703125" style="1" hidden="1" customWidth="1"/>
    <col min="26" max="26" width="31" style="1" hidden="1" customWidth="1"/>
    <col min="27" max="27" width="12.28515625" style="1" hidden="1" customWidth="1"/>
    <col min="28" max="16384" width="11.42578125" style="1"/>
  </cols>
  <sheetData>
    <row r="2" spans="1:27">
      <c r="B2" s="2" t="s">
        <v>0</v>
      </c>
    </row>
    <row r="3" spans="1:27">
      <c r="B3" s="2"/>
    </row>
    <row r="4" spans="1:27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7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2"/>
      <c r="P5" s="2"/>
      <c r="Q5" s="2"/>
      <c r="R5" s="2"/>
      <c r="S5" s="2"/>
      <c r="T5" s="2"/>
      <c r="U5" s="2"/>
      <c r="V5" s="2"/>
      <c r="W5" s="2"/>
    </row>
    <row r="6" spans="1:27">
      <c r="B6" s="2"/>
      <c r="C6" s="2"/>
      <c r="D6" s="2"/>
      <c r="E6" s="4">
        <v>19.28</v>
      </c>
      <c r="F6" s="4"/>
      <c r="G6" s="4"/>
      <c r="H6" s="4"/>
      <c r="I6" s="4">
        <v>10.95</v>
      </c>
      <c r="J6" s="4"/>
      <c r="K6" s="65"/>
      <c r="L6" s="65"/>
      <c r="M6" s="65"/>
      <c r="N6" s="58">
        <v>0.105</v>
      </c>
      <c r="O6" s="65"/>
      <c r="P6" s="65"/>
      <c r="Q6" s="65"/>
      <c r="R6" s="65"/>
      <c r="S6" s="65"/>
      <c r="T6" s="5">
        <v>0.01</v>
      </c>
      <c r="U6" s="65"/>
      <c r="V6" s="65"/>
      <c r="W6" s="65"/>
    </row>
    <row r="7" spans="1:27" ht="13.5" thickBot="1">
      <c r="A7" s="85" t="s">
        <v>0</v>
      </c>
      <c r="C7" s="2"/>
      <c r="D7" s="2"/>
      <c r="E7" s="4">
        <v>22.3</v>
      </c>
      <c r="F7" s="4"/>
      <c r="G7" s="4"/>
      <c r="H7" s="4"/>
      <c r="I7" s="7">
        <v>0.02</v>
      </c>
      <c r="J7" s="8">
        <v>0.04</v>
      </c>
      <c r="K7" s="6" t="s">
        <v>140</v>
      </c>
      <c r="L7" s="2"/>
      <c r="M7" s="2"/>
      <c r="N7" s="2"/>
      <c r="P7" s="2"/>
      <c r="Q7" s="2"/>
      <c r="R7" s="2"/>
      <c r="S7" s="2"/>
      <c r="T7" s="2"/>
      <c r="U7" s="2"/>
      <c r="V7" s="2"/>
      <c r="W7" s="2"/>
    </row>
    <row r="8" spans="1:27" ht="15.75" customHeight="1" thickBot="1">
      <c r="A8" s="164" t="s">
        <v>2</v>
      </c>
      <c r="B8" s="166" t="s">
        <v>3</v>
      </c>
      <c r="C8" s="168" t="s">
        <v>4</v>
      </c>
      <c r="D8" s="169"/>
      <c r="E8" s="169"/>
      <c r="F8" s="169"/>
      <c r="G8" s="169"/>
      <c r="H8" s="169"/>
      <c r="I8" s="170"/>
      <c r="J8" s="171" t="s">
        <v>5</v>
      </c>
      <c r="K8" s="172"/>
      <c r="L8" s="172"/>
      <c r="M8" s="173"/>
      <c r="N8" s="173"/>
      <c r="O8" s="174"/>
      <c r="P8" s="175" t="s">
        <v>6</v>
      </c>
      <c r="Q8" s="176"/>
      <c r="R8" s="176"/>
      <c r="S8" s="176"/>
      <c r="T8" s="176"/>
      <c r="U8" s="176"/>
      <c r="V8" s="176"/>
      <c r="W8" s="177" t="s">
        <v>7</v>
      </c>
      <c r="X8" s="177"/>
      <c r="Y8" s="177"/>
    </row>
    <row r="9" spans="1:27" s="20" customFormat="1" ht="112.5">
      <c r="A9" s="165"/>
      <c r="B9" s="167"/>
      <c r="C9" s="9" t="s">
        <v>87</v>
      </c>
      <c r="D9" s="9" t="s">
        <v>88</v>
      </c>
      <c r="E9" s="9" t="s">
        <v>89</v>
      </c>
      <c r="F9" s="9" t="s">
        <v>90</v>
      </c>
      <c r="G9" s="9" t="s">
        <v>91</v>
      </c>
      <c r="H9" s="9" t="s">
        <v>92</v>
      </c>
      <c r="I9" s="67" t="s">
        <v>10</v>
      </c>
      <c r="J9" s="11" t="s">
        <v>11</v>
      </c>
      <c r="K9" s="11" t="s">
        <v>12</v>
      </c>
      <c r="L9" s="12" t="s">
        <v>13</v>
      </c>
      <c r="M9" s="13" t="s">
        <v>14</v>
      </c>
      <c r="N9" s="14" t="s">
        <v>15</v>
      </c>
      <c r="O9" s="14" t="s">
        <v>16</v>
      </c>
      <c r="P9" s="15" t="s">
        <v>17</v>
      </c>
      <c r="Q9" s="16" t="s">
        <v>18</v>
      </c>
      <c r="R9" s="16" t="s">
        <v>19</v>
      </c>
      <c r="S9" s="16" t="s">
        <v>20</v>
      </c>
      <c r="T9" s="16" t="s">
        <v>21</v>
      </c>
      <c r="U9" s="16" t="s">
        <v>22</v>
      </c>
      <c r="V9" s="16" t="s">
        <v>23</v>
      </c>
      <c r="W9" s="17" t="s">
        <v>24</v>
      </c>
      <c r="X9" s="18" t="s">
        <v>25</v>
      </c>
      <c r="Y9" s="19" t="s">
        <v>26</v>
      </c>
      <c r="Z9" s="178" t="s">
        <v>27</v>
      </c>
      <c r="AA9" s="178"/>
    </row>
    <row r="10" spans="1:27" s="69" customFormat="1" ht="45" customHeight="1">
      <c r="A10" s="21" t="s">
        <v>28</v>
      </c>
      <c r="B10" s="68" t="s">
        <v>29</v>
      </c>
      <c r="C10" s="32">
        <v>7.5</v>
      </c>
      <c r="D10" s="23">
        <v>0</v>
      </c>
      <c r="E10" s="24">
        <v>305.5</v>
      </c>
      <c r="F10" s="24">
        <v>348.3</v>
      </c>
      <c r="G10" s="24">
        <f>C10*E10</f>
        <v>2291.25</v>
      </c>
      <c r="H10" s="24">
        <f>D10*F10</f>
        <v>0</v>
      </c>
      <c r="I10" s="25">
        <f>G10+H10</f>
        <v>2291.25</v>
      </c>
      <c r="J10" s="25">
        <f>(C10+D10)*19.28</f>
        <v>144.60000000000002</v>
      </c>
      <c r="K10" s="25">
        <f>(C10+D10)*I6</f>
        <v>82.125</v>
      </c>
      <c r="L10" s="25"/>
      <c r="M10" s="25">
        <f>I10*J7</f>
        <v>91.65</v>
      </c>
      <c r="N10" s="26">
        <v>0</v>
      </c>
      <c r="O10" s="25">
        <f>SUM(I10:N10)</f>
        <v>2609.625</v>
      </c>
      <c r="P10" s="27">
        <f>IF('[8]Calculo ISR '!$AZ$34&lt;0,0,'[8]Calculo ISR '!$AZ$34)</f>
        <v>3.7616319999999916</v>
      </c>
      <c r="Q10" s="28">
        <f>I10*N6</f>
        <v>240.58124999999998</v>
      </c>
      <c r="R10" s="29">
        <v>0</v>
      </c>
      <c r="S10" s="28">
        <f>I10*T6</f>
        <v>22.912500000000001</v>
      </c>
      <c r="T10" s="28"/>
      <c r="U10" s="30">
        <f>[8]descuentos!D6</f>
        <v>763.75</v>
      </c>
      <c r="V10" s="25">
        <f t="shared" ref="V10:V24" si="0">P10+Q10+R10+S10+U10+T10</f>
        <v>1031.0053820000001</v>
      </c>
      <c r="W10" s="28">
        <f>IF('[8]Calculo ISR '!$AZ$34&gt;0,0,('[8]Calculo ISR '!$AZ$34)*-1)</f>
        <v>0</v>
      </c>
      <c r="X10" s="25">
        <f>O10-V10-Y10+W10</f>
        <v>1434.0196179999998</v>
      </c>
      <c r="Y10" s="25">
        <f t="shared" ref="Y10:Y39" si="1">J10</f>
        <v>144.60000000000002</v>
      </c>
      <c r="Z10" s="183"/>
      <c r="AA10" s="163"/>
    </row>
    <row r="11" spans="1:27" s="35" customFormat="1" ht="45" customHeight="1">
      <c r="A11" s="21" t="s">
        <v>30</v>
      </c>
      <c r="B11" s="33" t="s">
        <v>31</v>
      </c>
      <c r="C11" s="32">
        <v>12</v>
      </c>
      <c r="D11" s="32">
        <v>7.5</v>
      </c>
      <c r="E11" s="24">
        <v>305.5</v>
      </c>
      <c r="F11" s="24">
        <v>348.3</v>
      </c>
      <c r="G11" s="24">
        <f t="shared" ref="G11:H39" si="2">C11*E11</f>
        <v>3666</v>
      </c>
      <c r="H11" s="24">
        <f t="shared" si="2"/>
        <v>2612.25</v>
      </c>
      <c r="I11" s="25">
        <f t="shared" ref="I11:I39" si="3">G11+H11</f>
        <v>6278.25</v>
      </c>
      <c r="J11" s="25">
        <f t="shared" ref="J11:J39" si="4">(C11+D11)*19.28</f>
        <v>375.96000000000004</v>
      </c>
      <c r="K11" s="25">
        <f>(C11+D11)*I6</f>
        <v>213.52499999999998</v>
      </c>
      <c r="L11" s="25"/>
      <c r="M11" s="25">
        <f>I11*J7</f>
        <v>251.13</v>
      </c>
      <c r="N11" s="25">
        <f>'[8]HT-DOCENTE'!J10</f>
        <v>0</v>
      </c>
      <c r="O11" s="25">
        <f>SUM(I11:N11)</f>
        <v>7118.8649999999998</v>
      </c>
      <c r="P11" s="27">
        <f>IF('[8]Calculo ISR '!$BA$34&lt;0,0,'[8]Calculo ISR '!$BA$34)</f>
        <v>893.0953320000001</v>
      </c>
      <c r="Q11" s="28">
        <f>I11*N6</f>
        <v>659.21624999999995</v>
      </c>
      <c r="R11" s="28">
        <v>1986</v>
      </c>
      <c r="S11" s="28">
        <f>I11*T6</f>
        <v>62.782499999999999</v>
      </c>
      <c r="T11" s="28">
        <f>'[8]HT-DOCENTE'!R10</f>
        <v>0</v>
      </c>
      <c r="U11" s="28"/>
      <c r="V11" s="25">
        <f t="shared" si="0"/>
        <v>3601.0940820000001</v>
      </c>
      <c r="W11" s="28">
        <f>IF('[8]Calculo ISR '!$BA$34&gt;0,0,('[8]Calculo ISR '!$BA$34)*-1)</f>
        <v>0</v>
      </c>
      <c r="X11" s="25">
        <f>O11-V11-Y11+W11</f>
        <v>3141.8109179999997</v>
      </c>
      <c r="Y11" s="25">
        <f t="shared" si="1"/>
        <v>375.96000000000004</v>
      </c>
      <c r="Z11" s="161"/>
      <c r="AA11" s="162"/>
    </row>
    <row r="12" spans="1:27" s="35" customFormat="1" ht="45" customHeight="1">
      <c r="A12" s="21" t="s">
        <v>32</v>
      </c>
      <c r="B12" s="33" t="s">
        <v>99</v>
      </c>
      <c r="C12" s="32">
        <v>10</v>
      </c>
      <c r="D12" s="32">
        <v>0</v>
      </c>
      <c r="E12" s="24">
        <v>305.5</v>
      </c>
      <c r="F12" s="24">
        <v>348.3</v>
      </c>
      <c r="G12" s="24">
        <f t="shared" si="2"/>
        <v>3055</v>
      </c>
      <c r="H12" s="24">
        <f t="shared" si="2"/>
        <v>0</v>
      </c>
      <c r="I12" s="25">
        <f t="shared" si="3"/>
        <v>3055</v>
      </c>
      <c r="J12" s="25">
        <f t="shared" si="4"/>
        <v>192.8</v>
      </c>
      <c r="K12" s="25">
        <f>(C12+D12)*I6</f>
        <v>109.5</v>
      </c>
      <c r="L12" s="25"/>
      <c r="M12" s="25">
        <f>I12*J7</f>
        <v>122.2</v>
      </c>
      <c r="N12" s="25">
        <v>0</v>
      </c>
      <c r="O12" s="25">
        <f t="shared" ref="O12:O39" si="5">SUM(I12:N12)</f>
        <v>3479.5</v>
      </c>
      <c r="P12" s="27">
        <f>IF('[8]Calculo ISR '!$BB$34&lt;0,0,'[8]Calculo ISR '!$BB$34)</f>
        <v>128.40987199999998</v>
      </c>
      <c r="Q12" s="28">
        <f>I12*N6</f>
        <v>320.77499999999998</v>
      </c>
      <c r="R12" s="28">
        <v>873</v>
      </c>
      <c r="S12" s="28">
        <f>I12*T6</f>
        <v>30.55</v>
      </c>
      <c r="T12" s="28">
        <f>'[8]HT-DOCENTE'!R11</f>
        <v>0</v>
      </c>
      <c r="U12" s="28"/>
      <c r="V12" s="25">
        <f t="shared" si="0"/>
        <v>1352.7348719999998</v>
      </c>
      <c r="W12" s="28">
        <f>IF('[8]Calculo ISR '!$BB$34&gt;0,0,('[8]Calculo ISR '!$BB$34)*-1)</f>
        <v>0</v>
      </c>
      <c r="X12" s="25">
        <f>O12-V12-Y12+W12</f>
        <v>1933.965128</v>
      </c>
      <c r="Y12" s="25">
        <f t="shared" si="1"/>
        <v>192.8</v>
      </c>
      <c r="Z12" s="161"/>
      <c r="AA12" s="162"/>
    </row>
    <row r="13" spans="1:27" s="35" customFormat="1" ht="45" customHeight="1">
      <c r="A13" s="21" t="s">
        <v>34</v>
      </c>
      <c r="B13" s="33" t="s">
        <v>35</v>
      </c>
      <c r="C13" s="32">
        <v>12</v>
      </c>
      <c r="D13" s="32">
        <v>7.5</v>
      </c>
      <c r="E13" s="24">
        <v>305.5</v>
      </c>
      <c r="F13" s="24">
        <v>348.3</v>
      </c>
      <c r="G13" s="24">
        <f t="shared" si="2"/>
        <v>3666</v>
      </c>
      <c r="H13" s="24">
        <f>D13*F13</f>
        <v>2612.25</v>
      </c>
      <c r="I13" s="25">
        <f t="shared" si="3"/>
        <v>6278.25</v>
      </c>
      <c r="J13" s="25">
        <f t="shared" si="4"/>
        <v>375.96000000000004</v>
      </c>
      <c r="K13" s="25">
        <f>(C13+D13)*I6</f>
        <v>213.52499999999998</v>
      </c>
      <c r="L13" s="25"/>
      <c r="M13" s="25">
        <f>I13*I7</f>
        <v>125.565</v>
      </c>
      <c r="N13" s="25">
        <f>'[8]HT-DOCENTE'!J12</f>
        <v>0</v>
      </c>
      <c r="O13" s="25">
        <f t="shared" si="5"/>
        <v>6993.2999999999993</v>
      </c>
      <c r="P13" s="27">
        <f>IF('[8]Calculo ISR '!$BC$34&lt;0,0,'[8]Calculo ISR '!$BC$34)</f>
        <v>866.27464799999996</v>
      </c>
      <c r="Q13" s="28">
        <f>I13*N6</f>
        <v>659.21624999999995</v>
      </c>
      <c r="R13" s="28">
        <f>'[8]HT-DOCENTE'!P12</f>
        <v>0</v>
      </c>
      <c r="S13" s="28">
        <f>I13*T6</f>
        <v>62.782499999999999</v>
      </c>
      <c r="T13" s="28">
        <f>'[8]HT-DOCENTE'!R12</f>
        <v>0</v>
      </c>
      <c r="U13" s="28"/>
      <c r="V13" s="25">
        <f t="shared" si="0"/>
        <v>1588.273398</v>
      </c>
      <c r="W13" s="28">
        <f>IF('[8]Calculo ISR '!$BC$34&gt;0,0,('[8]Calculo ISR '!$BC$34)*-1)</f>
        <v>0</v>
      </c>
      <c r="X13" s="25">
        <f t="shared" ref="X13:X24" si="6">O13-V13-Y13+W13</f>
        <v>5029.066601999999</v>
      </c>
      <c r="Y13" s="25">
        <f t="shared" si="1"/>
        <v>375.96000000000004</v>
      </c>
      <c r="Z13" s="161"/>
      <c r="AA13" s="162"/>
    </row>
    <row r="14" spans="1:27" s="35" customFormat="1" ht="45" customHeight="1">
      <c r="A14" s="21" t="s">
        <v>36</v>
      </c>
      <c r="B14" s="33" t="s">
        <v>37</v>
      </c>
      <c r="C14" s="32">
        <v>5</v>
      </c>
      <c r="D14" s="32">
        <v>7.5</v>
      </c>
      <c r="E14" s="24">
        <v>305.5</v>
      </c>
      <c r="F14" s="24">
        <v>348.3</v>
      </c>
      <c r="G14" s="24">
        <f t="shared" si="2"/>
        <v>1527.5</v>
      </c>
      <c r="H14" s="24">
        <f t="shared" si="2"/>
        <v>2612.25</v>
      </c>
      <c r="I14" s="25">
        <f t="shared" si="3"/>
        <v>4139.75</v>
      </c>
      <c r="J14" s="25">
        <f t="shared" si="4"/>
        <v>241</v>
      </c>
      <c r="K14" s="25">
        <f>(C14+D14)*I6</f>
        <v>136.875</v>
      </c>
      <c r="L14" s="25">
        <f>(C14+D14)*E7</f>
        <v>278.75</v>
      </c>
      <c r="M14" s="25"/>
      <c r="N14" s="25">
        <f>'[8]HT-DOCENTE'!J13</f>
        <v>0</v>
      </c>
      <c r="O14" s="25">
        <f>SUM(I14:N14)</f>
        <v>4796.375</v>
      </c>
      <c r="P14" s="27">
        <f>IF('[8]Calculo ISR '!$BD$34&lt;0,0,'[8]Calculo ISR '!$BD$34)</f>
        <v>443.82868800000006</v>
      </c>
      <c r="Q14" s="28">
        <f>I14*N6</f>
        <v>434.67374999999998</v>
      </c>
      <c r="R14" s="28">
        <v>1100</v>
      </c>
      <c r="S14" s="28">
        <f>I14*T6</f>
        <v>41.397500000000001</v>
      </c>
      <c r="T14" s="28">
        <f>'[8]HT-DOCENTE'!R13</f>
        <v>0</v>
      </c>
      <c r="U14" s="28"/>
      <c r="V14" s="25">
        <f t="shared" si="0"/>
        <v>2019.899938</v>
      </c>
      <c r="W14" s="28">
        <f>IF('[8]Calculo ISR '!$BD$34&gt;0,0,('[8]Calculo ISR '!$BD$34)*-1)</f>
        <v>0</v>
      </c>
      <c r="X14" s="25">
        <f t="shared" si="6"/>
        <v>2535.475062</v>
      </c>
      <c r="Y14" s="25">
        <f t="shared" si="1"/>
        <v>241</v>
      </c>
      <c r="Z14" s="161"/>
      <c r="AA14" s="162"/>
    </row>
    <row r="15" spans="1:27" s="35" customFormat="1" ht="45" customHeight="1">
      <c r="A15" s="21" t="s">
        <v>38</v>
      </c>
      <c r="B15" s="33" t="s">
        <v>39</v>
      </c>
      <c r="C15" s="32">
        <v>11</v>
      </c>
      <c r="D15" s="32">
        <v>7.5</v>
      </c>
      <c r="E15" s="24">
        <v>305.5</v>
      </c>
      <c r="F15" s="24">
        <v>348.3</v>
      </c>
      <c r="G15" s="24">
        <f t="shared" si="2"/>
        <v>3360.5</v>
      </c>
      <c r="H15" s="24">
        <f t="shared" si="2"/>
        <v>2612.25</v>
      </c>
      <c r="I15" s="25">
        <f t="shared" si="3"/>
        <v>5972.75</v>
      </c>
      <c r="J15" s="25">
        <f t="shared" si="4"/>
        <v>356.68</v>
      </c>
      <c r="K15" s="25">
        <f>(C15+D15)*I6</f>
        <v>202.57499999999999</v>
      </c>
      <c r="L15" s="25">
        <f>(C15+D15)*E7</f>
        <v>412.55</v>
      </c>
      <c r="M15" s="25"/>
      <c r="N15" s="25">
        <f>'[8]HT-DOCENTE'!J14</f>
        <v>0</v>
      </c>
      <c r="O15" s="25">
        <f t="shared" si="5"/>
        <v>6944.5550000000003</v>
      </c>
      <c r="P15" s="27">
        <f>IF('[8]Calculo ISR '!$BE$34&lt;0,0,'[8]Calculo ISR '!$BE$34)</f>
        <v>859.98092400000007</v>
      </c>
      <c r="Q15" s="28">
        <f>I15*N6</f>
        <v>627.13874999999996</v>
      </c>
      <c r="R15" s="28">
        <v>1655</v>
      </c>
      <c r="S15" s="28">
        <f>I15*T6</f>
        <v>59.727499999999999</v>
      </c>
      <c r="T15" s="28">
        <f>'[8]HT-DOCENTE'!R14</f>
        <v>0</v>
      </c>
      <c r="U15" s="28"/>
      <c r="V15" s="25">
        <f t="shared" si="0"/>
        <v>3201.847174</v>
      </c>
      <c r="W15" s="28">
        <f>IF('[8]Calculo ISR '!$BE$34&gt;0,0,('[8]Calculo ISR '!$BE$34)*-1)</f>
        <v>0</v>
      </c>
      <c r="X15" s="25">
        <f t="shared" si="6"/>
        <v>3386.0278260000005</v>
      </c>
      <c r="Y15" s="25">
        <f t="shared" si="1"/>
        <v>356.68</v>
      </c>
      <c r="Z15" s="161"/>
      <c r="AA15" s="162"/>
    </row>
    <row r="16" spans="1:27" s="35" customFormat="1" ht="45" customHeight="1">
      <c r="A16" s="21" t="s">
        <v>40</v>
      </c>
      <c r="B16" s="33" t="s">
        <v>41</v>
      </c>
      <c r="C16" s="32">
        <f>'[8]HT-DOCENTE'!C15</f>
        <v>19.5</v>
      </c>
      <c r="D16" s="32">
        <v>0</v>
      </c>
      <c r="E16" s="24">
        <v>305.5</v>
      </c>
      <c r="F16" s="24">
        <v>348.3</v>
      </c>
      <c r="G16" s="24">
        <f t="shared" si="2"/>
        <v>5957.25</v>
      </c>
      <c r="H16" s="24">
        <f t="shared" si="2"/>
        <v>0</v>
      </c>
      <c r="I16" s="25">
        <f t="shared" si="3"/>
        <v>5957.25</v>
      </c>
      <c r="J16" s="25">
        <f t="shared" si="4"/>
        <v>375.96000000000004</v>
      </c>
      <c r="K16" s="25">
        <f>(C16+D16)*I6</f>
        <v>213.52499999999998</v>
      </c>
      <c r="L16" s="25">
        <f>(C16+D16)*E7</f>
        <v>434.85</v>
      </c>
      <c r="M16" s="25"/>
      <c r="N16" s="25">
        <f>'[8]HT-DOCENTE'!J15</f>
        <v>0</v>
      </c>
      <c r="O16" s="25">
        <f t="shared" si="5"/>
        <v>6981.585</v>
      </c>
      <c r="P16" s="27">
        <f>IF('[8]Calculo ISR '!$BF$34&lt;0,0,'[8]Calculo ISR '!$BF$34)</f>
        <v>863.77232400000003</v>
      </c>
      <c r="Q16" s="28">
        <f>I16*N6</f>
        <v>625.51125000000002</v>
      </c>
      <c r="R16" s="28">
        <f>'[8]HT-DOCENTE'!P15</f>
        <v>0</v>
      </c>
      <c r="S16" s="28">
        <f>I16*T6</f>
        <v>59.572499999999998</v>
      </c>
      <c r="T16" s="28">
        <v>0</v>
      </c>
      <c r="U16" s="28"/>
      <c r="V16" s="25">
        <f t="shared" si="0"/>
        <v>1548.856074</v>
      </c>
      <c r="W16" s="28">
        <f>IF('[8]Calculo ISR '!$BF$34&gt;0,0,('[8]Calculo ISR '!$BF$34)*-1)</f>
        <v>0</v>
      </c>
      <c r="X16" s="25">
        <f t="shared" si="6"/>
        <v>5056.7689259999997</v>
      </c>
      <c r="Y16" s="25">
        <f t="shared" si="1"/>
        <v>375.96000000000004</v>
      </c>
      <c r="Z16" s="161"/>
      <c r="AA16" s="162"/>
    </row>
    <row r="17" spans="1:28" s="35" customFormat="1" ht="45" customHeight="1">
      <c r="A17" s="21" t="s">
        <v>42</v>
      </c>
      <c r="B17" s="33" t="s">
        <v>43</v>
      </c>
      <c r="C17" s="32">
        <v>2</v>
      </c>
      <c r="D17" s="32">
        <v>0</v>
      </c>
      <c r="E17" s="24">
        <v>305.5</v>
      </c>
      <c r="F17" s="24">
        <v>348.3</v>
      </c>
      <c r="G17" s="24">
        <f t="shared" si="2"/>
        <v>611</v>
      </c>
      <c r="H17" s="24">
        <f t="shared" si="2"/>
        <v>0</v>
      </c>
      <c r="I17" s="25">
        <f>G17+H17</f>
        <v>611</v>
      </c>
      <c r="J17" s="25">
        <f t="shared" si="4"/>
        <v>38.56</v>
      </c>
      <c r="K17" s="25">
        <f>(C17+D17)*I6</f>
        <v>21.9</v>
      </c>
      <c r="L17" s="25">
        <f>(C17+D17)*E7*2</f>
        <v>89.2</v>
      </c>
      <c r="M17" s="25"/>
      <c r="N17" s="25">
        <f>'[8]HT-DOCENTE'!J16</f>
        <v>0</v>
      </c>
      <c r="O17" s="25">
        <f>SUM(I17:N17)</f>
        <v>760.66</v>
      </c>
      <c r="P17" s="27">
        <f>IF('[8]Calculo ISR '!$BG$34&lt;0,0,'[8]Calculo ISR '!$BG$34)</f>
        <v>0</v>
      </c>
      <c r="Q17" s="28">
        <f>I17*N6</f>
        <v>64.155000000000001</v>
      </c>
      <c r="R17" s="28">
        <v>0</v>
      </c>
      <c r="S17" s="28">
        <f>I17*T6</f>
        <v>6.11</v>
      </c>
      <c r="T17" s="28">
        <f>'[8]HT-DOCENTE'!R16</f>
        <v>0</v>
      </c>
      <c r="U17" s="28"/>
      <c r="V17" s="25">
        <f t="shared" si="0"/>
        <v>70.265000000000001</v>
      </c>
      <c r="W17" s="28">
        <f>IF('[8]Calculo ISR '!$BG$34&gt;0,0,('[8]Calculo ISR '!$BG$34)*-1)</f>
        <v>165.65343999999999</v>
      </c>
      <c r="X17" s="25">
        <f t="shared" si="6"/>
        <v>817.48844000000008</v>
      </c>
      <c r="Y17" s="25">
        <f t="shared" si="1"/>
        <v>38.56</v>
      </c>
      <c r="Z17" s="161"/>
      <c r="AA17" s="162"/>
    </row>
    <row r="18" spans="1:28" s="35" customFormat="1" ht="45" customHeight="1">
      <c r="A18" s="21" t="s">
        <v>44</v>
      </c>
      <c r="B18" s="33" t="s">
        <v>45</v>
      </c>
      <c r="C18" s="34">
        <v>11</v>
      </c>
      <c r="D18" s="34">
        <v>7.5</v>
      </c>
      <c r="E18" s="24">
        <v>305.5</v>
      </c>
      <c r="F18" s="24">
        <v>348.3</v>
      </c>
      <c r="G18" s="24">
        <f t="shared" si="2"/>
        <v>3360.5</v>
      </c>
      <c r="H18" s="24">
        <f t="shared" si="2"/>
        <v>2612.25</v>
      </c>
      <c r="I18" s="25">
        <f t="shared" si="3"/>
        <v>5972.75</v>
      </c>
      <c r="J18" s="25">
        <f t="shared" si="4"/>
        <v>356.68</v>
      </c>
      <c r="K18" s="25">
        <f>(C18+D18)*I6</f>
        <v>202.57499999999999</v>
      </c>
      <c r="L18" s="25"/>
      <c r="M18" s="25"/>
      <c r="N18" s="25">
        <f>'[8]HT-DOCENTE'!J17</f>
        <v>0</v>
      </c>
      <c r="O18" s="25">
        <f t="shared" si="5"/>
        <v>6532.0050000000001</v>
      </c>
      <c r="P18" s="27">
        <f>IF('[8]Calculo ISR '!$BH$34&lt;0,0,'[8]Calculo ISR '!$BH$34)</f>
        <v>771.86024400000008</v>
      </c>
      <c r="Q18" s="28">
        <f>I18*N6</f>
        <v>627.13874999999996</v>
      </c>
      <c r="R18" s="28">
        <f>'[8]HT-DOCENTE'!P17</f>
        <v>0</v>
      </c>
      <c r="S18" s="28">
        <f>I18*T6</f>
        <v>59.727499999999999</v>
      </c>
      <c r="T18" s="28">
        <f>'[8]HT-DOCENTE'!R17</f>
        <v>0</v>
      </c>
      <c r="U18" s="28"/>
      <c r="V18" s="25">
        <f t="shared" si="0"/>
        <v>1458.726494</v>
      </c>
      <c r="W18" s="28">
        <f>IF('[8]Calculo ISR '!$BH$34&gt;0,0,('[8]Calculo ISR '!$BH$34)*-1)</f>
        <v>0</v>
      </c>
      <c r="X18" s="25">
        <f t="shared" si="6"/>
        <v>4716.5985060000003</v>
      </c>
      <c r="Y18" s="25">
        <f t="shared" si="1"/>
        <v>356.68</v>
      </c>
      <c r="Z18" s="161"/>
      <c r="AA18" s="162"/>
    </row>
    <row r="19" spans="1:28" s="35" customFormat="1" ht="45" customHeight="1">
      <c r="A19" s="21" t="s">
        <v>46</v>
      </c>
      <c r="B19" s="33" t="s">
        <v>47</v>
      </c>
      <c r="C19" s="34">
        <v>6.5</v>
      </c>
      <c r="D19" s="34">
        <v>0</v>
      </c>
      <c r="E19" s="24">
        <v>305.5</v>
      </c>
      <c r="F19" s="24">
        <v>348.3</v>
      </c>
      <c r="G19" s="24">
        <f t="shared" si="2"/>
        <v>1985.75</v>
      </c>
      <c r="H19" s="24">
        <f t="shared" si="2"/>
        <v>0</v>
      </c>
      <c r="I19" s="25">
        <f t="shared" si="3"/>
        <v>1985.75</v>
      </c>
      <c r="J19" s="25">
        <f t="shared" si="4"/>
        <v>125.32000000000001</v>
      </c>
      <c r="K19" s="25">
        <f>(C19+D19)*I6</f>
        <v>71.174999999999997</v>
      </c>
      <c r="L19" s="25"/>
      <c r="M19" s="25"/>
      <c r="N19" s="25">
        <v>0</v>
      </c>
      <c r="O19" s="25">
        <f t="shared" si="5"/>
        <v>2182.2450000000003</v>
      </c>
      <c r="P19" s="27">
        <f>IF('[8]Calculo ISR '!$BI$34&lt;0,0,'[8]Calculo ISR '!$BI$34)</f>
        <v>0</v>
      </c>
      <c r="Q19" s="28">
        <f>I19*N6</f>
        <v>208.50375</v>
      </c>
      <c r="R19" s="28">
        <v>1254.74</v>
      </c>
      <c r="S19" s="28">
        <f>I19*T6</f>
        <v>19.857500000000002</v>
      </c>
      <c r="T19" s="28">
        <f>'[8]HT-DOCENTE'!R18</f>
        <v>0</v>
      </c>
      <c r="U19" s="30">
        <f>[8]descuentos!D8</f>
        <v>76.375</v>
      </c>
      <c r="V19" s="25">
        <f>P19+Q19+R19+S19+U19+T19</f>
        <v>1559.4762500000002</v>
      </c>
      <c r="W19" s="28">
        <f>IF('[8]Calculo ISR '!$BI$34&gt;0,0,('[8]Calculo ISR '!$BI$34)*-1)</f>
        <v>68.07463999999996</v>
      </c>
      <c r="X19" s="25">
        <f t="shared" si="6"/>
        <v>565.52339000000018</v>
      </c>
      <c r="Y19" s="25">
        <f t="shared" si="1"/>
        <v>125.32000000000001</v>
      </c>
      <c r="Z19" s="163"/>
      <c r="AA19" s="163"/>
    </row>
    <row r="20" spans="1:28" s="35" customFormat="1" ht="45" customHeight="1">
      <c r="A20" s="21" t="s">
        <v>48</v>
      </c>
      <c r="B20" s="33" t="s">
        <v>49</v>
      </c>
      <c r="C20" s="34">
        <v>19.5</v>
      </c>
      <c r="D20" s="34">
        <v>0</v>
      </c>
      <c r="E20" s="24">
        <v>305.5</v>
      </c>
      <c r="F20" s="24">
        <v>348.3</v>
      </c>
      <c r="G20" s="24">
        <f t="shared" si="2"/>
        <v>5957.25</v>
      </c>
      <c r="H20" s="24">
        <f t="shared" si="2"/>
        <v>0</v>
      </c>
      <c r="I20" s="25">
        <f t="shared" si="3"/>
        <v>5957.25</v>
      </c>
      <c r="J20" s="25">
        <f t="shared" si="4"/>
        <v>375.96000000000004</v>
      </c>
      <c r="K20" s="25">
        <f>(C20+D20)*I6</f>
        <v>213.52499999999998</v>
      </c>
      <c r="L20" s="25"/>
      <c r="M20" s="25"/>
      <c r="N20" s="25">
        <v>0</v>
      </c>
      <c r="O20" s="25">
        <f t="shared" si="5"/>
        <v>6546.7349999999997</v>
      </c>
      <c r="P20" s="27">
        <f>IF('[8]Calculo ISR '!$BJ$34&lt;0,0,'[8]Calculo ISR '!$BJ$34)</f>
        <v>770.88836400000002</v>
      </c>
      <c r="Q20" s="28">
        <f>I20*N6</f>
        <v>625.51125000000002</v>
      </c>
      <c r="R20" s="28">
        <f>'[8]HT-DOCENTE'!P19</f>
        <v>0</v>
      </c>
      <c r="S20" s="28">
        <f>I20*T6</f>
        <v>59.572499999999998</v>
      </c>
      <c r="T20" s="28">
        <f>'[8]HT-DOCENTE'!R19</f>
        <v>0</v>
      </c>
      <c r="U20" s="28"/>
      <c r="V20" s="25">
        <f t="shared" si="0"/>
        <v>1455.9721139999999</v>
      </c>
      <c r="W20" s="28">
        <f>IF('[8]Calculo ISR '!$BJ$34&gt;0,0,('[8]Calculo ISR '!$BJ$34)*-1)</f>
        <v>0</v>
      </c>
      <c r="X20" s="25">
        <f t="shared" si="6"/>
        <v>4714.8028859999995</v>
      </c>
      <c r="Y20" s="25">
        <f t="shared" si="1"/>
        <v>375.96000000000004</v>
      </c>
      <c r="Z20" s="161"/>
      <c r="AA20" s="162"/>
    </row>
    <row r="21" spans="1:28" s="35" customFormat="1" ht="45" customHeight="1">
      <c r="A21" s="21" t="s">
        <v>50</v>
      </c>
      <c r="B21" s="33" t="s">
        <v>51</v>
      </c>
      <c r="C21" s="34">
        <v>18.5</v>
      </c>
      <c r="D21" s="34">
        <v>0</v>
      </c>
      <c r="E21" s="24">
        <v>305.5</v>
      </c>
      <c r="F21" s="24">
        <v>348.3</v>
      </c>
      <c r="G21" s="24">
        <f t="shared" si="2"/>
        <v>5651.75</v>
      </c>
      <c r="H21" s="24">
        <f t="shared" si="2"/>
        <v>0</v>
      </c>
      <c r="I21" s="25">
        <f t="shared" si="3"/>
        <v>5651.75</v>
      </c>
      <c r="J21" s="25">
        <f t="shared" si="4"/>
        <v>356.68</v>
      </c>
      <c r="K21" s="25">
        <f>(C21+D21)*I6</f>
        <v>202.57499999999999</v>
      </c>
      <c r="L21" s="25"/>
      <c r="M21" s="25"/>
      <c r="N21" s="25">
        <v>0</v>
      </c>
      <c r="O21" s="25">
        <f>SUM(I21:N21)</f>
        <v>6211.0050000000001</v>
      </c>
      <c r="P21" s="27">
        <f>IF('[8]Calculo ISR '!$BK$34&lt;0,0,'[8]Calculo ISR '!$BK$34)</f>
        <v>703.29464400000006</v>
      </c>
      <c r="Q21" s="28">
        <f>I21*N6</f>
        <v>593.43375000000003</v>
      </c>
      <c r="R21" s="28">
        <v>1570</v>
      </c>
      <c r="S21" s="28">
        <f>I21*T6</f>
        <v>56.517499999999998</v>
      </c>
      <c r="T21" s="28"/>
      <c r="U21" s="28"/>
      <c r="V21" s="25">
        <f t="shared" si="0"/>
        <v>2923.2458940000001</v>
      </c>
      <c r="W21" s="28">
        <f>IF('[8]Calculo ISR '!$BK$34&gt;0,0,('[8]Calculo ISR '!$BK$34)*-1)</f>
        <v>0</v>
      </c>
      <c r="X21" s="25">
        <f t="shared" si="6"/>
        <v>2931.0791060000001</v>
      </c>
      <c r="Y21" s="25">
        <f t="shared" si="1"/>
        <v>356.68</v>
      </c>
      <c r="Z21" s="161"/>
      <c r="AA21" s="162"/>
    </row>
    <row r="22" spans="1:28" s="35" customFormat="1" ht="45" customHeight="1">
      <c r="A22" s="21" t="s">
        <v>52</v>
      </c>
      <c r="B22" s="33" t="s">
        <v>53</v>
      </c>
      <c r="C22" s="34">
        <v>19.5</v>
      </c>
      <c r="D22" s="34">
        <v>0</v>
      </c>
      <c r="E22" s="24">
        <v>305.5</v>
      </c>
      <c r="F22" s="24">
        <v>348.3</v>
      </c>
      <c r="G22" s="24">
        <f t="shared" si="2"/>
        <v>5957.25</v>
      </c>
      <c r="H22" s="24">
        <f t="shared" si="2"/>
        <v>0</v>
      </c>
      <c r="I22" s="25">
        <f t="shared" si="3"/>
        <v>5957.25</v>
      </c>
      <c r="J22" s="25">
        <f t="shared" si="4"/>
        <v>375.96000000000004</v>
      </c>
      <c r="K22" s="25">
        <f>(C22+D22)*I6</f>
        <v>213.52499999999998</v>
      </c>
      <c r="L22" s="25"/>
      <c r="M22" s="25"/>
      <c r="N22" s="25">
        <v>0</v>
      </c>
      <c r="O22" s="25">
        <f t="shared" si="5"/>
        <v>6546.7349999999997</v>
      </c>
      <c r="P22" s="27">
        <f>IF('[8]Calculo ISR '!$BL$34&lt;0,0,'[8]Calculo ISR '!$BL$34)</f>
        <v>770.88836400000002</v>
      </c>
      <c r="Q22" s="28">
        <f>I22*N6</f>
        <v>625.51125000000002</v>
      </c>
      <c r="R22" s="28">
        <f>'[8]HT-DOCENTE'!P21</f>
        <v>0</v>
      </c>
      <c r="S22" s="28">
        <f>I22*T6</f>
        <v>59.572499999999998</v>
      </c>
      <c r="T22" s="28"/>
      <c r="U22" s="28"/>
      <c r="V22" s="25">
        <f t="shared" si="0"/>
        <v>1455.9721139999999</v>
      </c>
      <c r="W22" s="28">
        <f>IF('[8]Calculo ISR '!$BL$34&gt;0,0,('[8]Calculo ISR '!$BL$34)*-1)</f>
        <v>0</v>
      </c>
      <c r="X22" s="25">
        <f t="shared" si="6"/>
        <v>4714.8028859999995</v>
      </c>
      <c r="Y22" s="25">
        <f t="shared" si="1"/>
        <v>375.96000000000004</v>
      </c>
      <c r="Z22" s="161"/>
      <c r="AA22" s="162"/>
    </row>
    <row r="23" spans="1:28" s="35" customFormat="1" ht="45" customHeight="1">
      <c r="A23" s="21" t="s">
        <v>54</v>
      </c>
      <c r="B23" s="33" t="s">
        <v>55</v>
      </c>
      <c r="C23" s="34">
        <v>19.5</v>
      </c>
      <c r="D23" s="34">
        <v>0</v>
      </c>
      <c r="E23" s="24">
        <v>305.5</v>
      </c>
      <c r="F23" s="24">
        <v>348.3</v>
      </c>
      <c r="G23" s="24">
        <f t="shared" si="2"/>
        <v>5957.25</v>
      </c>
      <c r="H23" s="24">
        <f t="shared" si="2"/>
        <v>0</v>
      </c>
      <c r="I23" s="25">
        <f t="shared" si="3"/>
        <v>5957.25</v>
      </c>
      <c r="J23" s="25">
        <f t="shared" si="4"/>
        <v>375.96000000000004</v>
      </c>
      <c r="K23" s="25">
        <f>(C23+D23)*I6</f>
        <v>213.52499999999998</v>
      </c>
      <c r="L23" s="25"/>
      <c r="M23" s="25"/>
      <c r="N23" s="25">
        <v>0</v>
      </c>
      <c r="O23" s="25">
        <f t="shared" si="5"/>
        <v>6546.7349999999997</v>
      </c>
      <c r="P23" s="27">
        <f>IF('[8]Calculo ISR '!$BM$34&lt;0,0,'[8]Calculo ISR '!$BM$34)</f>
        <v>770.88836400000002</v>
      </c>
      <c r="Q23" s="28">
        <f>I23*N6</f>
        <v>625.51125000000002</v>
      </c>
      <c r="R23" s="28">
        <v>1324</v>
      </c>
      <c r="S23" s="28">
        <f>I23*T6</f>
        <v>59.572499999999998</v>
      </c>
      <c r="T23" s="28">
        <f>'[8]HT-DOCENTE'!R22</f>
        <v>0</v>
      </c>
      <c r="U23" s="28"/>
      <c r="V23" s="25">
        <f t="shared" si="0"/>
        <v>2779.9721140000001</v>
      </c>
      <c r="W23" s="28">
        <f>IF('[8]Calculo ISR '!$BM$34&gt;0,0,('[8]Calculo ISR '!$BM$34)*-1)</f>
        <v>0</v>
      </c>
      <c r="X23" s="25">
        <f t="shared" si="6"/>
        <v>3390.8028859999995</v>
      </c>
      <c r="Y23" s="25">
        <f t="shared" si="1"/>
        <v>375.96000000000004</v>
      </c>
      <c r="Z23" s="161"/>
      <c r="AA23" s="162"/>
    </row>
    <row r="24" spans="1:28" s="35" customFormat="1" ht="45" customHeight="1">
      <c r="A24" s="21" t="s">
        <v>56</v>
      </c>
      <c r="B24" s="33" t="s">
        <v>57</v>
      </c>
      <c r="C24" s="34">
        <v>19</v>
      </c>
      <c r="D24" s="34">
        <v>0</v>
      </c>
      <c r="E24" s="24">
        <v>305.5</v>
      </c>
      <c r="F24" s="24">
        <v>348.3</v>
      </c>
      <c r="G24" s="24">
        <f t="shared" si="2"/>
        <v>5804.5</v>
      </c>
      <c r="H24" s="24">
        <f t="shared" si="2"/>
        <v>0</v>
      </c>
      <c r="I24" s="25">
        <f t="shared" si="3"/>
        <v>5804.5</v>
      </c>
      <c r="J24" s="25">
        <f t="shared" si="4"/>
        <v>366.32000000000005</v>
      </c>
      <c r="K24" s="25">
        <f>(C24+D24)*I6</f>
        <v>208.04999999999998</v>
      </c>
      <c r="L24" s="25">
        <f>(C24+D24)*E7</f>
        <v>423.7</v>
      </c>
      <c r="M24" s="25"/>
      <c r="N24" s="25">
        <v>0</v>
      </c>
      <c r="O24" s="25">
        <f t="shared" si="5"/>
        <v>6802.57</v>
      </c>
      <c r="P24" s="27">
        <f>IF('[8]Calculo ISR '!$BN$34&lt;0,0,'[8]Calculo ISR '!$BN$34)</f>
        <v>827.59382400000004</v>
      </c>
      <c r="Q24" s="28">
        <f>I24*N6</f>
        <v>609.47249999999997</v>
      </c>
      <c r="R24" s="28">
        <f>'[8]HT-DOCENTE'!P23</f>
        <v>0</v>
      </c>
      <c r="S24" s="28">
        <f>I24*T6</f>
        <v>58.045000000000002</v>
      </c>
      <c r="T24" s="28">
        <f>'[8]HT-DOCENTE'!R23</f>
        <v>0</v>
      </c>
      <c r="U24" s="30">
        <f>[8]descuentos!D7</f>
        <v>0</v>
      </c>
      <c r="V24" s="25">
        <f t="shared" si="0"/>
        <v>1495.111324</v>
      </c>
      <c r="W24" s="28">
        <f>IF('[8]Calculo ISR '!$BN$34&gt;0,0,('[8]Calculo ISR '!$BN$34)*-1)</f>
        <v>0</v>
      </c>
      <c r="X24" s="25">
        <f t="shared" si="6"/>
        <v>4941.1386760000005</v>
      </c>
      <c r="Y24" s="25">
        <f t="shared" si="1"/>
        <v>366.32000000000005</v>
      </c>
      <c r="Z24" s="161"/>
      <c r="AA24" s="162"/>
    </row>
    <row r="25" spans="1:28" s="35" customFormat="1" ht="45" customHeight="1">
      <c r="A25" s="21" t="s">
        <v>58</v>
      </c>
      <c r="B25" s="33" t="s">
        <v>59</v>
      </c>
      <c r="C25" s="34">
        <v>11</v>
      </c>
      <c r="D25" s="34">
        <v>0</v>
      </c>
      <c r="E25" s="24">
        <v>305.5</v>
      </c>
      <c r="F25" s="24">
        <v>348.3</v>
      </c>
      <c r="G25" s="24">
        <f t="shared" si="2"/>
        <v>3360.5</v>
      </c>
      <c r="H25" s="24">
        <f t="shared" si="2"/>
        <v>0</v>
      </c>
      <c r="I25" s="25">
        <f t="shared" si="3"/>
        <v>3360.5</v>
      </c>
      <c r="J25" s="25">
        <f t="shared" si="4"/>
        <v>212.08</v>
      </c>
      <c r="K25" s="25">
        <f>(C25+D25)*I6</f>
        <v>120.44999999999999</v>
      </c>
      <c r="L25" s="25"/>
      <c r="M25" s="25"/>
      <c r="N25" s="25"/>
      <c r="O25" s="25">
        <f>SUM(I25:N25)</f>
        <v>3693.0299999999997</v>
      </c>
      <c r="P25" s="27">
        <f>IF('[8]Calculo ISR '!$BO$34&lt;0,0,'[8]Calculo ISR '!$BO$34)</f>
        <v>149.54427199999995</v>
      </c>
      <c r="Q25" s="28">
        <f>I25*N6</f>
        <v>352.85249999999996</v>
      </c>
      <c r="R25" s="28">
        <v>707</v>
      </c>
      <c r="S25" s="28">
        <f>I25*T6</f>
        <v>33.605000000000004</v>
      </c>
      <c r="T25" s="28"/>
      <c r="U25" s="28"/>
      <c r="V25" s="25">
        <f>P25+Q25+R25+S25+U25+T25</f>
        <v>1243.0017720000001</v>
      </c>
      <c r="W25" s="28">
        <f>IF('[8]Calculo ISR '!$BO$34&gt;0,0,('[8]Calculo ISR '!$BO$34)*-1)</f>
        <v>0</v>
      </c>
      <c r="X25" s="25">
        <f>O25-V25-Y25+W25</f>
        <v>2237.9482279999997</v>
      </c>
      <c r="Y25" s="25">
        <f t="shared" si="1"/>
        <v>212.08</v>
      </c>
      <c r="Z25" s="161"/>
      <c r="AA25" s="162"/>
    </row>
    <row r="26" spans="1:28" s="35" customFormat="1" ht="45" customHeight="1">
      <c r="A26" s="21" t="s">
        <v>60</v>
      </c>
      <c r="B26" s="33" t="s">
        <v>100</v>
      </c>
      <c r="C26" s="34">
        <v>18.5</v>
      </c>
      <c r="D26" s="34"/>
      <c r="E26" s="24">
        <v>305.5</v>
      </c>
      <c r="F26" s="24">
        <v>348.3</v>
      </c>
      <c r="G26" s="24">
        <f t="shared" si="2"/>
        <v>5651.75</v>
      </c>
      <c r="H26" s="24">
        <f t="shared" si="2"/>
        <v>0</v>
      </c>
      <c r="I26" s="25">
        <f t="shared" si="3"/>
        <v>5651.75</v>
      </c>
      <c r="J26" s="25">
        <f t="shared" si="4"/>
        <v>356.68</v>
      </c>
      <c r="K26" s="25">
        <f>(C26+D26)*I6</f>
        <v>202.57499999999999</v>
      </c>
      <c r="L26" s="25"/>
      <c r="M26" s="25"/>
      <c r="N26" s="25"/>
      <c r="O26" s="25">
        <f t="shared" si="5"/>
        <v>6211.0050000000001</v>
      </c>
      <c r="P26" s="27">
        <f>IF('[8]Calculo ISR '!$BP$34&lt;0,0,'[8]Calculo ISR '!$BP$34)</f>
        <v>703.29464400000006</v>
      </c>
      <c r="Q26" s="28">
        <f>I26*N6</f>
        <v>593.43375000000003</v>
      </c>
      <c r="R26" s="28"/>
      <c r="S26" s="28"/>
      <c r="T26" s="28"/>
      <c r="U26" s="28"/>
      <c r="V26" s="25">
        <f>P26+Q26+R26+S26+T26+U26</f>
        <v>1296.7283940000002</v>
      </c>
      <c r="W26" s="28">
        <f>IF('[8]Calculo ISR '!$BP$34&gt;0,0,('[8]Calculo ISR '!$BP$34)*-1)</f>
        <v>0</v>
      </c>
      <c r="X26" s="25">
        <f>O26-V26-Y26+W26</f>
        <v>4557.5966059999992</v>
      </c>
      <c r="Y26" s="25">
        <f t="shared" si="1"/>
        <v>356.68</v>
      </c>
      <c r="Z26" s="161"/>
      <c r="AA26" s="162"/>
    </row>
    <row r="27" spans="1:28" s="35" customFormat="1" ht="45" customHeight="1">
      <c r="A27" s="21" t="s">
        <v>62</v>
      </c>
      <c r="B27" s="33" t="s">
        <v>63</v>
      </c>
      <c r="C27" s="34">
        <v>17.5</v>
      </c>
      <c r="D27" s="34">
        <v>0</v>
      </c>
      <c r="E27" s="24">
        <v>305.5</v>
      </c>
      <c r="F27" s="24">
        <v>348.3</v>
      </c>
      <c r="G27" s="24">
        <f t="shared" si="2"/>
        <v>5346.25</v>
      </c>
      <c r="H27" s="24">
        <f t="shared" si="2"/>
        <v>0</v>
      </c>
      <c r="I27" s="25">
        <f t="shared" si="3"/>
        <v>5346.25</v>
      </c>
      <c r="J27" s="25">
        <f t="shared" si="4"/>
        <v>337.40000000000003</v>
      </c>
      <c r="K27" s="25">
        <f>(C27+D27)*I6</f>
        <v>191.625</v>
      </c>
      <c r="L27" s="25"/>
      <c r="M27" s="25"/>
      <c r="N27" s="25">
        <v>0</v>
      </c>
      <c r="O27" s="25">
        <f t="shared" si="5"/>
        <v>5875.2749999999996</v>
      </c>
      <c r="P27" s="27">
        <f>IF('[8]Calculo ISR '!$BQ$34&lt;0,0,'[8]Calculo ISR '!$BQ$34)</f>
        <v>635.7009240000001</v>
      </c>
      <c r="Q27" s="28">
        <f>I27*N6</f>
        <v>561.35624999999993</v>
      </c>
      <c r="R27" s="28"/>
      <c r="S27" s="28">
        <f>I27*T6</f>
        <v>53.462499999999999</v>
      </c>
      <c r="T27" s="28"/>
      <c r="U27" s="28"/>
      <c r="V27" s="25">
        <f>P27+Q27+R27+S27+T27+U27</f>
        <v>1250.5196740000001</v>
      </c>
      <c r="W27" s="28">
        <f>IF('[8]Calculo ISR '!$BQ$34&gt;0,0,('[8]Calculo ISR '!$BQ$34)*-1)</f>
        <v>0</v>
      </c>
      <c r="X27" s="25">
        <f>O27-V27+W27-Y27</f>
        <v>4287.3553259999999</v>
      </c>
      <c r="Y27" s="25">
        <f t="shared" si="1"/>
        <v>337.40000000000003</v>
      </c>
      <c r="Z27" s="161"/>
      <c r="AA27" s="162"/>
    </row>
    <row r="28" spans="1:28" s="35" customFormat="1" ht="45" customHeight="1">
      <c r="A28" s="21" t="s">
        <v>64</v>
      </c>
      <c r="B28" s="33" t="s">
        <v>65</v>
      </c>
      <c r="C28" s="34">
        <v>17</v>
      </c>
      <c r="D28" s="34">
        <v>0</v>
      </c>
      <c r="E28" s="24">
        <v>305.5</v>
      </c>
      <c r="F28" s="24">
        <v>348.3</v>
      </c>
      <c r="G28" s="24">
        <f t="shared" si="2"/>
        <v>5193.5</v>
      </c>
      <c r="H28" s="24">
        <f t="shared" si="2"/>
        <v>0</v>
      </c>
      <c r="I28" s="25">
        <f t="shared" si="3"/>
        <v>5193.5</v>
      </c>
      <c r="J28" s="25">
        <f t="shared" si="4"/>
        <v>327.76</v>
      </c>
      <c r="K28" s="25">
        <f>(C28+D28)*I6</f>
        <v>186.14999999999998</v>
      </c>
      <c r="L28" s="25"/>
      <c r="M28" s="25"/>
      <c r="N28" s="25">
        <v>0</v>
      </c>
      <c r="O28" s="25">
        <f>SUM(I28:N28)</f>
        <v>5707.41</v>
      </c>
      <c r="P28" s="27">
        <f>IF('[8]Calculo ISR '!$BR$34&lt;0,0,'[8]Calculo ISR '!$BR$34)</f>
        <v>601.90406400000006</v>
      </c>
      <c r="Q28" s="28">
        <f>I28*N6</f>
        <v>545.3175</v>
      </c>
      <c r="R28" s="28"/>
      <c r="S28" s="28"/>
      <c r="T28" s="28"/>
      <c r="U28" s="28"/>
      <c r="V28" s="25">
        <f t="shared" ref="V28:V31" si="7">P28+Q28+R28+S28+T28+U28</f>
        <v>1147.2215639999999</v>
      </c>
      <c r="W28" s="28">
        <f>IF('[8]Calculo ISR '!$BR$34&gt;0,0,('[8]Calculo ISR '!$BR$34)*-1)</f>
        <v>0</v>
      </c>
      <c r="X28" s="25">
        <f t="shared" ref="X28:X39" si="8">O28-V28+W28-Y28</f>
        <v>4232.4284360000001</v>
      </c>
      <c r="Y28" s="25">
        <f t="shared" si="1"/>
        <v>327.76</v>
      </c>
      <c r="Z28" s="161"/>
      <c r="AA28" s="162"/>
    </row>
    <row r="29" spans="1:28" s="35" customFormat="1" ht="45" customHeight="1">
      <c r="A29" s="21" t="s">
        <v>66</v>
      </c>
      <c r="B29" s="36" t="s">
        <v>67</v>
      </c>
      <c r="C29" s="34">
        <v>11.5</v>
      </c>
      <c r="D29" s="34">
        <v>0</v>
      </c>
      <c r="E29" s="24">
        <v>305.5</v>
      </c>
      <c r="F29" s="24">
        <v>348.3</v>
      </c>
      <c r="G29" s="24">
        <f t="shared" si="2"/>
        <v>3513.25</v>
      </c>
      <c r="H29" s="24">
        <f t="shared" si="2"/>
        <v>0</v>
      </c>
      <c r="I29" s="25">
        <f t="shared" si="3"/>
        <v>3513.25</v>
      </c>
      <c r="J29" s="25">
        <f t="shared" si="4"/>
        <v>221.72000000000003</v>
      </c>
      <c r="K29" s="25">
        <f>(C29+D29)*I6</f>
        <v>125.925</v>
      </c>
      <c r="L29" s="25"/>
      <c r="M29" s="25"/>
      <c r="N29" s="25">
        <v>0</v>
      </c>
      <c r="O29" s="25">
        <f t="shared" si="5"/>
        <v>3860.8950000000004</v>
      </c>
      <c r="P29" s="27">
        <f>IF('[8]Calculo ISR '!$BS$34&lt;0,0,'[8]Calculo ISR '!$BS$34)</f>
        <v>184.45915199999999</v>
      </c>
      <c r="Q29" s="28">
        <f>I29*N6</f>
        <v>368.89125000000001</v>
      </c>
      <c r="R29" s="28"/>
      <c r="S29" s="28"/>
      <c r="T29" s="28"/>
      <c r="U29" s="28"/>
      <c r="V29" s="25">
        <f t="shared" si="7"/>
        <v>553.35040200000003</v>
      </c>
      <c r="W29" s="28">
        <f>IF('[8]Calculo ISR '!$BS$34&gt;0,0,('[8]Calculo ISR '!$BS$34)*-1)</f>
        <v>0</v>
      </c>
      <c r="X29" s="25">
        <f t="shared" si="8"/>
        <v>3085.8245980000002</v>
      </c>
      <c r="Y29" s="25">
        <f t="shared" si="1"/>
        <v>221.72000000000003</v>
      </c>
      <c r="Z29" s="161"/>
      <c r="AA29" s="162"/>
    </row>
    <row r="30" spans="1:28" s="35" customFormat="1" ht="45" customHeight="1">
      <c r="A30" s="21" t="s">
        <v>68</v>
      </c>
      <c r="B30" s="33" t="s">
        <v>69</v>
      </c>
      <c r="C30" s="34">
        <v>10.5</v>
      </c>
      <c r="D30" s="34">
        <v>0</v>
      </c>
      <c r="E30" s="24">
        <v>305.5</v>
      </c>
      <c r="F30" s="24">
        <v>348.3</v>
      </c>
      <c r="G30" s="24">
        <f t="shared" si="2"/>
        <v>3207.75</v>
      </c>
      <c r="H30" s="24">
        <f t="shared" si="2"/>
        <v>0</v>
      </c>
      <c r="I30" s="25">
        <f t="shared" si="3"/>
        <v>3207.75</v>
      </c>
      <c r="J30" s="25">
        <f t="shared" si="4"/>
        <v>202.44</v>
      </c>
      <c r="K30" s="25">
        <f>(C30+D30)*I6</f>
        <v>114.97499999999999</v>
      </c>
      <c r="L30" s="25"/>
      <c r="M30" s="25"/>
      <c r="N30" s="25">
        <v>0</v>
      </c>
      <c r="O30" s="25">
        <f t="shared" si="5"/>
        <v>3525.165</v>
      </c>
      <c r="P30" s="27">
        <f>IF('[8]Calculo ISR '!$BT$34&lt;0,0,'[8]Calculo ISR '!$BT$34)</f>
        <v>132.32939199999996</v>
      </c>
      <c r="Q30" s="28">
        <f>I30*N6</f>
        <v>336.81374999999997</v>
      </c>
      <c r="R30" s="28"/>
      <c r="S30" s="28"/>
      <c r="T30" s="28"/>
      <c r="U30" s="28"/>
      <c r="V30" s="25">
        <f>P30+Q30+R30+S30+T30+U30</f>
        <v>469.1431419999999</v>
      </c>
      <c r="W30" s="28">
        <f>IF('[8]Calculo ISR '!$BT$34&gt;0,0,('[8]Calculo ISR '!$BT$34)*-1)</f>
        <v>0</v>
      </c>
      <c r="X30" s="25">
        <f>O30-V30+W30-Y30</f>
        <v>2853.581858</v>
      </c>
      <c r="Y30" s="25">
        <f t="shared" si="1"/>
        <v>202.44</v>
      </c>
      <c r="Z30" s="161"/>
      <c r="AA30" s="162"/>
    </row>
    <row r="31" spans="1:28" s="35" customFormat="1" ht="45" customHeight="1">
      <c r="A31" s="21" t="s">
        <v>70</v>
      </c>
      <c r="B31" s="33" t="s">
        <v>71</v>
      </c>
      <c r="C31" s="34">
        <v>7.5</v>
      </c>
      <c r="D31" s="34">
        <v>0</v>
      </c>
      <c r="E31" s="24">
        <v>305.5</v>
      </c>
      <c r="F31" s="24">
        <v>348.3</v>
      </c>
      <c r="G31" s="24">
        <f t="shared" si="2"/>
        <v>2291.25</v>
      </c>
      <c r="H31" s="24">
        <f t="shared" si="2"/>
        <v>0</v>
      </c>
      <c r="I31" s="25">
        <f t="shared" si="3"/>
        <v>2291.25</v>
      </c>
      <c r="J31" s="25">
        <f t="shared" si="4"/>
        <v>144.60000000000002</v>
      </c>
      <c r="K31" s="25">
        <f>(C31+D31)*I6</f>
        <v>82.125</v>
      </c>
      <c r="L31" s="25"/>
      <c r="M31" s="25"/>
      <c r="N31" s="25">
        <v>0</v>
      </c>
      <c r="O31" s="25">
        <f>SUM(I31:N31)</f>
        <v>2517.9749999999999</v>
      </c>
      <c r="P31" s="27">
        <f>IF('[8]Calculo ISR '!$BU$34&lt;0,0,'[8]Calculo ISR '!$BU$34)</f>
        <v>0</v>
      </c>
      <c r="Q31" s="28">
        <f>I31*N6</f>
        <v>240.58124999999998</v>
      </c>
      <c r="R31" s="28"/>
      <c r="S31" s="28"/>
      <c r="T31" s="28"/>
      <c r="U31" s="28"/>
      <c r="V31" s="25">
        <f t="shared" si="7"/>
        <v>240.58124999999998</v>
      </c>
      <c r="W31" s="28">
        <f>IF('[8]Calculo ISR '!$BU$34&gt;0,0,('[8]Calculo ISR '!$BU$34)*-1)</f>
        <v>6.2098880000000065</v>
      </c>
      <c r="X31" s="25">
        <f t="shared" si="8"/>
        <v>2139.0036379999997</v>
      </c>
      <c r="Y31" s="25">
        <f t="shared" si="1"/>
        <v>144.60000000000002</v>
      </c>
      <c r="Z31" s="161"/>
      <c r="AA31" s="162"/>
    </row>
    <row r="32" spans="1:28" s="35" customFormat="1" ht="45" customHeight="1">
      <c r="A32" s="21" t="s">
        <v>72</v>
      </c>
      <c r="B32" s="33" t="s">
        <v>73</v>
      </c>
      <c r="C32" s="34">
        <v>10</v>
      </c>
      <c r="D32" s="34">
        <v>0</v>
      </c>
      <c r="E32" s="24">
        <v>305.5</v>
      </c>
      <c r="F32" s="24">
        <v>348.3</v>
      </c>
      <c r="G32" s="24">
        <f t="shared" si="2"/>
        <v>3055</v>
      </c>
      <c r="H32" s="24">
        <f t="shared" si="2"/>
        <v>0</v>
      </c>
      <c r="I32" s="25">
        <f t="shared" si="3"/>
        <v>3055</v>
      </c>
      <c r="J32" s="25">
        <f t="shared" si="4"/>
        <v>192.8</v>
      </c>
      <c r="K32" s="25">
        <f>(C32+D32)*I6</f>
        <v>109.5</v>
      </c>
      <c r="L32" s="25"/>
      <c r="M32" s="25"/>
      <c r="N32" s="25"/>
      <c r="O32" s="25">
        <f t="shared" si="5"/>
        <v>3357.3</v>
      </c>
      <c r="P32" s="27">
        <f>IF('[8]Calculo ISR '!$BV$34&lt;0,0,'[8]Calculo ISR '!$BV$34)</f>
        <v>115.11451199999996</v>
      </c>
      <c r="Q32" s="28">
        <f>I32*N6</f>
        <v>320.77499999999998</v>
      </c>
      <c r="R32" s="28"/>
      <c r="S32" s="28"/>
      <c r="T32" s="28"/>
      <c r="U32" s="28"/>
      <c r="V32" s="25">
        <f>P32+Q32+R32+S32+T32+U32</f>
        <v>435.88951199999997</v>
      </c>
      <c r="W32" s="28">
        <f>IF('[8]Calculo ISR '!$BV$34&gt;0,0,('[8]Calculo ISR '!$BV$34)*-1)</f>
        <v>0</v>
      </c>
      <c r="X32" s="25">
        <f t="shared" si="8"/>
        <v>2728.6104880000003</v>
      </c>
      <c r="Y32" s="25">
        <f t="shared" si="1"/>
        <v>192.8</v>
      </c>
      <c r="Z32" s="184"/>
      <c r="AA32" s="185"/>
      <c r="AB32" s="70"/>
    </row>
    <row r="33" spans="1:31" s="35" customFormat="1" ht="45" customHeight="1">
      <c r="A33" s="21" t="s">
        <v>94</v>
      </c>
      <c r="B33" s="33" t="s">
        <v>101</v>
      </c>
      <c r="C33" s="34">
        <v>10</v>
      </c>
      <c r="D33" s="34">
        <v>0</v>
      </c>
      <c r="E33" s="24">
        <v>305.5</v>
      </c>
      <c r="F33" s="24">
        <v>348.3</v>
      </c>
      <c r="G33" s="24">
        <f t="shared" si="2"/>
        <v>3055</v>
      </c>
      <c r="H33" s="24">
        <f t="shared" si="2"/>
        <v>0</v>
      </c>
      <c r="I33" s="25">
        <f t="shared" si="3"/>
        <v>3055</v>
      </c>
      <c r="J33" s="25">
        <f t="shared" si="4"/>
        <v>192.8</v>
      </c>
      <c r="K33" s="25">
        <f>(C33+D33)*I6</f>
        <v>109.5</v>
      </c>
      <c r="L33" s="25"/>
      <c r="M33" s="25"/>
      <c r="N33" s="25"/>
      <c r="O33" s="25">
        <f t="shared" si="5"/>
        <v>3357.3</v>
      </c>
      <c r="P33" s="27">
        <f>IF('[8]Calculo ISR '!$BW$34&lt;0,0,'[8]Calculo ISR '!$BW$34)</f>
        <v>115.11451199999996</v>
      </c>
      <c r="Q33" s="28">
        <v>320.77</v>
      </c>
      <c r="R33" s="28"/>
      <c r="S33" s="28"/>
      <c r="T33" s="28"/>
      <c r="U33" s="28"/>
      <c r="V33" s="25">
        <f>P33+Q33+R33+S33+T33+U33</f>
        <v>435.88451199999997</v>
      </c>
      <c r="W33" s="28">
        <f>IF('[8]Calculo ISR '!$BW$34&gt;0,0,('[8]Calculo ISR '!$BW$34)*-1)</f>
        <v>0</v>
      </c>
      <c r="X33" s="25">
        <f t="shared" si="8"/>
        <v>2728.6154879999999</v>
      </c>
      <c r="Y33" s="71">
        <f t="shared" si="1"/>
        <v>192.8</v>
      </c>
      <c r="Z33" s="83"/>
      <c r="AA33" s="73"/>
      <c r="AB33" s="70"/>
    </row>
    <row r="34" spans="1:31" s="35" customFormat="1" ht="45" customHeight="1">
      <c r="A34" s="21" t="s">
        <v>96</v>
      </c>
      <c r="B34" s="33" t="s">
        <v>102</v>
      </c>
      <c r="C34" s="34">
        <v>7.5</v>
      </c>
      <c r="D34" s="34">
        <v>0</v>
      </c>
      <c r="E34" s="24">
        <v>305.5</v>
      </c>
      <c r="F34" s="24">
        <v>348.3</v>
      </c>
      <c r="G34" s="24">
        <f t="shared" si="2"/>
        <v>2291.25</v>
      </c>
      <c r="H34" s="24">
        <f t="shared" si="2"/>
        <v>0</v>
      </c>
      <c r="I34" s="25">
        <f t="shared" si="3"/>
        <v>2291.25</v>
      </c>
      <c r="J34" s="25">
        <f t="shared" si="4"/>
        <v>144.60000000000002</v>
      </c>
      <c r="K34" s="25">
        <f>(C34+D34)*I6</f>
        <v>82.125</v>
      </c>
      <c r="L34" s="25"/>
      <c r="M34" s="25"/>
      <c r="N34" s="25"/>
      <c r="O34" s="25">
        <f t="shared" si="5"/>
        <v>2517.9749999999999</v>
      </c>
      <c r="P34" s="27">
        <f>IF('[8]Calculo ISR '!$BX$34&lt;0,0,'[8]Calculo ISR '!$BX$34)</f>
        <v>0</v>
      </c>
      <c r="Q34" s="28">
        <v>240.58</v>
      </c>
      <c r="R34" s="28"/>
      <c r="S34" s="28"/>
      <c r="T34" s="28"/>
      <c r="U34" s="28"/>
      <c r="V34" s="25">
        <f>P34+Q34+R34+S34+T34+U34</f>
        <v>240.58</v>
      </c>
      <c r="W34" s="28">
        <f>IF('[8]Calculo ISR '!$BX$34&gt;0,0,('[8]Calculo ISR '!$BX$34)*-1)</f>
        <v>6.2098880000000065</v>
      </c>
      <c r="X34" s="25">
        <f t="shared" si="8"/>
        <v>2139.0048879999999</v>
      </c>
      <c r="Y34" s="71">
        <f t="shared" si="1"/>
        <v>144.60000000000002</v>
      </c>
      <c r="Z34" s="83"/>
      <c r="AA34" s="73"/>
      <c r="AB34" s="70"/>
    </row>
    <row r="35" spans="1:31" s="35" customFormat="1" ht="45" customHeight="1">
      <c r="A35" s="21" t="s">
        <v>103</v>
      </c>
      <c r="B35" s="33" t="s">
        <v>104</v>
      </c>
      <c r="C35" s="34">
        <v>5</v>
      </c>
      <c r="D35" s="34">
        <v>0</v>
      </c>
      <c r="E35" s="24">
        <v>305.5</v>
      </c>
      <c r="F35" s="24">
        <v>348.3</v>
      </c>
      <c r="G35" s="24">
        <f t="shared" si="2"/>
        <v>1527.5</v>
      </c>
      <c r="H35" s="24">
        <f t="shared" si="2"/>
        <v>0</v>
      </c>
      <c r="I35" s="25">
        <f t="shared" si="3"/>
        <v>1527.5</v>
      </c>
      <c r="J35" s="25">
        <f t="shared" si="4"/>
        <v>96.4</v>
      </c>
      <c r="K35" s="25">
        <f>(C35+D35)*I6</f>
        <v>54.75</v>
      </c>
      <c r="L35" s="25"/>
      <c r="M35" s="25"/>
      <c r="N35" s="25"/>
      <c r="O35" s="25">
        <f t="shared" si="5"/>
        <v>1678.65</v>
      </c>
      <c r="P35" s="27">
        <f>IF('[8]Calculo ISR '!$BX$34&lt;0,0,'[8]Calculo ISR '!$BX$34)</f>
        <v>0</v>
      </c>
      <c r="Q35" s="28">
        <v>160.38999999999999</v>
      </c>
      <c r="R35" s="28"/>
      <c r="S35" s="28"/>
      <c r="T35" s="28"/>
      <c r="U35" s="28"/>
      <c r="V35" s="25">
        <f t="shared" ref="V35:V39" si="9">P35+Q35+R35+S35+T35+U35</f>
        <v>160.38999999999999</v>
      </c>
      <c r="W35" s="28">
        <f>IF('[8]Calculo ISR '!$BY$34&gt;0,0,('[8]Calculo ISR '!$BY$34)*-1)</f>
        <v>110.45383999999997</v>
      </c>
      <c r="X35" s="25">
        <f t="shared" si="8"/>
        <v>1532.31384</v>
      </c>
      <c r="Y35" s="25">
        <f t="shared" si="1"/>
        <v>96.4</v>
      </c>
      <c r="Z35" s="83"/>
      <c r="AA35" s="73"/>
      <c r="AB35" s="70"/>
    </row>
    <row r="36" spans="1:31" s="35" customFormat="1" ht="45" customHeight="1">
      <c r="A36" s="21" t="s">
        <v>105</v>
      </c>
      <c r="B36" s="33" t="s">
        <v>106</v>
      </c>
      <c r="C36" s="34">
        <v>5</v>
      </c>
      <c r="D36" s="34">
        <v>0</v>
      </c>
      <c r="E36" s="24">
        <v>305.5</v>
      </c>
      <c r="F36" s="24">
        <v>348.3</v>
      </c>
      <c r="G36" s="24">
        <f t="shared" si="2"/>
        <v>1527.5</v>
      </c>
      <c r="H36" s="24">
        <f t="shared" si="2"/>
        <v>0</v>
      </c>
      <c r="I36" s="25">
        <f t="shared" si="3"/>
        <v>1527.5</v>
      </c>
      <c r="J36" s="25">
        <f t="shared" si="4"/>
        <v>96.4</v>
      </c>
      <c r="K36" s="25">
        <f>(C36+D36)*I$6</f>
        <v>54.75</v>
      </c>
      <c r="L36" s="25"/>
      <c r="M36" s="25"/>
      <c r="N36" s="25"/>
      <c r="O36" s="25">
        <f t="shared" si="5"/>
        <v>1678.65</v>
      </c>
      <c r="P36" s="27">
        <f>IF('[8]Calculo ISR '!$BX$34&lt;0,0,'[8]Calculo ISR '!$BX$34)</f>
        <v>0</v>
      </c>
      <c r="Q36" s="28">
        <v>160.38999999999999</v>
      </c>
      <c r="R36" s="28"/>
      <c r="S36" s="28"/>
      <c r="T36" s="28"/>
      <c r="U36" s="28"/>
      <c r="V36" s="25">
        <f t="shared" si="9"/>
        <v>160.38999999999999</v>
      </c>
      <c r="W36" s="28">
        <f>IF('[8]Calculo ISR '!$BZ$34&gt;0,0,('[8]Calculo ISR '!$BZ$34)*-1)</f>
        <v>110.45383999999997</v>
      </c>
      <c r="X36" s="25">
        <f t="shared" si="8"/>
        <v>1532.31384</v>
      </c>
      <c r="Y36" s="25">
        <f t="shared" si="1"/>
        <v>96.4</v>
      </c>
      <c r="Z36" s="83"/>
      <c r="AA36" s="73"/>
      <c r="AB36" s="70"/>
    </row>
    <row r="37" spans="1:31" s="35" customFormat="1" ht="45" customHeight="1">
      <c r="A37" s="21" t="s">
        <v>108</v>
      </c>
      <c r="B37" s="33" t="s">
        <v>109</v>
      </c>
      <c r="C37" s="34">
        <v>5</v>
      </c>
      <c r="D37" s="34">
        <v>0</v>
      </c>
      <c r="E37" s="24">
        <v>305.5</v>
      </c>
      <c r="F37" s="24">
        <v>348.3</v>
      </c>
      <c r="G37" s="24">
        <f t="shared" si="2"/>
        <v>1527.5</v>
      </c>
      <c r="H37" s="24">
        <f t="shared" si="2"/>
        <v>0</v>
      </c>
      <c r="I37" s="25">
        <f t="shared" si="3"/>
        <v>1527.5</v>
      </c>
      <c r="J37" s="25">
        <f t="shared" si="4"/>
        <v>96.4</v>
      </c>
      <c r="K37" s="25">
        <f t="shared" ref="K37:K39" si="10">(C37+D37)*I$6</f>
        <v>54.75</v>
      </c>
      <c r="L37" s="25"/>
      <c r="M37" s="25"/>
      <c r="N37" s="25"/>
      <c r="O37" s="25">
        <f>SUM(I37:N37)</f>
        <v>1678.65</v>
      </c>
      <c r="P37" s="27"/>
      <c r="Q37" s="28">
        <v>160.38999999999999</v>
      </c>
      <c r="R37" s="28"/>
      <c r="S37" s="28"/>
      <c r="T37" s="28"/>
      <c r="U37" s="28"/>
      <c r="V37" s="25">
        <f t="shared" si="9"/>
        <v>160.38999999999999</v>
      </c>
      <c r="W37" s="28">
        <f>IF('[8]Calculo ISR '!$CA$34&gt;0,0,('[8]Calculo ISR '!$CA$34)*-1)</f>
        <v>110.45383999999997</v>
      </c>
      <c r="X37" s="25">
        <f t="shared" si="8"/>
        <v>1532.31384</v>
      </c>
      <c r="Y37" s="25">
        <f t="shared" si="1"/>
        <v>96.4</v>
      </c>
      <c r="Z37" s="93"/>
      <c r="AA37" s="73"/>
      <c r="AB37" s="70"/>
    </row>
    <row r="38" spans="1:31" s="35" customFormat="1" ht="45" customHeight="1">
      <c r="A38" s="21" t="s">
        <v>110</v>
      </c>
      <c r="B38" s="33" t="s">
        <v>111</v>
      </c>
      <c r="C38" s="34">
        <v>5</v>
      </c>
      <c r="D38" s="34">
        <v>0</v>
      </c>
      <c r="E38" s="24">
        <v>305.5</v>
      </c>
      <c r="F38" s="24">
        <v>348.3</v>
      </c>
      <c r="G38" s="24">
        <f t="shared" si="2"/>
        <v>1527.5</v>
      </c>
      <c r="H38" s="24">
        <f t="shared" si="2"/>
        <v>0</v>
      </c>
      <c r="I38" s="25">
        <f t="shared" si="3"/>
        <v>1527.5</v>
      </c>
      <c r="J38" s="25">
        <f t="shared" si="4"/>
        <v>96.4</v>
      </c>
      <c r="K38" s="25">
        <f t="shared" si="10"/>
        <v>54.75</v>
      </c>
      <c r="L38" s="25"/>
      <c r="M38" s="25"/>
      <c r="N38" s="25"/>
      <c r="O38" s="25">
        <f>SUM(I38:N38)</f>
        <v>1678.65</v>
      </c>
      <c r="P38" s="27"/>
      <c r="Q38" s="28">
        <v>160.38999999999999</v>
      </c>
      <c r="R38" s="28"/>
      <c r="S38" s="28"/>
      <c r="T38" s="28"/>
      <c r="U38" s="28"/>
      <c r="V38" s="25">
        <f t="shared" si="9"/>
        <v>160.38999999999999</v>
      </c>
      <c r="W38" s="28">
        <f>IF('[8]Calculo ISR '!$CB$34&gt;0,0,('[8]Calculo ISR '!$CB$34)*-1)</f>
        <v>110.45383999999997</v>
      </c>
      <c r="X38" s="25">
        <f t="shared" si="8"/>
        <v>1532.31384</v>
      </c>
      <c r="Y38" s="25">
        <f t="shared" si="1"/>
        <v>96.4</v>
      </c>
      <c r="Z38" s="93"/>
      <c r="AA38" s="73"/>
      <c r="AB38" s="70"/>
    </row>
    <row r="39" spans="1:31" s="35" customFormat="1" ht="45" customHeight="1">
      <c r="A39" s="21" t="s">
        <v>112</v>
      </c>
      <c r="B39" s="33" t="s">
        <v>113</v>
      </c>
      <c r="C39" s="34">
        <v>5</v>
      </c>
      <c r="D39" s="34">
        <v>0</v>
      </c>
      <c r="E39" s="24">
        <v>305.5</v>
      </c>
      <c r="F39" s="24">
        <v>348.3</v>
      </c>
      <c r="G39" s="24">
        <f t="shared" si="2"/>
        <v>1527.5</v>
      </c>
      <c r="H39" s="24">
        <f t="shared" si="2"/>
        <v>0</v>
      </c>
      <c r="I39" s="25">
        <f t="shared" si="3"/>
        <v>1527.5</v>
      </c>
      <c r="J39" s="25">
        <f t="shared" si="4"/>
        <v>96.4</v>
      </c>
      <c r="K39" s="25">
        <f t="shared" si="10"/>
        <v>54.75</v>
      </c>
      <c r="L39" s="25"/>
      <c r="M39" s="25"/>
      <c r="N39" s="25"/>
      <c r="O39" s="25">
        <f t="shared" si="5"/>
        <v>1678.65</v>
      </c>
      <c r="P39" s="27"/>
      <c r="Q39" s="28">
        <v>160.38999999999999</v>
      </c>
      <c r="R39" s="28"/>
      <c r="S39" s="28"/>
      <c r="T39" s="28"/>
      <c r="U39" s="28"/>
      <c r="V39" s="25">
        <f t="shared" si="9"/>
        <v>160.38999999999999</v>
      </c>
      <c r="W39" s="28">
        <f>IF('[8]Calculo ISR '!$CC$34&gt;0,0,('[8]Calculo ISR '!$CC$34)*-1)</f>
        <v>110.45383999999997</v>
      </c>
      <c r="X39" s="25">
        <f t="shared" si="8"/>
        <v>1532.31384</v>
      </c>
      <c r="Y39" s="25">
        <f t="shared" si="1"/>
        <v>96.4</v>
      </c>
      <c r="Z39" s="93"/>
      <c r="AA39" s="73"/>
      <c r="AB39" s="70"/>
    </row>
    <row r="40" spans="1:31" s="2" customFormat="1" ht="30" customHeight="1" thickBot="1">
      <c r="A40" s="86"/>
      <c r="B40" s="38" t="s">
        <v>141</v>
      </c>
      <c r="C40" s="39">
        <f t="shared" ref="C40:M40" si="11">SUM(C10:C39)</f>
        <v>338.5</v>
      </c>
      <c r="D40" s="39">
        <f t="shared" si="11"/>
        <v>37.5</v>
      </c>
      <c r="E40" s="40">
        <f t="shared" si="11"/>
        <v>9165</v>
      </c>
      <c r="F40" s="40">
        <f t="shared" si="11"/>
        <v>10448.999999999998</v>
      </c>
      <c r="G40" s="40">
        <f t="shared" si="11"/>
        <v>103411.75</v>
      </c>
      <c r="H40" s="40">
        <f t="shared" si="11"/>
        <v>13061.25</v>
      </c>
      <c r="I40" s="40">
        <f t="shared" si="11"/>
        <v>116473</v>
      </c>
      <c r="J40" s="40">
        <f t="shared" si="11"/>
        <v>7249.2799999999988</v>
      </c>
      <c r="K40" s="40">
        <f t="shared" si="11"/>
        <v>4117.2000000000007</v>
      </c>
      <c r="L40" s="40">
        <f t="shared" si="11"/>
        <v>1639.0500000000002</v>
      </c>
      <c r="M40" s="40">
        <f t="shared" si="11"/>
        <v>590.54499999999996</v>
      </c>
      <c r="N40" s="40">
        <f t="shared" ref="N40" si="12">SUM(N10:N36)</f>
        <v>0</v>
      </c>
      <c r="O40" s="40">
        <f t="shared" ref="O40:X40" si="13">SUM(O10:O39)</f>
        <v>130069.07499999998</v>
      </c>
      <c r="P40" s="40">
        <f t="shared" si="13"/>
        <v>11311.998696000001</v>
      </c>
      <c r="Q40" s="40">
        <f t="shared" si="13"/>
        <v>12229.671249999994</v>
      </c>
      <c r="R40" s="40">
        <f t="shared" si="13"/>
        <v>10469.74</v>
      </c>
      <c r="S40" s="40">
        <f t="shared" si="13"/>
        <v>805.76749999999993</v>
      </c>
      <c r="T40" s="40">
        <f t="shared" si="13"/>
        <v>0</v>
      </c>
      <c r="U40" s="74">
        <f t="shared" si="13"/>
        <v>840.125</v>
      </c>
      <c r="V40" s="40">
        <f t="shared" si="13"/>
        <v>35657.302446000002</v>
      </c>
      <c r="W40" s="40">
        <f t="shared" si="13"/>
        <v>798.41705599999989</v>
      </c>
      <c r="X40" s="40">
        <f t="shared" si="13"/>
        <v>87960.909610000002</v>
      </c>
      <c r="Y40" s="40">
        <f>SUM(Y9:Y39)</f>
        <v>7249.2799999999988</v>
      </c>
      <c r="Z40" s="41"/>
      <c r="AA40" s="3"/>
      <c r="AB40" s="75"/>
      <c r="AC40" s="42"/>
    </row>
    <row r="41" spans="1:31" s="65" customFormat="1" ht="9" customHeight="1">
      <c r="A41" s="76"/>
      <c r="B41" s="60"/>
      <c r="C41" s="61"/>
      <c r="D41" s="61"/>
      <c r="E41" s="62"/>
      <c r="F41" s="62"/>
      <c r="G41" s="62"/>
      <c r="H41" s="62"/>
      <c r="I41" s="62">
        <f>I40+'[8]HT-ADMINISTRATIVOS FIRMA '!E46</f>
        <v>301393.80437726818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64"/>
      <c r="AB41" s="94"/>
    </row>
    <row r="42" spans="1:31" s="65" customFormat="1" ht="9" customHeight="1">
      <c r="A42" s="76"/>
      <c r="B42" s="60"/>
      <c r="C42" s="61"/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3"/>
      <c r="AA42" s="64"/>
      <c r="AB42" s="64"/>
    </row>
    <row r="43" spans="1:31" s="2" customFormat="1" ht="15" customHeight="1">
      <c r="A43" s="69"/>
      <c r="B43" s="82" t="s">
        <v>75</v>
      </c>
      <c r="C43" s="1"/>
      <c r="D43" s="1"/>
      <c r="E43" s="1"/>
      <c r="F43" s="1"/>
      <c r="H43" s="66" t="s">
        <v>76</v>
      </c>
      <c r="I43" s="64"/>
      <c r="L43" s="66"/>
      <c r="M43" s="66"/>
      <c r="N43" s="66"/>
      <c r="O43" s="66"/>
      <c r="P43" s="49"/>
      <c r="Q43" s="50"/>
      <c r="R43" s="1"/>
      <c r="S43" s="1"/>
      <c r="T43" s="1"/>
      <c r="U43" s="1"/>
      <c r="V43" s="1" t="s">
        <v>77</v>
      </c>
      <c r="W43" s="1"/>
      <c r="X43" s="1"/>
      <c r="Y43" s="1"/>
      <c r="Z43" s="1"/>
      <c r="AB43" s="42"/>
      <c r="AE43" s="1"/>
    </row>
    <row r="44" spans="1:31" s="2" customFormat="1" hidden="1">
      <c r="A44" s="69"/>
      <c r="B44" s="1"/>
      <c r="C44" s="1"/>
      <c r="D44" s="1"/>
      <c r="E44" s="1"/>
      <c r="F44" s="1"/>
      <c r="H44" s="1"/>
      <c r="K44" s="1"/>
      <c r="L44" s="1"/>
      <c r="M44" s="1"/>
      <c r="N44" s="1"/>
      <c r="O44" s="51"/>
      <c r="P44" s="51"/>
      <c r="Q44" s="51"/>
      <c r="R44" s="1"/>
      <c r="S44" s="1"/>
      <c r="T44" s="1"/>
      <c r="U44" s="1"/>
      <c r="V44" s="1"/>
      <c r="W44" s="1"/>
      <c r="X44" s="1"/>
      <c r="Y44" s="1"/>
      <c r="Z44" s="1"/>
      <c r="AB44" s="42"/>
      <c r="AE44" s="1"/>
    </row>
    <row r="45" spans="1:31" s="2" customFormat="1" hidden="1">
      <c r="A45" s="69"/>
      <c r="B45" s="1"/>
      <c r="C45" s="1"/>
      <c r="D45" s="1"/>
      <c r="E45" s="1"/>
      <c r="F45" s="1"/>
      <c r="H45" s="1"/>
      <c r="K45" s="1"/>
      <c r="L45" s="1"/>
      <c r="M45" s="1"/>
      <c r="N45" s="1"/>
      <c r="O45" s="51"/>
      <c r="P45" s="51"/>
      <c r="Q45" s="51"/>
      <c r="R45" s="1"/>
      <c r="S45" s="1"/>
      <c r="T45" s="1"/>
      <c r="U45" s="1"/>
      <c r="V45" s="1"/>
      <c r="W45" s="1"/>
      <c r="X45" s="1"/>
      <c r="Y45" s="1"/>
      <c r="Z45" s="1"/>
      <c r="AB45" s="42"/>
      <c r="AE45" s="1"/>
    </row>
    <row r="46" spans="1:31" s="2" customFormat="1" hidden="1">
      <c r="A46" s="69"/>
      <c r="B46" s="1"/>
      <c r="C46" s="1"/>
      <c r="D46" s="1"/>
      <c r="E46" s="1"/>
      <c r="F46" s="1"/>
      <c r="G46" s="1"/>
      <c r="H46" s="1"/>
      <c r="K46" s="1"/>
      <c r="L46" s="1"/>
      <c r="M46" s="1"/>
      <c r="N46" s="1"/>
      <c r="O46" s="52"/>
      <c r="P46" s="52"/>
      <c r="Q46" s="52"/>
      <c r="R46" s="1"/>
      <c r="S46" s="3"/>
      <c r="T46" s="1"/>
      <c r="U46" s="1"/>
      <c r="V46" s="1"/>
      <c r="W46" s="1"/>
      <c r="X46" s="1"/>
      <c r="Y46" s="1"/>
      <c r="Z46" s="1"/>
      <c r="AE46" s="1"/>
    </row>
    <row r="47" spans="1:31" s="2" customFormat="1">
      <c r="A47" s="69"/>
      <c r="B47" s="82" t="s">
        <v>78</v>
      </c>
      <c r="C47" s="1"/>
      <c r="D47" s="1"/>
      <c r="E47" s="1"/>
      <c r="F47" s="1"/>
      <c r="G47" s="53" t="s">
        <v>79</v>
      </c>
      <c r="H47" s="1"/>
      <c r="I47" s="42"/>
      <c r="L47" s="53"/>
      <c r="M47" s="53"/>
      <c r="N47" s="53"/>
      <c r="O47" s="53"/>
      <c r="P47" s="52"/>
      <c r="Q47" s="49"/>
      <c r="R47" s="1"/>
      <c r="S47" s="1"/>
      <c r="T47" s="1"/>
      <c r="U47" s="1"/>
      <c r="V47" s="53" t="s">
        <v>80</v>
      </c>
      <c r="W47" s="53"/>
      <c r="X47" s="53"/>
      <c r="Y47" s="53"/>
      <c r="Z47" s="1"/>
      <c r="AE47" s="1"/>
    </row>
    <row r="48" spans="1:31" ht="12.75" customHeight="1">
      <c r="B48" s="54" t="s">
        <v>81</v>
      </c>
      <c r="G48" s="53" t="s">
        <v>82</v>
      </c>
      <c r="L48" s="53"/>
      <c r="M48" s="53"/>
      <c r="N48" s="53"/>
      <c r="O48" s="53"/>
      <c r="P48" s="53"/>
      <c r="Q48" s="52"/>
      <c r="V48" s="181" t="s">
        <v>83</v>
      </c>
      <c r="W48" s="181"/>
      <c r="X48" s="181"/>
      <c r="Y48" s="84"/>
      <c r="AA48" s="3"/>
    </row>
    <row r="49" spans="1:27">
      <c r="AA49" s="3"/>
    </row>
    <row r="50" spans="1:27">
      <c r="R50" s="3"/>
      <c r="AA50" s="3"/>
    </row>
    <row r="51" spans="1:27">
      <c r="AA51" s="3"/>
    </row>
    <row r="52" spans="1:27">
      <c r="AA52" s="3"/>
    </row>
    <row r="53" spans="1:27">
      <c r="O53" s="6"/>
      <c r="AA53" s="3"/>
    </row>
    <row r="54" spans="1:27">
      <c r="AA54" s="3"/>
    </row>
    <row r="55" spans="1:27">
      <c r="AA55" s="3"/>
    </row>
    <row r="56" spans="1:27" s="56" customFormat="1">
      <c r="A56" s="6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7" s="56" customFormat="1">
      <c r="A57" s="6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7" s="57" customFormat="1">
      <c r="A58" s="6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7" s="57" customFormat="1">
      <c r="A59" s="6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7" s="57" customFormat="1">
      <c r="A60" s="6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7" s="57" customFormat="1">
      <c r="A61" s="6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7" s="57" customFormat="1">
      <c r="A62" s="6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7" s="57" customFormat="1">
      <c r="A63" s="6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7" s="57" customFormat="1">
      <c r="A64" s="6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57" customFormat="1">
      <c r="A65" s="6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57" customFormat="1">
      <c r="A66" s="6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57" customFormat="1">
      <c r="A67" s="6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9" spans="1:26">
      <c r="S69" s="3"/>
    </row>
  </sheetData>
  <mergeCells count="31">
    <mergeCell ref="Z14:AA14"/>
    <mergeCell ref="A8:A9"/>
    <mergeCell ref="B8:B9"/>
    <mergeCell ref="C8:I8"/>
    <mergeCell ref="J8:O8"/>
    <mergeCell ref="P8:V8"/>
    <mergeCell ref="W8:Y8"/>
    <mergeCell ref="Z9:AA9"/>
    <mergeCell ref="Z10:AA10"/>
    <mergeCell ref="Z11:AA11"/>
    <mergeCell ref="Z12:AA12"/>
    <mergeCell ref="Z13:AA13"/>
    <mergeCell ref="Z26:AA26"/>
    <mergeCell ref="Z15:AA15"/>
    <mergeCell ref="Z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V48:X48"/>
    <mergeCell ref="Z27:AA27"/>
    <mergeCell ref="Z28:AA28"/>
    <mergeCell ref="Z29:AA29"/>
    <mergeCell ref="Z30:AA30"/>
    <mergeCell ref="Z31:AA31"/>
    <mergeCell ref="Z32:AA32"/>
  </mergeCells>
  <pageMargins left="0.8" right="0.2" top="0.47244094488188981" bottom="0.51181102362204722" header="0.31496062992125984" footer="0.31496062992125984"/>
  <pageSetup paperSize="5"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AE69"/>
  <sheetViews>
    <sheetView topLeftCell="A3" zoomScale="80" zoomScaleNormal="80" zoomScaleSheetLayoutView="100" workbookViewId="0">
      <pane xSplit="2" ySplit="7" topLeftCell="C40" activePane="bottomRight" state="frozen"/>
      <selection activeCell="A3" sqref="A3"/>
      <selection pane="topRight" activeCell="C3" sqref="C3"/>
      <selection pane="bottomLeft" activeCell="A10" sqref="A10"/>
      <selection pane="bottomRight" activeCell="H57" sqref="H57"/>
    </sheetView>
  </sheetViews>
  <sheetFormatPr baseColWidth="10" defaultRowHeight="12.75"/>
  <cols>
    <col min="1" max="1" width="12.7109375" style="69" customWidth="1"/>
    <col min="2" max="2" width="31.5703125" style="1" customWidth="1"/>
    <col min="3" max="4" width="7.140625" style="1" customWidth="1"/>
    <col min="5" max="5" width="10.42578125" style="1" customWidth="1"/>
    <col min="6" max="6" width="11" style="1" customWidth="1"/>
    <col min="7" max="7" width="13.28515625" style="1" customWidth="1"/>
    <col min="8" max="8" width="10.85546875" style="1" customWidth="1"/>
    <col min="9" max="9" width="13" style="1" customWidth="1"/>
    <col min="10" max="10" width="10.5703125" style="1" customWidth="1"/>
    <col min="11" max="11" width="9.85546875" style="1" customWidth="1"/>
    <col min="12" max="12" width="10.140625" style="1" customWidth="1"/>
    <col min="13" max="13" width="8.42578125" style="1" customWidth="1"/>
    <col min="14" max="14" width="3.42578125" style="1" hidden="1" customWidth="1"/>
    <col min="15" max="15" width="12.42578125" style="1" customWidth="1"/>
    <col min="16" max="16" width="11" style="1" hidden="1" customWidth="1"/>
    <col min="17" max="17" width="10.85546875" style="1" hidden="1" customWidth="1"/>
    <col min="18" max="18" width="11.140625" style="1" hidden="1" customWidth="1"/>
    <col min="19" max="19" width="8.5703125" style="1" hidden="1" customWidth="1"/>
    <col min="20" max="20" width="5" style="1" hidden="1" customWidth="1"/>
    <col min="21" max="21" width="9.85546875" style="1" hidden="1" customWidth="1"/>
    <col min="22" max="22" width="11.140625" style="1" customWidth="1"/>
    <col min="23" max="23" width="8.28515625" style="1" customWidth="1"/>
    <col min="24" max="24" width="11.5703125" style="1" customWidth="1"/>
    <col min="25" max="25" width="10.5703125" style="1" hidden="1" customWidth="1"/>
    <col min="26" max="26" width="31" style="1" hidden="1" customWidth="1"/>
    <col min="27" max="27" width="12.28515625" style="1" hidden="1" customWidth="1"/>
    <col min="28" max="16384" width="11.42578125" style="1"/>
  </cols>
  <sheetData>
    <row r="2" spans="1:27">
      <c r="B2" s="2" t="s">
        <v>0</v>
      </c>
    </row>
    <row r="3" spans="1:27">
      <c r="B3" s="2"/>
    </row>
    <row r="4" spans="1:27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7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2"/>
      <c r="P5" s="2"/>
      <c r="Q5" s="2"/>
      <c r="R5" s="2"/>
      <c r="S5" s="2"/>
      <c r="T5" s="2"/>
      <c r="U5" s="2"/>
      <c r="V5" s="2"/>
      <c r="W5" s="2"/>
    </row>
    <row r="6" spans="1:27">
      <c r="B6" s="2"/>
      <c r="C6" s="2"/>
      <c r="D6" s="2"/>
      <c r="E6" s="4">
        <v>19.28</v>
      </c>
      <c r="F6" s="4"/>
      <c r="G6" s="4"/>
      <c r="H6" s="4"/>
      <c r="I6" s="4">
        <v>10.95</v>
      </c>
      <c r="J6" s="4"/>
      <c r="K6" s="65"/>
      <c r="L6" s="65"/>
      <c r="M6" s="65"/>
      <c r="N6" s="58">
        <v>0.105</v>
      </c>
      <c r="O6" s="65"/>
      <c r="P6" s="65"/>
      <c r="Q6" s="65"/>
      <c r="R6" s="65"/>
      <c r="S6" s="65"/>
      <c r="T6" s="5">
        <v>0.01</v>
      </c>
      <c r="U6" s="65"/>
      <c r="V6" s="65"/>
      <c r="W6" s="65"/>
    </row>
    <row r="7" spans="1:27" ht="13.5" thickBot="1">
      <c r="A7" s="85" t="s">
        <v>0</v>
      </c>
      <c r="C7" s="2"/>
      <c r="D7" s="2"/>
      <c r="E7" s="4">
        <v>22.3</v>
      </c>
      <c r="F7" s="4"/>
      <c r="G7" s="4"/>
      <c r="H7" s="4"/>
      <c r="I7" s="7">
        <v>0.02</v>
      </c>
      <c r="J7" s="8">
        <v>0.04</v>
      </c>
      <c r="K7" s="6" t="s">
        <v>142</v>
      </c>
      <c r="L7" s="2"/>
      <c r="M7" s="2"/>
      <c r="N7" s="2"/>
      <c r="P7" s="2"/>
      <c r="Q7" s="2"/>
      <c r="R7" s="2"/>
      <c r="S7" s="2"/>
      <c r="T7" s="2"/>
      <c r="U7" s="2"/>
      <c r="V7" s="2"/>
      <c r="W7" s="2"/>
    </row>
    <row r="8" spans="1:27" ht="15.75" customHeight="1" thickBot="1">
      <c r="A8" s="164" t="s">
        <v>2</v>
      </c>
      <c r="B8" s="166" t="s">
        <v>3</v>
      </c>
      <c r="C8" s="168" t="s">
        <v>4</v>
      </c>
      <c r="D8" s="169"/>
      <c r="E8" s="169"/>
      <c r="F8" s="169"/>
      <c r="G8" s="169"/>
      <c r="H8" s="169"/>
      <c r="I8" s="170"/>
      <c r="J8" s="171" t="s">
        <v>5</v>
      </c>
      <c r="K8" s="172"/>
      <c r="L8" s="172"/>
      <c r="M8" s="173"/>
      <c r="N8" s="173"/>
      <c r="O8" s="174"/>
      <c r="P8" s="175" t="s">
        <v>6</v>
      </c>
      <c r="Q8" s="176"/>
      <c r="R8" s="176"/>
      <c r="S8" s="176"/>
      <c r="T8" s="176"/>
      <c r="U8" s="176"/>
      <c r="V8" s="176"/>
      <c r="W8" s="177" t="s">
        <v>7</v>
      </c>
      <c r="X8" s="177"/>
      <c r="Y8" s="177"/>
    </row>
    <row r="9" spans="1:27" s="20" customFormat="1" ht="112.5">
      <c r="A9" s="165"/>
      <c r="B9" s="167"/>
      <c r="C9" s="9" t="s">
        <v>87</v>
      </c>
      <c r="D9" s="9" t="s">
        <v>88</v>
      </c>
      <c r="E9" s="9" t="s">
        <v>89</v>
      </c>
      <c r="F9" s="9" t="s">
        <v>90</v>
      </c>
      <c r="G9" s="9" t="s">
        <v>91</v>
      </c>
      <c r="H9" s="9" t="s">
        <v>92</v>
      </c>
      <c r="I9" s="67" t="s">
        <v>10</v>
      </c>
      <c r="J9" s="11" t="s">
        <v>11</v>
      </c>
      <c r="K9" s="11" t="s">
        <v>12</v>
      </c>
      <c r="L9" s="12" t="s">
        <v>13</v>
      </c>
      <c r="M9" s="13" t="s">
        <v>14</v>
      </c>
      <c r="N9" s="14" t="s">
        <v>15</v>
      </c>
      <c r="O9" s="14" t="s">
        <v>16</v>
      </c>
      <c r="P9" s="15" t="s">
        <v>17</v>
      </c>
      <c r="Q9" s="16" t="s">
        <v>18</v>
      </c>
      <c r="R9" s="16" t="s">
        <v>19</v>
      </c>
      <c r="S9" s="16" t="s">
        <v>20</v>
      </c>
      <c r="T9" s="16" t="s">
        <v>21</v>
      </c>
      <c r="U9" s="16" t="s">
        <v>22</v>
      </c>
      <c r="V9" s="16" t="s">
        <v>23</v>
      </c>
      <c r="W9" s="17" t="s">
        <v>24</v>
      </c>
      <c r="X9" s="18" t="s">
        <v>25</v>
      </c>
      <c r="Y9" s="19" t="s">
        <v>26</v>
      </c>
      <c r="Z9" s="178" t="s">
        <v>27</v>
      </c>
      <c r="AA9" s="178"/>
    </row>
    <row r="10" spans="1:27" s="69" customFormat="1" ht="45" customHeight="1">
      <c r="A10" s="21" t="s">
        <v>28</v>
      </c>
      <c r="B10" s="68" t="s">
        <v>29</v>
      </c>
      <c r="C10" s="32">
        <v>7.5</v>
      </c>
      <c r="D10" s="23">
        <v>0</v>
      </c>
      <c r="E10" s="24">
        <v>305.5</v>
      </c>
      <c r="F10" s="24">
        <v>348.3</v>
      </c>
      <c r="G10" s="24">
        <f>C10*E10</f>
        <v>2291.25</v>
      </c>
      <c r="H10" s="24">
        <f>D10*F10</f>
        <v>0</v>
      </c>
      <c r="I10" s="25">
        <f>G10+H10</f>
        <v>2291.25</v>
      </c>
      <c r="J10" s="25">
        <f>(C10+D10)*19.28</f>
        <v>144.60000000000002</v>
      </c>
      <c r="K10" s="25">
        <f>(C10+D10)*I6</f>
        <v>82.125</v>
      </c>
      <c r="L10" s="25"/>
      <c r="M10" s="25">
        <f>I10*J7</f>
        <v>91.65</v>
      </c>
      <c r="N10" s="26">
        <v>0</v>
      </c>
      <c r="O10" s="25">
        <f>SUM(I10:N10)</f>
        <v>2609.625</v>
      </c>
      <c r="P10" s="27">
        <f>IF('[9]Calculo ISR '!$AZ$34&lt;0,0,'[9]Calculo ISR '!$AZ$34)</f>
        <v>3.7616319999999916</v>
      </c>
      <c r="Q10" s="28">
        <f>I10*N6</f>
        <v>240.58124999999998</v>
      </c>
      <c r="R10" s="29">
        <v>0</v>
      </c>
      <c r="S10" s="28">
        <f>I10*T6</f>
        <v>22.912500000000001</v>
      </c>
      <c r="T10" s="28"/>
      <c r="U10" s="30">
        <f>[9]descuentos!D6</f>
        <v>0</v>
      </c>
      <c r="V10" s="25">
        <f t="shared" ref="V10:V24" si="0">P10+Q10+R10+S10+U10+T10</f>
        <v>267.255382</v>
      </c>
      <c r="W10" s="28">
        <f>IF('[9]Calculo ISR '!$AZ$34&gt;0,0,('[9]Calculo ISR '!$AZ$34)*-1)</f>
        <v>0</v>
      </c>
      <c r="X10" s="25">
        <f>O10-V10-Y10+W10</f>
        <v>2197.7696180000003</v>
      </c>
      <c r="Y10" s="25">
        <f t="shared" ref="Y10:Y39" si="1">J10</f>
        <v>144.60000000000002</v>
      </c>
      <c r="Z10" s="183"/>
      <c r="AA10" s="163"/>
    </row>
    <row r="11" spans="1:27" s="35" customFormat="1" ht="45" customHeight="1">
      <c r="A11" s="21" t="s">
        <v>30</v>
      </c>
      <c r="B11" s="33" t="s">
        <v>31</v>
      </c>
      <c r="C11" s="32">
        <v>12</v>
      </c>
      <c r="D11" s="32">
        <v>7.5</v>
      </c>
      <c r="E11" s="24">
        <v>305.5</v>
      </c>
      <c r="F11" s="24">
        <v>348.3</v>
      </c>
      <c r="G11" s="24">
        <f t="shared" ref="G11:H39" si="2">C11*E11</f>
        <v>3666</v>
      </c>
      <c r="H11" s="24">
        <f t="shared" si="2"/>
        <v>2612.25</v>
      </c>
      <c r="I11" s="25">
        <f t="shared" ref="I11:I39" si="3">G11+H11</f>
        <v>6278.25</v>
      </c>
      <c r="J11" s="25">
        <f t="shared" ref="J11:J39" si="4">(C11+D11)*19.28</f>
        <v>375.96000000000004</v>
      </c>
      <c r="K11" s="25">
        <f>(C11+D11)*I6</f>
        <v>213.52499999999998</v>
      </c>
      <c r="L11" s="25"/>
      <c r="M11" s="25">
        <f>I11*J7</f>
        <v>251.13</v>
      </c>
      <c r="N11" s="25">
        <f>'[9]HT-DOCENTE'!J10</f>
        <v>0</v>
      </c>
      <c r="O11" s="25">
        <f>SUM(I11:N11)</f>
        <v>7118.8649999999998</v>
      </c>
      <c r="P11" s="27">
        <f>IF('[9]Calculo ISR '!$BA$34&lt;0,0,'[9]Calculo ISR '!$BA$34)</f>
        <v>893.0953320000001</v>
      </c>
      <c r="Q11" s="28">
        <f>I11*N6</f>
        <v>659.21624999999995</v>
      </c>
      <c r="R11" s="28">
        <v>1986</v>
      </c>
      <c r="S11" s="28">
        <f>I11*T6</f>
        <v>62.782499999999999</v>
      </c>
      <c r="T11" s="28">
        <f>'[9]HT-DOCENTE'!R10</f>
        <v>0</v>
      </c>
      <c r="U11" s="28"/>
      <c r="V11" s="25">
        <f t="shared" si="0"/>
        <v>3601.0940820000001</v>
      </c>
      <c r="W11" s="28">
        <f>IF('[9]Calculo ISR '!$BA$34&gt;0,0,('[9]Calculo ISR '!$BA$34)*-1)</f>
        <v>0</v>
      </c>
      <c r="X11" s="25">
        <f>O11-V11-Y11+W11</f>
        <v>3141.8109179999997</v>
      </c>
      <c r="Y11" s="25">
        <f t="shared" si="1"/>
        <v>375.96000000000004</v>
      </c>
      <c r="Z11" s="161"/>
      <c r="AA11" s="162"/>
    </row>
    <row r="12" spans="1:27" s="35" customFormat="1" ht="45" customHeight="1">
      <c r="A12" s="21" t="s">
        <v>32</v>
      </c>
      <c r="B12" s="33" t="s">
        <v>99</v>
      </c>
      <c r="C12" s="32">
        <v>10</v>
      </c>
      <c r="D12" s="32">
        <v>0</v>
      </c>
      <c r="E12" s="24">
        <v>305.5</v>
      </c>
      <c r="F12" s="24">
        <v>348.3</v>
      </c>
      <c r="G12" s="24">
        <f t="shared" si="2"/>
        <v>3055</v>
      </c>
      <c r="H12" s="24">
        <f t="shared" si="2"/>
        <v>0</v>
      </c>
      <c r="I12" s="25">
        <f t="shared" si="3"/>
        <v>3055</v>
      </c>
      <c r="J12" s="25">
        <f t="shared" si="4"/>
        <v>192.8</v>
      </c>
      <c r="K12" s="25">
        <f>(C12+D12)*I6</f>
        <v>109.5</v>
      </c>
      <c r="L12" s="25"/>
      <c r="M12" s="25">
        <f>I12*J7</f>
        <v>122.2</v>
      </c>
      <c r="N12" s="25">
        <v>0</v>
      </c>
      <c r="O12" s="25">
        <f t="shared" ref="O12:O39" si="5">SUM(I12:N12)</f>
        <v>3479.5</v>
      </c>
      <c r="P12" s="27">
        <f>IF('[9]Calculo ISR '!$BB$34&lt;0,0,'[9]Calculo ISR '!$BB$34)</f>
        <v>128.40987199999998</v>
      </c>
      <c r="Q12" s="28">
        <f>I12*N6</f>
        <v>320.77499999999998</v>
      </c>
      <c r="R12" s="28">
        <v>873</v>
      </c>
      <c r="S12" s="28">
        <f>I12*T6</f>
        <v>30.55</v>
      </c>
      <c r="T12" s="28">
        <f>'[9]HT-DOCENTE'!R11</f>
        <v>0</v>
      </c>
      <c r="U12" s="28"/>
      <c r="V12" s="25">
        <f t="shared" si="0"/>
        <v>1352.7348719999998</v>
      </c>
      <c r="W12" s="28">
        <f>IF('[9]Calculo ISR '!$BB$34&gt;0,0,('[9]Calculo ISR '!$BB$34)*-1)</f>
        <v>0</v>
      </c>
      <c r="X12" s="25">
        <f>O12-V12-Y12+W12</f>
        <v>1933.965128</v>
      </c>
      <c r="Y12" s="25">
        <f t="shared" si="1"/>
        <v>192.8</v>
      </c>
      <c r="Z12" s="161"/>
      <c r="AA12" s="162"/>
    </row>
    <row r="13" spans="1:27" s="35" customFormat="1" ht="45" customHeight="1">
      <c r="A13" s="21" t="s">
        <v>34</v>
      </c>
      <c r="B13" s="33" t="s">
        <v>35</v>
      </c>
      <c r="C13" s="32">
        <v>12</v>
      </c>
      <c r="D13" s="32">
        <v>7.5</v>
      </c>
      <c r="E13" s="24">
        <v>305.5</v>
      </c>
      <c r="F13" s="24">
        <v>348.3</v>
      </c>
      <c r="G13" s="24">
        <f t="shared" si="2"/>
        <v>3666</v>
      </c>
      <c r="H13" s="24">
        <f>D13*F13</f>
        <v>2612.25</v>
      </c>
      <c r="I13" s="25">
        <f t="shared" si="3"/>
        <v>6278.25</v>
      </c>
      <c r="J13" s="25">
        <f t="shared" si="4"/>
        <v>375.96000000000004</v>
      </c>
      <c r="K13" s="25">
        <f>(C13+D13)*I6</f>
        <v>213.52499999999998</v>
      </c>
      <c r="L13" s="25"/>
      <c r="M13" s="25">
        <f>I13*I7</f>
        <v>125.565</v>
      </c>
      <c r="N13" s="25">
        <f>'[9]HT-DOCENTE'!J12</f>
        <v>0</v>
      </c>
      <c r="O13" s="25">
        <f t="shared" si="5"/>
        <v>6993.2999999999993</v>
      </c>
      <c r="P13" s="27">
        <f>IF('[9]Calculo ISR '!$BC$34&lt;0,0,'[9]Calculo ISR '!$BC$34)</f>
        <v>866.27464799999996</v>
      </c>
      <c r="Q13" s="28">
        <f>I13*N6</f>
        <v>659.21624999999995</v>
      </c>
      <c r="R13" s="28">
        <f>'[9]HT-DOCENTE'!P12</f>
        <v>0</v>
      </c>
      <c r="S13" s="28">
        <f>I13*T6</f>
        <v>62.782499999999999</v>
      </c>
      <c r="T13" s="28">
        <f>'[9]HT-DOCENTE'!R12</f>
        <v>0</v>
      </c>
      <c r="U13" s="28"/>
      <c r="V13" s="25">
        <f t="shared" si="0"/>
        <v>1588.273398</v>
      </c>
      <c r="W13" s="28">
        <f>IF('[9]Calculo ISR '!$BC$34&gt;0,0,('[9]Calculo ISR '!$BC$34)*-1)</f>
        <v>0</v>
      </c>
      <c r="X13" s="25">
        <f t="shared" ref="X13:X24" si="6">O13-V13-Y13+W13</f>
        <v>5029.066601999999</v>
      </c>
      <c r="Y13" s="25">
        <f t="shared" si="1"/>
        <v>375.96000000000004</v>
      </c>
      <c r="Z13" s="161"/>
      <c r="AA13" s="162"/>
    </row>
    <row r="14" spans="1:27" s="35" customFormat="1" ht="45" customHeight="1">
      <c r="A14" s="21" t="s">
        <v>36</v>
      </c>
      <c r="B14" s="33" t="s">
        <v>37</v>
      </c>
      <c r="C14" s="32">
        <v>5.5</v>
      </c>
      <c r="D14" s="32">
        <v>7.5</v>
      </c>
      <c r="E14" s="24">
        <v>305.5</v>
      </c>
      <c r="F14" s="24">
        <v>348.3</v>
      </c>
      <c r="G14" s="24">
        <f t="shared" si="2"/>
        <v>1680.25</v>
      </c>
      <c r="H14" s="24">
        <f t="shared" si="2"/>
        <v>2612.25</v>
      </c>
      <c r="I14" s="25">
        <f t="shared" si="3"/>
        <v>4292.5</v>
      </c>
      <c r="J14" s="25">
        <f t="shared" si="4"/>
        <v>250.64000000000001</v>
      </c>
      <c r="K14" s="25">
        <f>(C14+D14)*I6</f>
        <v>142.35</v>
      </c>
      <c r="L14" s="25">
        <f>(C14+D14)*E7</f>
        <v>289.90000000000003</v>
      </c>
      <c r="M14" s="25"/>
      <c r="N14" s="25">
        <f>'[9]HT-DOCENTE'!J13</f>
        <v>0</v>
      </c>
      <c r="O14" s="25">
        <f>SUM(I14:N14)</f>
        <v>4975.3900000000003</v>
      </c>
      <c r="P14" s="27">
        <f>IF('[9]Calculo ISR '!$BD$34&lt;0,0,'[9]Calculo ISR '!$BD$34)</f>
        <v>474.18068800000009</v>
      </c>
      <c r="Q14" s="28">
        <f>I14*N6</f>
        <v>450.71249999999998</v>
      </c>
      <c r="R14" s="28">
        <v>1431</v>
      </c>
      <c r="S14" s="28">
        <f>I14*T6</f>
        <v>42.925000000000004</v>
      </c>
      <c r="T14" s="28">
        <f>'[9]HT-DOCENTE'!R13</f>
        <v>0</v>
      </c>
      <c r="U14" s="28"/>
      <c r="V14" s="25">
        <f t="shared" si="0"/>
        <v>2398.8181880000002</v>
      </c>
      <c r="W14" s="28">
        <f>IF('[9]Calculo ISR '!$BD$34&gt;0,0,('[9]Calculo ISR '!$BD$34)*-1)</f>
        <v>0</v>
      </c>
      <c r="X14" s="25">
        <f t="shared" si="6"/>
        <v>2325.9318120000003</v>
      </c>
      <c r="Y14" s="25">
        <f t="shared" si="1"/>
        <v>250.64000000000001</v>
      </c>
      <c r="Z14" s="161"/>
      <c r="AA14" s="162"/>
    </row>
    <row r="15" spans="1:27" s="35" customFormat="1" ht="45" customHeight="1">
      <c r="A15" s="21" t="s">
        <v>38</v>
      </c>
      <c r="B15" s="33" t="s">
        <v>39</v>
      </c>
      <c r="C15" s="32">
        <v>11</v>
      </c>
      <c r="D15" s="32">
        <v>7.5</v>
      </c>
      <c r="E15" s="24">
        <v>305.5</v>
      </c>
      <c r="F15" s="24">
        <v>348.3</v>
      </c>
      <c r="G15" s="24">
        <f t="shared" si="2"/>
        <v>3360.5</v>
      </c>
      <c r="H15" s="24">
        <f t="shared" si="2"/>
        <v>2612.25</v>
      </c>
      <c r="I15" s="25">
        <f t="shared" si="3"/>
        <v>5972.75</v>
      </c>
      <c r="J15" s="25">
        <f t="shared" si="4"/>
        <v>356.68</v>
      </c>
      <c r="K15" s="25">
        <f>(C15+D15)*I6</f>
        <v>202.57499999999999</v>
      </c>
      <c r="L15" s="25">
        <f>(C15+D15)*E7</f>
        <v>412.55</v>
      </c>
      <c r="M15" s="25"/>
      <c r="N15" s="25">
        <f>'[9]HT-DOCENTE'!J14</f>
        <v>0</v>
      </c>
      <c r="O15" s="25">
        <f t="shared" si="5"/>
        <v>6944.5550000000003</v>
      </c>
      <c r="P15" s="27">
        <f>IF('[9]Calculo ISR '!$BE$34&lt;0,0,'[9]Calculo ISR '!$BE$34)</f>
        <v>859.98092400000007</v>
      </c>
      <c r="Q15" s="28">
        <f>I15*N6</f>
        <v>627.13874999999996</v>
      </c>
      <c r="R15" s="28">
        <v>1655</v>
      </c>
      <c r="S15" s="28">
        <f>I15*T6</f>
        <v>59.727499999999999</v>
      </c>
      <c r="T15" s="28">
        <f>'[9]HT-DOCENTE'!R14</f>
        <v>0</v>
      </c>
      <c r="U15" s="28"/>
      <c r="V15" s="25">
        <f t="shared" si="0"/>
        <v>3201.847174</v>
      </c>
      <c r="W15" s="28">
        <f>IF('[9]Calculo ISR '!$BE$34&gt;0,0,('[9]Calculo ISR '!$BE$34)*-1)</f>
        <v>0</v>
      </c>
      <c r="X15" s="25">
        <f t="shared" si="6"/>
        <v>3386.0278260000005</v>
      </c>
      <c r="Y15" s="25">
        <f t="shared" si="1"/>
        <v>356.68</v>
      </c>
      <c r="Z15" s="161"/>
      <c r="AA15" s="162"/>
    </row>
    <row r="16" spans="1:27" s="35" customFormat="1" ht="45" customHeight="1">
      <c r="A16" s="21" t="s">
        <v>40</v>
      </c>
      <c r="B16" s="33" t="s">
        <v>41</v>
      </c>
      <c r="C16" s="32">
        <f>'[9]HT-DOCENTE'!C15</f>
        <v>19.5</v>
      </c>
      <c r="D16" s="32">
        <v>0</v>
      </c>
      <c r="E16" s="24">
        <v>305.5</v>
      </c>
      <c r="F16" s="24">
        <v>348.3</v>
      </c>
      <c r="G16" s="24">
        <f t="shared" si="2"/>
        <v>5957.25</v>
      </c>
      <c r="H16" s="24">
        <f t="shared" si="2"/>
        <v>0</v>
      </c>
      <c r="I16" s="25">
        <f t="shared" si="3"/>
        <v>5957.25</v>
      </c>
      <c r="J16" s="25">
        <f t="shared" si="4"/>
        <v>375.96000000000004</v>
      </c>
      <c r="K16" s="25">
        <f>(C16+D16)*I6</f>
        <v>213.52499999999998</v>
      </c>
      <c r="L16" s="25">
        <f>(C16+D16)*E7</f>
        <v>434.85</v>
      </c>
      <c r="M16" s="25"/>
      <c r="N16" s="25">
        <f>'[9]HT-DOCENTE'!J15</f>
        <v>0</v>
      </c>
      <c r="O16" s="25">
        <f t="shared" si="5"/>
        <v>6981.585</v>
      </c>
      <c r="P16" s="27">
        <f>IF('[9]Calculo ISR '!$BF$34&lt;0,0,'[9]Calculo ISR '!$BF$34)</f>
        <v>863.77232400000003</v>
      </c>
      <c r="Q16" s="28">
        <f>I16*N6</f>
        <v>625.51125000000002</v>
      </c>
      <c r="R16" s="28">
        <f>'[9]HT-DOCENTE'!P15</f>
        <v>0</v>
      </c>
      <c r="S16" s="28">
        <f>I16*T6</f>
        <v>59.572499999999998</v>
      </c>
      <c r="T16" s="28">
        <v>0</v>
      </c>
      <c r="U16" s="28"/>
      <c r="V16" s="25">
        <f t="shared" si="0"/>
        <v>1548.856074</v>
      </c>
      <c r="W16" s="28">
        <f>IF('[9]Calculo ISR '!$BF$34&gt;0,0,('[9]Calculo ISR '!$BF$34)*-1)</f>
        <v>0</v>
      </c>
      <c r="X16" s="25">
        <f t="shared" si="6"/>
        <v>5056.7689259999997</v>
      </c>
      <c r="Y16" s="25">
        <f t="shared" si="1"/>
        <v>375.96000000000004</v>
      </c>
      <c r="Z16" s="161"/>
      <c r="AA16" s="162"/>
    </row>
    <row r="17" spans="1:28" s="35" customFormat="1" ht="45" customHeight="1">
      <c r="A17" s="21" t="s">
        <v>42</v>
      </c>
      <c r="B17" s="33" t="s">
        <v>43</v>
      </c>
      <c r="C17" s="32">
        <v>2</v>
      </c>
      <c r="D17" s="32">
        <v>0</v>
      </c>
      <c r="E17" s="24">
        <v>305.5</v>
      </c>
      <c r="F17" s="24">
        <v>348.3</v>
      </c>
      <c r="G17" s="24">
        <f t="shared" si="2"/>
        <v>611</v>
      </c>
      <c r="H17" s="24">
        <f t="shared" si="2"/>
        <v>0</v>
      </c>
      <c r="I17" s="25">
        <f>G17+H17</f>
        <v>611</v>
      </c>
      <c r="J17" s="25">
        <f t="shared" si="4"/>
        <v>38.56</v>
      </c>
      <c r="K17" s="25">
        <f>(C17+D17)*I6</f>
        <v>21.9</v>
      </c>
      <c r="L17" s="25">
        <f>(C17+D17)*E7*2</f>
        <v>89.2</v>
      </c>
      <c r="M17" s="25"/>
      <c r="N17" s="25">
        <f>'[9]HT-DOCENTE'!J16</f>
        <v>0</v>
      </c>
      <c r="O17" s="25">
        <f>SUM(I17:N17)</f>
        <v>760.66</v>
      </c>
      <c r="P17" s="27">
        <f>IF('[9]Calculo ISR '!$BG$34&lt;0,0,'[9]Calculo ISR '!$BG$34)</f>
        <v>0</v>
      </c>
      <c r="Q17" s="28">
        <f>I17*N6</f>
        <v>64.155000000000001</v>
      </c>
      <c r="R17" s="28">
        <v>0</v>
      </c>
      <c r="S17" s="28">
        <f>I17*T6</f>
        <v>6.11</v>
      </c>
      <c r="T17" s="28">
        <f>'[9]HT-DOCENTE'!R16</f>
        <v>0</v>
      </c>
      <c r="U17" s="28"/>
      <c r="V17" s="25">
        <f t="shared" si="0"/>
        <v>70.265000000000001</v>
      </c>
      <c r="W17" s="28">
        <f>IF('[9]Calculo ISR '!$BG$34&gt;0,0,('[9]Calculo ISR '!$BG$34)*-1)</f>
        <v>165.65343999999999</v>
      </c>
      <c r="X17" s="25">
        <f t="shared" si="6"/>
        <v>817.48844000000008</v>
      </c>
      <c r="Y17" s="25">
        <f t="shared" si="1"/>
        <v>38.56</v>
      </c>
      <c r="Z17" s="161"/>
      <c r="AA17" s="162"/>
    </row>
    <row r="18" spans="1:28" s="35" customFormat="1" ht="45" customHeight="1">
      <c r="A18" s="21" t="s">
        <v>44</v>
      </c>
      <c r="B18" s="33" t="s">
        <v>45</v>
      </c>
      <c r="C18" s="34">
        <v>11</v>
      </c>
      <c r="D18" s="34">
        <v>7.5</v>
      </c>
      <c r="E18" s="24">
        <v>305.5</v>
      </c>
      <c r="F18" s="24">
        <v>348.3</v>
      </c>
      <c r="G18" s="24">
        <f t="shared" si="2"/>
        <v>3360.5</v>
      </c>
      <c r="H18" s="24">
        <f t="shared" si="2"/>
        <v>2612.25</v>
      </c>
      <c r="I18" s="25">
        <f t="shared" si="3"/>
        <v>5972.75</v>
      </c>
      <c r="J18" s="25">
        <f t="shared" si="4"/>
        <v>356.68</v>
      </c>
      <c r="K18" s="25">
        <f>(C18+D18)*I6</f>
        <v>202.57499999999999</v>
      </c>
      <c r="L18" s="25"/>
      <c r="M18" s="25"/>
      <c r="N18" s="25">
        <f>'[9]HT-DOCENTE'!J17</f>
        <v>0</v>
      </c>
      <c r="O18" s="25">
        <f t="shared" si="5"/>
        <v>6532.0050000000001</v>
      </c>
      <c r="P18" s="27">
        <f>IF('[9]Calculo ISR '!$BH$34&lt;0,0,'[9]Calculo ISR '!$BH$34)</f>
        <v>771.86024400000008</v>
      </c>
      <c r="Q18" s="28">
        <f>I18*N6</f>
        <v>627.13874999999996</v>
      </c>
      <c r="R18" s="28">
        <f>'[9]HT-DOCENTE'!P17</f>
        <v>0</v>
      </c>
      <c r="S18" s="28">
        <f>I18*T6</f>
        <v>59.727499999999999</v>
      </c>
      <c r="T18" s="28">
        <f>'[9]HT-DOCENTE'!R17</f>
        <v>0</v>
      </c>
      <c r="U18" s="28"/>
      <c r="V18" s="25">
        <f t="shared" si="0"/>
        <v>1458.726494</v>
      </c>
      <c r="W18" s="28">
        <f>IF('[9]Calculo ISR '!$BH$34&gt;0,0,('[9]Calculo ISR '!$BH$34)*-1)</f>
        <v>0</v>
      </c>
      <c r="X18" s="25">
        <f t="shared" si="6"/>
        <v>4716.5985060000003</v>
      </c>
      <c r="Y18" s="25">
        <f t="shared" si="1"/>
        <v>356.68</v>
      </c>
      <c r="Z18" s="161"/>
      <c r="AA18" s="162"/>
    </row>
    <row r="19" spans="1:28" s="35" customFormat="1" ht="45" customHeight="1">
      <c r="A19" s="21" t="s">
        <v>46</v>
      </c>
      <c r="B19" s="33" t="s">
        <v>47</v>
      </c>
      <c r="C19" s="34">
        <v>6.5</v>
      </c>
      <c r="D19" s="34">
        <v>0</v>
      </c>
      <c r="E19" s="24">
        <v>305.5</v>
      </c>
      <c r="F19" s="24">
        <v>348.3</v>
      </c>
      <c r="G19" s="24">
        <f t="shared" si="2"/>
        <v>1985.75</v>
      </c>
      <c r="H19" s="24">
        <f t="shared" si="2"/>
        <v>0</v>
      </c>
      <c r="I19" s="25">
        <f t="shared" si="3"/>
        <v>1985.75</v>
      </c>
      <c r="J19" s="25">
        <f t="shared" si="4"/>
        <v>125.32000000000001</v>
      </c>
      <c r="K19" s="25">
        <f>(C19+D19)*I6</f>
        <v>71.174999999999997</v>
      </c>
      <c r="L19" s="25"/>
      <c r="M19" s="25"/>
      <c r="N19" s="25">
        <v>0</v>
      </c>
      <c r="O19" s="25">
        <f t="shared" si="5"/>
        <v>2182.2450000000003</v>
      </c>
      <c r="P19" s="27">
        <f>IF('[9]Calculo ISR '!$BI$34&lt;0,0,'[9]Calculo ISR '!$BI$34)</f>
        <v>0</v>
      </c>
      <c r="Q19" s="28">
        <f>I19*N6</f>
        <v>208.50375</v>
      </c>
      <c r="R19" s="28">
        <v>1254.74</v>
      </c>
      <c r="S19" s="28">
        <f>I19*T6</f>
        <v>19.857500000000002</v>
      </c>
      <c r="T19" s="28">
        <f>'[9]HT-DOCENTE'!R18</f>
        <v>0</v>
      </c>
      <c r="U19" s="30">
        <f>[9]descuentos!D8</f>
        <v>0</v>
      </c>
      <c r="V19" s="25">
        <f>P19+Q19+R19+S19+U19+T19</f>
        <v>1483.1012500000002</v>
      </c>
      <c r="W19" s="28">
        <f>IF('[9]Calculo ISR '!$BI$34&gt;0,0,('[9]Calculo ISR '!$BI$34)*-1)</f>
        <v>68.07463999999996</v>
      </c>
      <c r="X19" s="25">
        <f t="shared" si="6"/>
        <v>641.89839000000006</v>
      </c>
      <c r="Y19" s="25">
        <f t="shared" si="1"/>
        <v>125.32000000000001</v>
      </c>
      <c r="Z19" s="163"/>
      <c r="AA19" s="163"/>
    </row>
    <row r="20" spans="1:28" s="35" customFormat="1" ht="45" customHeight="1">
      <c r="A20" s="21" t="s">
        <v>48</v>
      </c>
      <c r="B20" s="33" t="s">
        <v>49</v>
      </c>
      <c r="C20" s="34">
        <v>19.5</v>
      </c>
      <c r="D20" s="34">
        <v>0</v>
      </c>
      <c r="E20" s="24">
        <v>305.5</v>
      </c>
      <c r="F20" s="24">
        <v>348.3</v>
      </c>
      <c r="G20" s="24">
        <f t="shared" si="2"/>
        <v>5957.25</v>
      </c>
      <c r="H20" s="24">
        <f t="shared" si="2"/>
        <v>0</v>
      </c>
      <c r="I20" s="25">
        <f t="shared" si="3"/>
        <v>5957.25</v>
      </c>
      <c r="J20" s="25">
        <f t="shared" si="4"/>
        <v>375.96000000000004</v>
      </c>
      <c r="K20" s="25">
        <f>(C20+D20)*I6</f>
        <v>213.52499999999998</v>
      </c>
      <c r="L20" s="25"/>
      <c r="M20" s="25"/>
      <c r="N20" s="25">
        <v>0</v>
      </c>
      <c r="O20" s="25">
        <f t="shared" si="5"/>
        <v>6546.7349999999997</v>
      </c>
      <c r="P20" s="27">
        <f>IF('[9]Calculo ISR '!$BJ$34&lt;0,0,'[9]Calculo ISR '!$BJ$34)</f>
        <v>770.88836400000002</v>
      </c>
      <c r="Q20" s="28">
        <f>I20*N6</f>
        <v>625.51125000000002</v>
      </c>
      <c r="R20" s="28">
        <f>'[9]HT-DOCENTE'!P19</f>
        <v>0</v>
      </c>
      <c r="S20" s="28">
        <f>I20*T6</f>
        <v>59.572499999999998</v>
      </c>
      <c r="T20" s="28">
        <f>'[9]HT-DOCENTE'!R19</f>
        <v>0</v>
      </c>
      <c r="U20" s="28"/>
      <c r="V20" s="25">
        <f t="shared" si="0"/>
        <v>1455.9721139999999</v>
      </c>
      <c r="W20" s="28">
        <f>IF('[9]Calculo ISR '!$BJ$34&gt;0,0,('[9]Calculo ISR '!$BJ$34)*-1)</f>
        <v>0</v>
      </c>
      <c r="X20" s="25">
        <f t="shared" si="6"/>
        <v>4714.8028859999995</v>
      </c>
      <c r="Y20" s="25">
        <f t="shared" si="1"/>
        <v>375.96000000000004</v>
      </c>
      <c r="Z20" s="161"/>
      <c r="AA20" s="162"/>
    </row>
    <row r="21" spans="1:28" s="35" customFormat="1" ht="45" customHeight="1">
      <c r="A21" s="21" t="s">
        <v>50</v>
      </c>
      <c r="B21" s="33" t="s">
        <v>51</v>
      </c>
      <c r="C21" s="34">
        <v>18.5</v>
      </c>
      <c r="D21" s="34">
        <v>0</v>
      </c>
      <c r="E21" s="24">
        <v>305.5</v>
      </c>
      <c r="F21" s="24">
        <v>348.3</v>
      </c>
      <c r="G21" s="24">
        <f t="shared" si="2"/>
        <v>5651.75</v>
      </c>
      <c r="H21" s="24">
        <f t="shared" si="2"/>
        <v>0</v>
      </c>
      <c r="I21" s="25">
        <f t="shared" si="3"/>
        <v>5651.75</v>
      </c>
      <c r="J21" s="25">
        <f t="shared" si="4"/>
        <v>356.68</v>
      </c>
      <c r="K21" s="25">
        <f>(C21+D21)*I6</f>
        <v>202.57499999999999</v>
      </c>
      <c r="L21" s="25"/>
      <c r="M21" s="25"/>
      <c r="N21" s="25">
        <v>0</v>
      </c>
      <c r="O21" s="25">
        <f>SUM(I21:N21)</f>
        <v>6211.0050000000001</v>
      </c>
      <c r="P21" s="27">
        <f>IF('[9]Calculo ISR '!$BK$34&lt;0,0,'[9]Calculo ISR '!$BK$34)</f>
        <v>703.29464400000006</v>
      </c>
      <c r="Q21" s="28">
        <f>I21*N6</f>
        <v>593.43375000000003</v>
      </c>
      <c r="R21" s="28">
        <v>1570</v>
      </c>
      <c r="S21" s="28">
        <f>I21*T6</f>
        <v>56.517499999999998</v>
      </c>
      <c r="T21" s="28"/>
      <c r="U21" s="28"/>
      <c r="V21" s="25">
        <f t="shared" si="0"/>
        <v>2923.2458940000001</v>
      </c>
      <c r="W21" s="28">
        <f>IF('[9]Calculo ISR '!$BK$34&gt;0,0,('[9]Calculo ISR '!$BK$34)*-1)</f>
        <v>0</v>
      </c>
      <c r="X21" s="25">
        <f t="shared" si="6"/>
        <v>2931.0791060000001</v>
      </c>
      <c r="Y21" s="25">
        <f t="shared" si="1"/>
        <v>356.68</v>
      </c>
      <c r="Z21" s="161"/>
      <c r="AA21" s="162"/>
    </row>
    <row r="22" spans="1:28" s="35" customFormat="1" ht="45" customHeight="1">
      <c r="A22" s="21" t="s">
        <v>52</v>
      </c>
      <c r="B22" s="33" t="s">
        <v>53</v>
      </c>
      <c r="C22" s="34">
        <v>19.5</v>
      </c>
      <c r="D22" s="34">
        <v>0</v>
      </c>
      <c r="E22" s="24">
        <v>305.5</v>
      </c>
      <c r="F22" s="24">
        <v>348.3</v>
      </c>
      <c r="G22" s="24">
        <f t="shared" si="2"/>
        <v>5957.25</v>
      </c>
      <c r="H22" s="24">
        <f t="shared" si="2"/>
        <v>0</v>
      </c>
      <c r="I22" s="25">
        <f t="shared" si="3"/>
        <v>5957.25</v>
      </c>
      <c r="J22" s="25">
        <f t="shared" si="4"/>
        <v>375.96000000000004</v>
      </c>
      <c r="K22" s="25">
        <f>(C22+D22)*I6</f>
        <v>213.52499999999998</v>
      </c>
      <c r="L22" s="25"/>
      <c r="M22" s="25"/>
      <c r="N22" s="25">
        <v>0</v>
      </c>
      <c r="O22" s="25">
        <f t="shared" si="5"/>
        <v>6546.7349999999997</v>
      </c>
      <c r="P22" s="27">
        <f>IF('[9]Calculo ISR '!$BL$34&lt;0,0,'[9]Calculo ISR '!$BL$34)</f>
        <v>770.88836400000002</v>
      </c>
      <c r="Q22" s="28">
        <f>I22*N6</f>
        <v>625.51125000000002</v>
      </c>
      <c r="R22" s="28">
        <f>'[9]HT-DOCENTE'!P21</f>
        <v>0</v>
      </c>
      <c r="S22" s="28">
        <f>I22*T6</f>
        <v>59.572499999999998</v>
      </c>
      <c r="T22" s="28"/>
      <c r="U22" s="28"/>
      <c r="V22" s="25">
        <f t="shared" si="0"/>
        <v>1455.9721139999999</v>
      </c>
      <c r="W22" s="28">
        <f>IF('[9]Calculo ISR '!$BL$34&gt;0,0,('[9]Calculo ISR '!$BL$34)*-1)</f>
        <v>0</v>
      </c>
      <c r="X22" s="25">
        <f t="shared" si="6"/>
        <v>4714.8028859999995</v>
      </c>
      <c r="Y22" s="25">
        <f t="shared" si="1"/>
        <v>375.96000000000004</v>
      </c>
      <c r="Z22" s="161"/>
      <c r="AA22" s="162"/>
    </row>
    <row r="23" spans="1:28" s="35" customFormat="1" ht="45" customHeight="1">
      <c r="A23" s="21" t="s">
        <v>54</v>
      </c>
      <c r="B23" s="33" t="s">
        <v>55</v>
      </c>
      <c r="C23" s="34">
        <v>19.5</v>
      </c>
      <c r="D23" s="34">
        <v>0</v>
      </c>
      <c r="E23" s="24">
        <v>305.5</v>
      </c>
      <c r="F23" s="24">
        <v>348.3</v>
      </c>
      <c r="G23" s="24">
        <f t="shared" si="2"/>
        <v>5957.25</v>
      </c>
      <c r="H23" s="24">
        <f t="shared" si="2"/>
        <v>0</v>
      </c>
      <c r="I23" s="25">
        <f t="shared" si="3"/>
        <v>5957.25</v>
      </c>
      <c r="J23" s="25">
        <f t="shared" si="4"/>
        <v>375.96000000000004</v>
      </c>
      <c r="K23" s="25">
        <f>(C23+D23)*I6</f>
        <v>213.52499999999998</v>
      </c>
      <c r="L23" s="25"/>
      <c r="M23" s="25"/>
      <c r="N23" s="25">
        <v>0</v>
      </c>
      <c r="O23" s="25">
        <f t="shared" si="5"/>
        <v>6546.7349999999997</v>
      </c>
      <c r="P23" s="27">
        <f>IF('[9]Calculo ISR '!$BM$34&lt;0,0,'[9]Calculo ISR '!$BM$34)</f>
        <v>770.88836400000002</v>
      </c>
      <c r="Q23" s="28">
        <f>I23*N6</f>
        <v>625.51125000000002</v>
      </c>
      <c r="R23" s="28">
        <v>1324</v>
      </c>
      <c r="S23" s="28">
        <f>I23*T6</f>
        <v>59.572499999999998</v>
      </c>
      <c r="T23" s="28">
        <f>'[9]HT-DOCENTE'!R22</f>
        <v>0</v>
      </c>
      <c r="U23" s="28"/>
      <c r="V23" s="25">
        <f t="shared" si="0"/>
        <v>2779.9721140000001</v>
      </c>
      <c r="W23" s="28">
        <f>IF('[9]Calculo ISR '!$BM$34&gt;0,0,('[9]Calculo ISR '!$BM$34)*-1)</f>
        <v>0</v>
      </c>
      <c r="X23" s="25">
        <f t="shared" si="6"/>
        <v>3390.8028859999995</v>
      </c>
      <c r="Y23" s="25">
        <f t="shared" si="1"/>
        <v>375.96000000000004</v>
      </c>
      <c r="Z23" s="161"/>
      <c r="AA23" s="162"/>
    </row>
    <row r="24" spans="1:28" s="35" customFormat="1" ht="45" customHeight="1">
      <c r="A24" s="21" t="s">
        <v>56</v>
      </c>
      <c r="B24" s="33" t="s">
        <v>57</v>
      </c>
      <c r="C24" s="34">
        <v>19</v>
      </c>
      <c r="D24" s="34">
        <v>0</v>
      </c>
      <c r="E24" s="24">
        <v>305.5</v>
      </c>
      <c r="F24" s="24">
        <v>348.3</v>
      </c>
      <c r="G24" s="24">
        <f t="shared" si="2"/>
        <v>5804.5</v>
      </c>
      <c r="H24" s="24">
        <f t="shared" si="2"/>
        <v>0</v>
      </c>
      <c r="I24" s="25">
        <f t="shared" si="3"/>
        <v>5804.5</v>
      </c>
      <c r="J24" s="25">
        <f t="shared" si="4"/>
        <v>366.32000000000005</v>
      </c>
      <c r="K24" s="25">
        <f>(C24+D24)*I6</f>
        <v>208.04999999999998</v>
      </c>
      <c r="L24" s="25">
        <f>(C24+D24)*E7</f>
        <v>423.7</v>
      </c>
      <c r="M24" s="25"/>
      <c r="N24" s="25">
        <v>0</v>
      </c>
      <c r="O24" s="25">
        <f t="shared" si="5"/>
        <v>6802.57</v>
      </c>
      <c r="P24" s="27">
        <f>IF('[9]Calculo ISR '!$BN$34&lt;0,0,'[9]Calculo ISR '!$BN$34)</f>
        <v>827.59382400000004</v>
      </c>
      <c r="Q24" s="28">
        <f>I24*N6</f>
        <v>609.47249999999997</v>
      </c>
      <c r="R24" s="28">
        <f>'[9]HT-DOCENTE'!P23</f>
        <v>0</v>
      </c>
      <c r="S24" s="28">
        <f>I24*T6</f>
        <v>58.045000000000002</v>
      </c>
      <c r="T24" s="28">
        <f>'[9]HT-DOCENTE'!R23</f>
        <v>0</v>
      </c>
      <c r="U24" s="30">
        <f>[9]descuentos!D7</f>
        <v>0</v>
      </c>
      <c r="V24" s="25">
        <f t="shared" si="0"/>
        <v>1495.111324</v>
      </c>
      <c r="W24" s="28">
        <f>IF('[9]Calculo ISR '!$BN$34&gt;0,0,('[9]Calculo ISR '!$BN$34)*-1)</f>
        <v>0</v>
      </c>
      <c r="X24" s="25">
        <f t="shared" si="6"/>
        <v>4941.1386760000005</v>
      </c>
      <c r="Y24" s="25">
        <f t="shared" si="1"/>
        <v>366.32000000000005</v>
      </c>
      <c r="Z24" s="161"/>
      <c r="AA24" s="162"/>
    </row>
    <row r="25" spans="1:28" s="35" customFormat="1" ht="45" customHeight="1">
      <c r="A25" s="21" t="s">
        <v>58</v>
      </c>
      <c r="B25" s="33" t="s">
        <v>59</v>
      </c>
      <c r="C25" s="34">
        <v>11</v>
      </c>
      <c r="D25" s="34">
        <v>0</v>
      </c>
      <c r="E25" s="24">
        <v>305.5</v>
      </c>
      <c r="F25" s="24">
        <v>348.3</v>
      </c>
      <c r="G25" s="24">
        <f t="shared" si="2"/>
        <v>3360.5</v>
      </c>
      <c r="H25" s="24">
        <f t="shared" si="2"/>
        <v>0</v>
      </c>
      <c r="I25" s="25">
        <f t="shared" si="3"/>
        <v>3360.5</v>
      </c>
      <c r="J25" s="25">
        <f t="shared" si="4"/>
        <v>212.08</v>
      </c>
      <c r="K25" s="25">
        <f>(C25+D25)*I6</f>
        <v>120.44999999999999</v>
      </c>
      <c r="L25" s="25"/>
      <c r="M25" s="25"/>
      <c r="N25" s="25"/>
      <c r="O25" s="25">
        <f>SUM(I25:N25)</f>
        <v>3693.0299999999997</v>
      </c>
      <c r="P25" s="27">
        <f>IF('[9]Calculo ISR '!$BO$34&lt;0,0,'[9]Calculo ISR '!$BO$34)</f>
        <v>149.54427199999995</v>
      </c>
      <c r="Q25" s="28">
        <f>I25*N6</f>
        <v>352.85249999999996</v>
      </c>
      <c r="R25" s="28">
        <v>707</v>
      </c>
      <c r="S25" s="28">
        <f>I25*T6</f>
        <v>33.605000000000004</v>
      </c>
      <c r="T25" s="28"/>
      <c r="U25" s="28"/>
      <c r="V25" s="25">
        <f>P25+Q25+R25+S25+U25+T25</f>
        <v>1243.0017720000001</v>
      </c>
      <c r="W25" s="28">
        <f>IF('[9]Calculo ISR '!$BO$34&gt;0,0,('[9]Calculo ISR '!$BO$34)*-1)</f>
        <v>0</v>
      </c>
      <c r="X25" s="25">
        <f>O25-V25-Y25+W25</f>
        <v>2237.9482279999997</v>
      </c>
      <c r="Y25" s="25">
        <f t="shared" si="1"/>
        <v>212.08</v>
      </c>
      <c r="Z25" s="161"/>
      <c r="AA25" s="162"/>
    </row>
    <row r="26" spans="1:28" s="35" customFormat="1" ht="45" customHeight="1">
      <c r="A26" s="21" t="s">
        <v>60</v>
      </c>
      <c r="B26" s="33" t="s">
        <v>100</v>
      </c>
      <c r="C26" s="34">
        <v>18.5</v>
      </c>
      <c r="D26" s="34"/>
      <c r="E26" s="24">
        <v>305.5</v>
      </c>
      <c r="F26" s="24">
        <v>348.3</v>
      </c>
      <c r="G26" s="24">
        <f t="shared" si="2"/>
        <v>5651.75</v>
      </c>
      <c r="H26" s="24">
        <f t="shared" si="2"/>
        <v>0</v>
      </c>
      <c r="I26" s="25">
        <f t="shared" si="3"/>
        <v>5651.75</v>
      </c>
      <c r="J26" s="25">
        <f t="shared" si="4"/>
        <v>356.68</v>
      </c>
      <c r="K26" s="25">
        <f>(C26+D26)*I6</f>
        <v>202.57499999999999</v>
      </c>
      <c r="L26" s="25"/>
      <c r="M26" s="25"/>
      <c r="N26" s="25"/>
      <c r="O26" s="25">
        <f t="shared" si="5"/>
        <v>6211.0050000000001</v>
      </c>
      <c r="P26" s="27">
        <f>IF('[9]Calculo ISR '!$BP$34&lt;0,0,'[9]Calculo ISR '!$BP$34)</f>
        <v>703.29464400000006</v>
      </c>
      <c r="Q26" s="28">
        <f>I26*N6</f>
        <v>593.43375000000003</v>
      </c>
      <c r="R26" s="28"/>
      <c r="S26" s="28"/>
      <c r="T26" s="28"/>
      <c r="U26" s="28"/>
      <c r="V26" s="25">
        <f>P26+Q26+R26+S26+T26+U26</f>
        <v>1296.7283940000002</v>
      </c>
      <c r="W26" s="28">
        <f>IF('[9]Calculo ISR '!$BP$34&gt;0,0,('[9]Calculo ISR '!$BP$34)*-1)</f>
        <v>0</v>
      </c>
      <c r="X26" s="25">
        <f>O26-V26-Y26+W26</f>
        <v>4557.5966059999992</v>
      </c>
      <c r="Y26" s="25">
        <f t="shared" si="1"/>
        <v>356.68</v>
      </c>
      <c r="Z26" s="161"/>
      <c r="AA26" s="162"/>
    </row>
    <row r="27" spans="1:28" s="35" customFormat="1" ht="45" customHeight="1">
      <c r="A27" s="21" t="s">
        <v>62</v>
      </c>
      <c r="B27" s="33" t="s">
        <v>63</v>
      </c>
      <c r="C27" s="34">
        <v>17.5</v>
      </c>
      <c r="D27" s="34">
        <v>0</v>
      </c>
      <c r="E27" s="24">
        <v>305.5</v>
      </c>
      <c r="F27" s="24">
        <v>348.3</v>
      </c>
      <c r="G27" s="24">
        <f t="shared" si="2"/>
        <v>5346.25</v>
      </c>
      <c r="H27" s="24">
        <f t="shared" si="2"/>
        <v>0</v>
      </c>
      <c r="I27" s="25">
        <f t="shared" si="3"/>
        <v>5346.25</v>
      </c>
      <c r="J27" s="25">
        <f t="shared" si="4"/>
        <v>337.40000000000003</v>
      </c>
      <c r="K27" s="25">
        <f>(C27+D27)*I6</f>
        <v>191.625</v>
      </c>
      <c r="L27" s="25"/>
      <c r="M27" s="25"/>
      <c r="N27" s="25">
        <v>0</v>
      </c>
      <c r="O27" s="25">
        <f t="shared" si="5"/>
        <v>5875.2749999999996</v>
      </c>
      <c r="P27" s="27">
        <f>IF('[9]Calculo ISR '!$BQ$34&lt;0,0,'[9]Calculo ISR '!$BQ$34)</f>
        <v>635.7009240000001</v>
      </c>
      <c r="Q27" s="28">
        <f>I27*N6</f>
        <v>561.35624999999993</v>
      </c>
      <c r="R27" s="28"/>
      <c r="S27" s="28">
        <f>I27*T6</f>
        <v>53.462499999999999</v>
      </c>
      <c r="T27" s="28"/>
      <c r="U27" s="28"/>
      <c r="V27" s="25">
        <f>P27+Q27+R27+S27+T27+U27</f>
        <v>1250.5196740000001</v>
      </c>
      <c r="W27" s="28">
        <f>IF('[9]Calculo ISR '!$BQ$34&gt;0,0,('[9]Calculo ISR '!$BQ$34)*-1)</f>
        <v>0</v>
      </c>
      <c r="X27" s="25">
        <f>O27-V27+W27-Y27</f>
        <v>4287.3553259999999</v>
      </c>
      <c r="Y27" s="25">
        <f t="shared" si="1"/>
        <v>337.40000000000003</v>
      </c>
      <c r="Z27" s="161"/>
      <c r="AA27" s="162"/>
    </row>
    <row r="28" spans="1:28" s="35" customFormat="1" ht="45" customHeight="1">
      <c r="A28" s="21" t="s">
        <v>64</v>
      </c>
      <c r="B28" s="33" t="s">
        <v>65</v>
      </c>
      <c r="C28" s="34">
        <v>17</v>
      </c>
      <c r="D28" s="34">
        <v>0</v>
      </c>
      <c r="E28" s="24">
        <v>305.5</v>
      </c>
      <c r="F28" s="24">
        <v>348.3</v>
      </c>
      <c r="G28" s="24">
        <f t="shared" si="2"/>
        <v>5193.5</v>
      </c>
      <c r="H28" s="24">
        <f t="shared" si="2"/>
        <v>0</v>
      </c>
      <c r="I28" s="25">
        <f t="shared" si="3"/>
        <v>5193.5</v>
      </c>
      <c r="J28" s="25">
        <f t="shared" si="4"/>
        <v>327.76</v>
      </c>
      <c r="K28" s="25">
        <f>(C28+D28)*I6</f>
        <v>186.14999999999998</v>
      </c>
      <c r="L28" s="25"/>
      <c r="M28" s="25"/>
      <c r="N28" s="25">
        <v>0</v>
      </c>
      <c r="O28" s="25">
        <f>SUM(I28:N28)</f>
        <v>5707.41</v>
      </c>
      <c r="P28" s="27">
        <f>IF('[9]Calculo ISR '!$BR$34&lt;0,0,'[9]Calculo ISR '!$BR$34)</f>
        <v>601.90406400000006</v>
      </c>
      <c r="Q28" s="28">
        <f>I28*N6</f>
        <v>545.3175</v>
      </c>
      <c r="R28" s="28"/>
      <c r="S28" s="28"/>
      <c r="T28" s="28"/>
      <c r="U28" s="28"/>
      <c r="V28" s="25">
        <f t="shared" ref="V28:V31" si="7">P28+Q28+R28+S28+T28+U28</f>
        <v>1147.2215639999999</v>
      </c>
      <c r="W28" s="28">
        <f>IF('[9]Calculo ISR '!$BR$34&gt;0,0,('[9]Calculo ISR '!$BR$34)*-1)</f>
        <v>0</v>
      </c>
      <c r="X28" s="25">
        <f t="shared" ref="X28:X39" si="8">O28-V28+W28-Y28</f>
        <v>4232.4284360000001</v>
      </c>
      <c r="Y28" s="25">
        <f t="shared" si="1"/>
        <v>327.76</v>
      </c>
      <c r="Z28" s="161"/>
      <c r="AA28" s="162"/>
    </row>
    <row r="29" spans="1:28" s="35" customFormat="1" ht="45" customHeight="1">
      <c r="A29" s="21" t="s">
        <v>66</v>
      </c>
      <c r="B29" s="36" t="s">
        <v>67</v>
      </c>
      <c r="C29" s="34">
        <v>11.5</v>
      </c>
      <c r="D29" s="34">
        <v>0</v>
      </c>
      <c r="E29" s="24">
        <v>305.5</v>
      </c>
      <c r="F29" s="24">
        <v>348.3</v>
      </c>
      <c r="G29" s="24">
        <f t="shared" si="2"/>
        <v>3513.25</v>
      </c>
      <c r="H29" s="24">
        <f t="shared" si="2"/>
        <v>0</v>
      </c>
      <c r="I29" s="25">
        <f t="shared" si="3"/>
        <v>3513.25</v>
      </c>
      <c r="J29" s="25">
        <f t="shared" si="4"/>
        <v>221.72000000000003</v>
      </c>
      <c r="K29" s="25">
        <f>(C29+D29)*I6</f>
        <v>125.925</v>
      </c>
      <c r="L29" s="25"/>
      <c r="M29" s="25"/>
      <c r="N29" s="25">
        <v>0</v>
      </c>
      <c r="O29" s="25">
        <f t="shared" si="5"/>
        <v>3860.8950000000004</v>
      </c>
      <c r="P29" s="27">
        <f>IF('[9]Calculo ISR '!$BS$34&lt;0,0,'[9]Calculo ISR '!$BS$34)</f>
        <v>184.45915199999999</v>
      </c>
      <c r="Q29" s="28">
        <f>I29*N6</f>
        <v>368.89125000000001</v>
      </c>
      <c r="R29" s="28"/>
      <c r="S29" s="28"/>
      <c r="T29" s="28"/>
      <c r="U29" s="28"/>
      <c r="V29" s="25">
        <f t="shared" si="7"/>
        <v>553.35040200000003</v>
      </c>
      <c r="W29" s="28">
        <f>IF('[9]Calculo ISR '!$BS$34&gt;0,0,('[9]Calculo ISR '!$BS$34)*-1)</f>
        <v>0</v>
      </c>
      <c r="X29" s="25">
        <f t="shared" si="8"/>
        <v>3085.8245980000002</v>
      </c>
      <c r="Y29" s="25">
        <f t="shared" si="1"/>
        <v>221.72000000000003</v>
      </c>
      <c r="Z29" s="161"/>
      <c r="AA29" s="162"/>
    </row>
    <row r="30" spans="1:28" s="35" customFormat="1" ht="45" customHeight="1">
      <c r="A30" s="21" t="s">
        <v>68</v>
      </c>
      <c r="B30" s="33" t="s">
        <v>69</v>
      </c>
      <c r="C30" s="34">
        <v>10.5</v>
      </c>
      <c r="D30" s="34">
        <v>0</v>
      </c>
      <c r="E30" s="24">
        <v>305.5</v>
      </c>
      <c r="F30" s="24">
        <v>348.3</v>
      </c>
      <c r="G30" s="24">
        <f t="shared" si="2"/>
        <v>3207.75</v>
      </c>
      <c r="H30" s="24">
        <f t="shared" si="2"/>
        <v>0</v>
      </c>
      <c r="I30" s="25">
        <f t="shared" si="3"/>
        <v>3207.75</v>
      </c>
      <c r="J30" s="25">
        <f t="shared" si="4"/>
        <v>202.44</v>
      </c>
      <c r="K30" s="25">
        <f>(C30+D30)*I6</f>
        <v>114.97499999999999</v>
      </c>
      <c r="L30" s="25"/>
      <c r="M30" s="25"/>
      <c r="N30" s="25">
        <v>0</v>
      </c>
      <c r="O30" s="25">
        <f t="shared" si="5"/>
        <v>3525.165</v>
      </c>
      <c r="P30" s="27">
        <f>IF('[9]Calculo ISR '!$BT$34&lt;0,0,'[9]Calculo ISR '!$BT$34)</f>
        <v>132.32939199999996</v>
      </c>
      <c r="Q30" s="28">
        <f>I30*N6</f>
        <v>336.81374999999997</v>
      </c>
      <c r="R30" s="28"/>
      <c r="S30" s="28"/>
      <c r="T30" s="28"/>
      <c r="U30" s="28"/>
      <c r="V30" s="25">
        <f>P30+Q30+R30+S30+T30+U30</f>
        <v>469.1431419999999</v>
      </c>
      <c r="W30" s="28">
        <f>IF('[9]Calculo ISR '!$BT$34&gt;0,0,('[9]Calculo ISR '!$BT$34)*-1)</f>
        <v>0</v>
      </c>
      <c r="X30" s="25">
        <f>O30-V30+W30-Y30</f>
        <v>2853.581858</v>
      </c>
      <c r="Y30" s="25">
        <f t="shared" si="1"/>
        <v>202.44</v>
      </c>
      <c r="Z30" s="161"/>
      <c r="AA30" s="162"/>
    </row>
    <row r="31" spans="1:28" s="35" customFormat="1" ht="45" customHeight="1">
      <c r="A31" s="21" t="s">
        <v>70</v>
      </c>
      <c r="B31" s="33" t="s">
        <v>71</v>
      </c>
      <c r="C31" s="34">
        <v>7.5</v>
      </c>
      <c r="D31" s="34">
        <v>0</v>
      </c>
      <c r="E31" s="24">
        <v>305.5</v>
      </c>
      <c r="F31" s="24">
        <v>348.3</v>
      </c>
      <c r="G31" s="24">
        <f t="shared" si="2"/>
        <v>2291.25</v>
      </c>
      <c r="H31" s="24">
        <f t="shared" si="2"/>
        <v>0</v>
      </c>
      <c r="I31" s="25">
        <f t="shared" si="3"/>
        <v>2291.25</v>
      </c>
      <c r="J31" s="25">
        <f t="shared" si="4"/>
        <v>144.60000000000002</v>
      </c>
      <c r="K31" s="25">
        <f>(C31+D31)*I6</f>
        <v>82.125</v>
      </c>
      <c r="L31" s="25"/>
      <c r="M31" s="25"/>
      <c r="N31" s="25">
        <v>0</v>
      </c>
      <c r="O31" s="25">
        <f>SUM(I31:N31)</f>
        <v>2517.9749999999999</v>
      </c>
      <c r="P31" s="27">
        <f>IF('[9]Calculo ISR '!$BU$34&lt;0,0,'[9]Calculo ISR '!$BU$34)</f>
        <v>0</v>
      </c>
      <c r="Q31" s="28">
        <f>I31*N6</f>
        <v>240.58124999999998</v>
      </c>
      <c r="R31" s="28"/>
      <c r="S31" s="28"/>
      <c r="T31" s="28"/>
      <c r="U31" s="28"/>
      <c r="V31" s="25">
        <f t="shared" si="7"/>
        <v>240.58124999999998</v>
      </c>
      <c r="W31" s="28">
        <f>IF('[9]Calculo ISR '!$BU$34&gt;0,0,('[9]Calculo ISR '!$BU$34)*-1)</f>
        <v>6.2098880000000065</v>
      </c>
      <c r="X31" s="25">
        <f t="shared" si="8"/>
        <v>2139.0036379999997</v>
      </c>
      <c r="Y31" s="25">
        <f t="shared" si="1"/>
        <v>144.60000000000002</v>
      </c>
      <c r="Z31" s="161"/>
      <c r="AA31" s="162"/>
    </row>
    <row r="32" spans="1:28" s="35" customFormat="1" ht="45" customHeight="1">
      <c r="A32" s="21" t="s">
        <v>72</v>
      </c>
      <c r="B32" s="33" t="s">
        <v>73</v>
      </c>
      <c r="C32" s="34">
        <v>10</v>
      </c>
      <c r="D32" s="34">
        <v>0</v>
      </c>
      <c r="E32" s="24">
        <v>305.5</v>
      </c>
      <c r="F32" s="24">
        <v>348.3</v>
      </c>
      <c r="G32" s="24">
        <f t="shared" si="2"/>
        <v>3055</v>
      </c>
      <c r="H32" s="24">
        <f t="shared" si="2"/>
        <v>0</v>
      </c>
      <c r="I32" s="25">
        <f t="shared" si="3"/>
        <v>3055</v>
      </c>
      <c r="J32" s="25">
        <f t="shared" si="4"/>
        <v>192.8</v>
      </c>
      <c r="K32" s="25">
        <f>(C32+D32)*I6</f>
        <v>109.5</v>
      </c>
      <c r="L32" s="25"/>
      <c r="M32" s="25"/>
      <c r="N32" s="25"/>
      <c r="O32" s="25">
        <f t="shared" si="5"/>
        <v>3357.3</v>
      </c>
      <c r="P32" s="27">
        <f>IF('[9]Calculo ISR '!$BV$34&lt;0,0,'[9]Calculo ISR '!$BV$34)</f>
        <v>115.11451199999996</v>
      </c>
      <c r="Q32" s="28">
        <f>I32*N6</f>
        <v>320.77499999999998</v>
      </c>
      <c r="R32" s="28"/>
      <c r="S32" s="28"/>
      <c r="T32" s="28"/>
      <c r="U32" s="28"/>
      <c r="V32" s="25">
        <f>P32+Q32+R32+S32+T32+U32</f>
        <v>435.88951199999997</v>
      </c>
      <c r="W32" s="28">
        <f>IF('[9]Calculo ISR '!$BV$34&gt;0,0,('[9]Calculo ISR '!$BV$34)*-1)</f>
        <v>0</v>
      </c>
      <c r="X32" s="25">
        <f t="shared" si="8"/>
        <v>2728.6104880000003</v>
      </c>
      <c r="Y32" s="25">
        <f t="shared" si="1"/>
        <v>192.8</v>
      </c>
      <c r="Z32" s="184"/>
      <c r="AA32" s="185"/>
      <c r="AB32" s="70"/>
    </row>
    <row r="33" spans="1:31" s="35" customFormat="1" ht="45" customHeight="1">
      <c r="A33" s="21" t="s">
        <v>94</v>
      </c>
      <c r="B33" s="33" t="s">
        <v>101</v>
      </c>
      <c r="C33" s="34">
        <v>10</v>
      </c>
      <c r="D33" s="34">
        <v>0</v>
      </c>
      <c r="E33" s="24">
        <v>305.5</v>
      </c>
      <c r="F33" s="24">
        <v>348.3</v>
      </c>
      <c r="G33" s="24">
        <f t="shared" si="2"/>
        <v>3055</v>
      </c>
      <c r="H33" s="24">
        <f t="shared" si="2"/>
        <v>0</v>
      </c>
      <c r="I33" s="25">
        <f t="shared" si="3"/>
        <v>3055</v>
      </c>
      <c r="J33" s="25">
        <f t="shared" si="4"/>
        <v>192.8</v>
      </c>
      <c r="K33" s="25">
        <f>(C33+D33)*I6</f>
        <v>109.5</v>
      </c>
      <c r="L33" s="25"/>
      <c r="M33" s="25"/>
      <c r="N33" s="25"/>
      <c r="O33" s="25">
        <f t="shared" si="5"/>
        <v>3357.3</v>
      </c>
      <c r="P33" s="27">
        <f>IF('[9]Calculo ISR '!$BW$34&lt;0,0,'[9]Calculo ISR '!$BW$34)</f>
        <v>115.11451199999996</v>
      </c>
      <c r="Q33" s="28">
        <v>320.77</v>
      </c>
      <c r="R33" s="28"/>
      <c r="S33" s="28"/>
      <c r="T33" s="28"/>
      <c r="U33" s="28"/>
      <c r="V33" s="25">
        <f>P33+Q33+R33+S33+T33+U33</f>
        <v>435.88451199999997</v>
      </c>
      <c r="W33" s="28">
        <f>IF('[9]Calculo ISR '!$BW$34&gt;0,0,('[9]Calculo ISR '!$BW$34)*-1)</f>
        <v>0</v>
      </c>
      <c r="X33" s="25">
        <f t="shared" si="8"/>
        <v>2728.6154879999999</v>
      </c>
      <c r="Y33" s="71">
        <f t="shared" si="1"/>
        <v>192.8</v>
      </c>
      <c r="Z33" s="83"/>
      <c r="AA33" s="73"/>
      <c r="AB33" s="70"/>
    </row>
    <row r="34" spans="1:31" s="35" customFormat="1" ht="45" customHeight="1">
      <c r="A34" s="21" t="s">
        <v>96</v>
      </c>
      <c r="B34" s="33" t="s">
        <v>102</v>
      </c>
      <c r="C34" s="34">
        <v>7.5</v>
      </c>
      <c r="D34" s="34">
        <v>0</v>
      </c>
      <c r="E34" s="24">
        <v>305.5</v>
      </c>
      <c r="F34" s="24">
        <v>348.3</v>
      </c>
      <c r="G34" s="24">
        <f t="shared" si="2"/>
        <v>2291.25</v>
      </c>
      <c r="H34" s="24">
        <f t="shared" si="2"/>
        <v>0</v>
      </c>
      <c r="I34" s="25">
        <f t="shared" si="3"/>
        <v>2291.25</v>
      </c>
      <c r="J34" s="25">
        <f t="shared" si="4"/>
        <v>144.60000000000002</v>
      </c>
      <c r="K34" s="25">
        <f>(C34+D34)*I6</f>
        <v>82.125</v>
      </c>
      <c r="L34" s="25"/>
      <c r="M34" s="25"/>
      <c r="N34" s="25"/>
      <c r="O34" s="25">
        <f t="shared" si="5"/>
        <v>2517.9749999999999</v>
      </c>
      <c r="P34" s="27">
        <f>IF('[9]Calculo ISR '!$BX$34&lt;0,0,'[9]Calculo ISR '!$BX$34)</f>
        <v>0</v>
      </c>
      <c r="Q34" s="28">
        <v>240.58</v>
      </c>
      <c r="R34" s="28"/>
      <c r="S34" s="28"/>
      <c r="T34" s="28"/>
      <c r="U34" s="28"/>
      <c r="V34" s="25">
        <f>P34+Q34+R34+S34+T34+U34</f>
        <v>240.58</v>
      </c>
      <c r="W34" s="28">
        <f>IF('[9]Calculo ISR '!$BX$34&gt;0,0,('[9]Calculo ISR '!$BX$34)*-1)</f>
        <v>6.2098880000000065</v>
      </c>
      <c r="X34" s="25">
        <f t="shared" si="8"/>
        <v>2139.0048879999999</v>
      </c>
      <c r="Y34" s="71">
        <f t="shared" si="1"/>
        <v>144.60000000000002</v>
      </c>
      <c r="Z34" s="83"/>
      <c r="AA34" s="73"/>
      <c r="AB34" s="70"/>
    </row>
    <row r="35" spans="1:31" s="35" customFormat="1" ht="45" customHeight="1">
      <c r="A35" s="21" t="s">
        <v>103</v>
      </c>
      <c r="B35" s="33" t="s">
        <v>104</v>
      </c>
      <c r="C35" s="34">
        <v>5</v>
      </c>
      <c r="D35" s="34">
        <v>0</v>
      </c>
      <c r="E35" s="24">
        <v>305.5</v>
      </c>
      <c r="F35" s="24">
        <v>348.3</v>
      </c>
      <c r="G35" s="24">
        <f t="shared" si="2"/>
        <v>1527.5</v>
      </c>
      <c r="H35" s="24">
        <f t="shared" si="2"/>
        <v>0</v>
      </c>
      <c r="I35" s="25">
        <f t="shared" si="3"/>
        <v>1527.5</v>
      </c>
      <c r="J35" s="25">
        <f t="shared" si="4"/>
        <v>96.4</v>
      </c>
      <c r="K35" s="25">
        <f>(C35+D35)*I6</f>
        <v>54.75</v>
      </c>
      <c r="L35" s="25"/>
      <c r="M35" s="25"/>
      <c r="N35" s="25"/>
      <c r="O35" s="25">
        <f t="shared" si="5"/>
        <v>1678.65</v>
      </c>
      <c r="P35" s="27">
        <f>IF('[9]Calculo ISR '!$BX$34&lt;0,0,'[9]Calculo ISR '!$BX$34)</f>
        <v>0</v>
      </c>
      <c r="Q35" s="28">
        <v>160.38999999999999</v>
      </c>
      <c r="R35" s="28"/>
      <c r="S35" s="28"/>
      <c r="T35" s="28"/>
      <c r="U35" s="28"/>
      <c r="V35" s="25">
        <f t="shared" ref="V35:V39" si="9">P35+Q35+R35+S35+T35+U35</f>
        <v>160.38999999999999</v>
      </c>
      <c r="W35" s="28">
        <f>IF('[9]Calculo ISR '!$BY$34&gt;0,0,('[9]Calculo ISR '!$BY$34)*-1)</f>
        <v>110.45383999999997</v>
      </c>
      <c r="X35" s="25">
        <f t="shared" si="8"/>
        <v>1532.31384</v>
      </c>
      <c r="Y35" s="25">
        <f t="shared" si="1"/>
        <v>96.4</v>
      </c>
      <c r="Z35" s="83"/>
      <c r="AA35" s="73"/>
      <c r="AB35" s="70"/>
    </row>
    <row r="36" spans="1:31" s="35" customFormat="1" ht="45" customHeight="1">
      <c r="A36" s="21" t="s">
        <v>105</v>
      </c>
      <c r="B36" s="33" t="s">
        <v>106</v>
      </c>
      <c r="C36" s="34">
        <v>5</v>
      </c>
      <c r="D36" s="34">
        <v>0</v>
      </c>
      <c r="E36" s="24">
        <v>305.5</v>
      </c>
      <c r="F36" s="24">
        <v>348.3</v>
      </c>
      <c r="G36" s="24">
        <f t="shared" si="2"/>
        <v>1527.5</v>
      </c>
      <c r="H36" s="24">
        <f t="shared" si="2"/>
        <v>0</v>
      </c>
      <c r="I36" s="25">
        <f t="shared" si="3"/>
        <v>1527.5</v>
      </c>
      <c r="J36" s="25">
        <f t="shared" si="4"/>
        <v>96.4</v>
      </c>
      <c r="K36" s="25">
        <f>(C36+D36)*I$6</f>
        <v>54.75</v>
      </c>
      <c r="L36" s="25"/>
      <c r="M36" s="25"/>
      <c r="N36" s="25"/>
      <c r="O36" s="25">
        <f t="shared" si="5"/>
        <v>1678.65</v>
      </c>
      <c r="P36" s="27">
        <f>IF('[9]Calculo ISR '!$BX$34&lt;0,0,'[9]Calculo ISR '!$BX$34)</f>
        <v>0</v>
      </c>
      <c r="Q36" s="28">
        <v>160.38999999999999</v>
      </c>
      <c r="R36" s="28"/>
      <c r="S36" s="28"/>
      <c r="T36" s="28"/>
      <c r="U36" s="28"/>
      <c r="V36" s="25">
        <f t="shared" si="9"/>
        <v>160.38999999999999</v>
      </c>
      <c r="W36" s="28">
        <f>IF('[9]Calculo ISR '!$BZ$34&gt;0,0,('[9]Calculo ISR '!$BZ$34)*-1)</f>
        <v>110.45383999999997</v>
      </c>
      <c r="X36" s="25">
        <f t="shared" si="8"/>
        <v>1532.31384</v>
      </c>
      <c r="Y36" s="25">
        <f t="shared" si="1"/>
        <v>96.4</v>
      </c>
      <c r="Z36" s="83"/>
      <c r="AA36" s="73"/>
      <c r="AB36" s="70"/>
    </row>
    <row r="37" spans="1:31" s="35" customFormat="1" ht="45" customHeight="1">
      <c r="A37" s="21" t="s">
        <v>108</v>
      </c>
      <c r="B37" s="33" t="s">
        <v>109</v>
      </c>
      <c r="C37" s="34">
        <v>5</v>
      </c>
      <c r="D37" s="34">
        <v>0</v>
      </c>
      <c r="E37" s="24">
        <v>305.5</v>
      </c>
      <c r="F37" s="24">
        <v>348.3</v>
      </c>
      <c r="G37" s="24">
        <f t="shared" si="2"/>
        <v>1527.5</v>
      </c>
      <c r="H37" s="24">
        <f t="shared" si="2"/>
        <v>0</v>
      </c>
      <c r="I37" s="25">
        <f t="shared" si="3"/>
        <v>1527.5</v>
      </c>
      <c r="J37" s="25">
        <f t="shared" si="4"/>
        <v>96.4</v>
      </c>
      <c r="K37" s="25">
        <f t="shared" ref="K37:K39" si="10">(C37+D37)*I$6</f>
        <v>54.75</v>
      </c>
      <c r="L37" s="25"/>
      <c r="M37" s="25"/>
      <c r="N37" s="25"/>
      <c r="O37" s="25">
        <f>SUM(I37:N37)</f>
        <v>1678.65</v>
      </c>
      <c r="P37" s="27"/>
      <c r="Q37" s="28">
        <v>160.38999999999999</v>
      </c>
      <c r="R37" s="28"/>
      <c r="S37" s="28"/>
      <c r="T37" s="28"/>
      <c r="U37" s="28"/>
      <c r="V37" s="25">
        <f t="shared" si="9"/>
        <v>160.38999999999999</v>
      </c>
      <c r="W37" s="28">
        <f>IF('[9]Calculo ISR '!$CA$34&gt;0,0,('[9]Calculo ISR '!$CA$34)*-1)</f>
        <v>110.45383999999997</v>
      </c>
      <c r="X37" s="25">
        <f t="shared" si="8"/>
        <v>1532.31384</v>
      </c>
      <c r="Y37" s="25">
        <f t="shared" si="1"/>
        <v>96.4</v>
      </c>
      <c r="Z37" s="93"/>
      <c r="AA37" s="73"/>
      <c r="AB37" s="70"/>
    </row>
    <row r="38" spans="1:31" s="35" customFormat="1" ht="45" customHeight="1">
      <c r="A38" s="21" t="s">
        <v>110</v>
      </c>
      <c r="B38" s="33" t="s">
        <v>111</v>
      </c>
      <c r="C38" s="34">
        <v>5</v>
      </c>
      <c r="D38" s="34">
        <v>0</v>
      </c>
      <c r="E38" s="24">
        <v>305.5</v>
      </c>
      <c r="F38" s="24">
        <v>348.3</v>
      </c>
      <c r="G38" s="24">
        <f t="shared" si="2"/>
        <v>1527.5</v>
      </c>
      <c r="H38" s="24">
        <f t="shared" si="2"/>
        <v>0</v>
      </c>
      <c r="I38" s="25">
        <f t="shared" si="3"/>
        <v>1527.5</v>
      </c>
      <c r="J38" s="25">
        <f t="shared" si="4"/>
        <v>96.4</v>
      </c>
      <c r="K38" s="25">
        <f t="shared" si="10"/>
        <v>54.75</v>
      </c>
      <c r="L38" s="25"/>
      <c r="M38" s="25"/>
      <c r="N38" s="25"/>
      <c r="O38" s="25">
        <f>SUM(I38:N38)</f>
        <v>1678.65</v>
      </c>
      <c r="P38" s="27"/>
      <c r="Q38" s="28">
        <v>160.38999999999999</v>
      </c>
      <c r="R38" s="28"/>
      <c r="S38" s="28"/>
      <c r="T38" s="28"/>
      <c r="U38" s="28"/>
      <c r="V38" s="25">
        <f t="shared" si="9"/>
        <v>160.38999999999999</v>
      </c>
      <c r="W38" s="28">
        <f>IF('[9]Calculo ISR '!$CB$34&gt;0,0,('[9]Calculo ISR '!$CB$34)*-1)</f>
        <v>110.45383999999997</v>
      </c>
      <c r="X38" s="25">
        <f t="shared" si="8"/>
        <v>1532.31384</v>
      </c>
      <c r="Y38" s="25">
        <f t="shared" si="1"/>
        <v>96.4</v>
      </c>
      <c r="Z38" s="93"/>
      <c r="AA38" s="73"/>
      <c r="AB38" s="70"/>
    </row>
    <row r="39" spans="1:31" s="35" customFormat="1" ht="45" customHeight="1">
      <c r="A39" s="21" t="s">
        <v>112</v>
      </c>
      <c r="B39" s="33" t="s">
        <v>113</v>
      </c>
      <c r="C39" s="34">
        <v>5</v>
      </c>
      <c r="D39" s="34">
        <v>0</v>
      </c>
      <c r="E39" s="24">
        <v>305.5</v>
      </c>
      <c r="F39" s="24">
        <v>348.3</v>
      </c>
      <c r="G39" s="24">
        <f t="shared" si="2"/>
        <v>1527.5</v>
      </c>
      <c r="H39" s="24">
        <f t="shared" si="2"/>
        <v>0</v>
      </c>
      <c r="I39" s="25">
        <f t="shared" si="3"/>
        <v>1527.5</v>
      </c>
      <c r="J39" s="25">
        <f t="shared" si="4"/>
        <v>96.4</v>
      </c>
      <c r="K39" s="25">
        <f t="shared" si="10"/>
        <v>54.75</v>
      </c>
      <c r="L39" s="25"/>
      <c r="M39" s="25"/>
      <c r="N39" s="25"/>
      <c r="O39" s="25">
        <f t="shared" si="5"/>
        <v>1678.65</v>
      </c>
      <c r="P39" s="27"/>
      <c r="Q39" s="28">
        <v>160.38999999999999</v>
      </c>
      <c r="R39" s="28"/>
      <c r="S39" s="28"/>
      <c r="T39" s="28"/>
      <c r="U39" s="28"/>
      <c r="V39" s="25">
        <f t="shared" si="9"/>
        <v>160.38999999999999</v>
      </c>
      <c r="W39" s="28">
        <f>IF('[9]Calculo ISR '!$CC$34&gt;0,0,('[9]Calculo ISR '!$CC$34)*-1)</f>
        <v>110.45383999999997</v>
      </c>
      <c r="X39" s="25">
        <f t="shared" si="8"/>
        <v>1532.31384</v>
      </c>
      <c r="Y39" s="25">
        <f t="shared" si="1"/>
        <v>96.4</v>
      </c>
      <c r="Z39" s="93"/>
      <c r="AA39" s="73"/>
      <c r="AB39" s="70"/>
    </row>
    <row r="40" spans="1:31" s="2" customFormat="1" ht="30" customHeight="1" thickBot="1">
      <c r="A40" s="86"/>
      <c r="B40" s="38" t="s">
        <v>115</v>
      </c>
      <c r="C40" s="39">
        <f t="shared" ref="C40:M40" si="11">SUM(C10:C39)</f>
        <v>339</v>
      </c>
      <c r="D40" s="39">
        <f t="shared" si="11"/>
        <v>37.5</v>
      </c>
      <c r="E40" s="40">
        <f t="shared" si="11"/>
        <v>9165</v>
      </c>
      <c r="F40" s="40">
        <f t="shared" si="11"/>
        <v>10448.999999999998</v>
      </c>
      <c r="G40" s="40">
        <f t="shared" si="11"/>
        <v>103564.5</v>
      </c>
      <c r="H40" s="40">
        <f t="shared" si="11"/>
        <v>13061.25</v>
      </c>
      <c r="I40" s="40">
        <f t="shared" si="11"/>
        <v>116625.75</v>
      </c>
      <c r="J40" s="40">
        <f t="shared" si="11"/>
        <v>7258.9199999999992</v>
      </c>
      <c r="K40" s="40">
        <f t="shared" si="11"/>
        <v>4122.6750000000002</v>
      </c>
      <c r="L40" s="40">
        <f t="shared" si="11"/>
        <v>1650.2000000000003</v>
      </c>
      <c r="M40" s="40">
        <f t="shared" si="11"/>
        <v>590.54499999999996</v>
      </c>
      <c r="N40" s="40">
        <f t="shared" ref="N40" si="12">SUM(N10:N36)</f>
        <v>0</v>
      </c>
      <c r="O40" s="40">
        <f t="shared" ref="O40:X40" si="13">SUM(O10:O39)</f>
        <v>130248.09</v>
      </c>
      <c r="P40" s="40">
        <f t="shared" si="13"/>
        <v>11342.350696</v>
      </c>
      <c r="Q40" s="40">
        <f t="shared" si="13"/>
        <v>12245.709999999994</v>
      </c>
      <c r="R40" s="40">
        <f t="shared" si="13"/>
        <v>10800.74</v>
      </c>
      <c r="S40" s="40">
        <f t="shared" si="13"/>
        <v>807.29499999999996</v>
      </c>
      <c r="T40" s="40">
        <f t="shared" si="13"/>
        <v>0</v>
      </c>
      <c r="U40" s="74">
        <f t="shared" si="13"/>
        <v>0</v>
      </c>
      <c r="V40" s="40">
        <f t="shared" si="13"/>
        <v>35196.095696000004</v>
      </c>
      <c r="W40" s="40">
        <f t="shared" si="13"/>
        <v>798.41705599999989</v>
      </c>
      <c r="X40" s="40">
        <f t="shared" si="13"/>
        <v>88591.491360000015</v>
      </c>
      <c r="Y40" s="40">
        <f>SUM(Y9:Y39)</f>
        <v>7258.9199999999992</v>
      </c>
      <c r="Z40" s="41"/>
      <c r="AA40" s="3"/>
      <c r="AB40" s="75"/>
      <c r="AC40" s="42"/>
    </row>
    <row r="41" spans="1:31" s="2" customFormat="1" ht="9" customHeight="1">
      <c r="A41" s="87"/>
      <c r="B41" s="44"/>
      <c r="C41" s="45"/>
      <c r="D41" s="45"/>
      <c r="E41" s="46"/>
      <c r="F41" s="46"/>
      <c r="G41" s="46"/>
      <c r="H41" s="46"/>
      <c r="I41" s="62">
        <f>I40+'[9]HT-ADMINISTRATIVOS FIRMA '!E46</f>
        <v>301546.55437726818</v>
      </c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1"/>
      <c r="AA41" s="3"/>
      <c r="AB41" s="88"/>
    </row>
    <row r="42" spans="1:31" s="2" customFormat="1" ht="9" customHeight="1">
      <c r="A42" s="87"/>
      <c r="B42" s="44"/>
      <c r="C42" s="45"/>
      <c r="D42" s="45"/>
      <c r="E42" s="46"/>
      <c r="F42" s="46"/>
      <c r="G42" s="46"/>
      <c r="H42" s="46"/>
      <c r="I42" s="89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1"/>
      <c r="AA42" s="3"/>
      <c r="AB42" s="42"/>
    </row>
    <row r="43" spans="1:31" s="2" customFormat="1" ht="15" customHeight="1">
      <c r="A43" s="69"/>
      <c r="B43" s="82" t="s">
        <v>75</v>
      </c>
      <c r="C43" s="1"/>
      <c r="D43" s="1"/>
      <c r="E43" s="1"/>
      <c r="F43" s="1"/>
      <c r="G43" s="1"/>
      <c r="H43" s="66" t="s">
        <v>76</v>
      </c>
      <c r="I43" s="64"/>
      <c r="L43" s="66"/>
      <c r="M43" s="66"/>
      <c r="N43" s="66"/>
      <c r="O43" s="66"/>
      <c r="P43" s="49"/>
      <c r="Q43" s="50"/>
      <c r="R43" s="1"/>
      <c r="S43" s="1"/>
      <c r="T43" s="1"/>
      <c r="U43" s="1"/>
      <c r="V43" s="1" t="s">
        <v>136</v>
      </c>
      <c r="W43" s="1"/>
      <c r="X43" s="1"/>
      <c r="Y43" s="1"/>
      <c r="Z43" s="1"/>
      <c r="AB43" s="42"/>
      <c r="AE43" s="1"/>
    </row>
    <row r="44" spans="1:31" s="2" customFormat="1" hidden="1">
      <c r="A44" s="69"/>
      <c r="B44" s="1"/>
      <c r="C44" s="1"/>
      <c r="D44" s="1"/>
      <c r="E44" s="1"/>
      <c r="F44" s="1"/>
      <c r="G44" s="1"/>
      <c r="H44" s="1"/>
      <c r="K44" s="1"/>
      <c r="L44" s="1"/>
      <c r="M44" s="1"/>
      <c r="N44" s="1"/>
      <c r="O44" s="51"/>
      <c r="P44" s="51"/>
      <c r="Q44" s="51"/>
      <c r="R44" s="1"/>
      <c r="S44" s="1"/>
      <c r="T44" s="1"/>
      <c r="U44" s="1"/>
      <c r="V44" s="1"/>
      <c r="W44" s="1"/>
      <c r="X44" s="1"/>
      <c r="Y44" s="1"/>
      <c r="Z44" s="1"/>
      <c r="AB44" s="42"/>
      <c r="AE44" s="1"/>
    </row>
    <row r="45" spans="1:31" s="2" customFormat="1" hidden="1">
      <c r="A45" s="69"/>
      <c r="B45" s="1"/>
      <c r="C45" s="1"/>
      <c r="D45" s="1"/>
      <c r="E45" s="1"/>
      <c r="F45" s="1"/>
      <c r="G45" s="1"/>
      <c r="H45" s="1"/>
      <c r="K45" s="1"/>
      <c r="L45" s="1"/>
      <c r="M45" s="1"/>
      <c r="N45" s="1"/>
      <c r="O45" s="51"/>
      <c r="P45" s="51"/>
      <c r="Q45" s="51"/>
      <c r="R45" s="1"/>
      <c r="S45" s="1"/>
      <c r="T45" s="1"/>
      <c r="U45" s="1"/>
      <c r="V45" s="1"/>
      <c r="W45" s="1"/>
      <c r="X45" s="1"/>
      <c r="Y45" s="1"/>
      <c r="Z45" s="1"/>
      <c r="AB45" s="42"/>
      <c r="AE45" s="1"/>
    </row>
    <row r="46" spans="1:31" s="2" customFormat="1" hidden="1">
      <c r="A46" s="69"/>
      <c r="B46" s="1"/>
      <c r="C46" s="1"/>
      <c r="D46" s="1"/>
      <c r="E46" s="1"/>
      <c r="F46" s="1"/>
      <c r="G46" s="1"/>
      <c r="H46" s="1"/>
      <c r="K46" s="1"/>
      <c r="L46" s="1"/>
      <c r="M46" s="1"/>
      <c r="N46" s="1"/>
      <c r="O46" s="52"/>
      <c r="P46" s="52"/>
      <c r="Q46" s="52"/>
      <c r="R46" s="1"/>
      <c r="S46" s="3"/>
      <c r="T46" s="1"/>
      <c r="U46" s="1"/>
      <c r="V46" s="1"/>
      <c r="W46" s="1"/>
      <c r="X46" s="1"/>
      <c r="Y46" s="1"/>
      <c r="Z46" s="1"/>
      <c r="AE46" s="1"/>
    </row>
    <row r="47" spans="1:31" s="2" customFormat="1">
      <c r="A47" s="69"/>
      <c r="B47" s="82" t="s">
        <v>78</v>
      </c>
      <c r="C47" s="1"/>
      <c r="D47" s="1"/>
      <c r="E47" s="1"/>
      <c r="F47" s="1"/>
      <c r="G47" s="53" t="s">
        <v>79</v>
      </c>
      <c r="H47" s="1"/>
      <c r="I47" s="42"/>
      <c r="L47" s="53"/>
      <c r="M47" s="53"/>
      <c r="N47" s="53"/>
      <c r="O47" s="53" t="s">
        <v>143</v>
      </c>
      <c r="P47" s="52"/>
      <c r="Q47" s="49"/>
      <c r="R47" s="1"/>
      <c r="S47" s="1"/>
      <c r="T47" s="1"/>
      <c r="U47" s="52"/>
      <c r="W47" s="53"/>
      <c r="X47" s="53"/>
      <c r="Y47" s="53"/>
      <c r="Z47" s="1"/>
      <c r="AE47" s="1"/>
    </row>
    <row r="48" spans="1:31" ht="12.75" customHeight="1">
      <c r="B48" s="54" t="s">
        <v>81</v>
      </c>
      <c r="G48" s="53" t="s">
        <v>82</v>
      </c>
      <c r="L48" s="53"/>
      <c r="M48" s="181" t="s">
        <v>144</v>
      </c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AA48" s="3"/>
    </row>
    <row r="49" spans="1:27">
      <c r="AA49" s="3"/>
    </row>
    <row r="50" spans="1:27">
      <c r="R50" s="3"/>
      <c r="AA50" s="3"/>
    </row>
    <row r="51" spans="1:27">
      <c r="AA51" s="3"/>
    </row>
    <row r="52" spans="1:27">
      <c r="AA52" s="3"/>
    </row>
    <row r="53" spans="1:27">
      <c r="O53" s="6"/>
      <c r="AA53" s="3"/>
    </row>
    <row r="54" spans="1:27">
      <c r="AA54" s="3"/>
    </row>
    <row r="55" spans="1:27">
      <c r="AA55" s="3"/>
    </row>
    <row r="56" spans="1:27" s="56" customFormat="1">
      <c r="A56" s="6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7" s="56" customFormat="1">
      <c r="A57" s="6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7" s="57" customFormat="1">
      <c r="A58" s="6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7" s="57" customFormat="1">
      <c r="A59" s="6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7" s="57" customFormat="1">
      <c r="A60" s="6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7" s="57" customFormat="1">
      <c r="A61" s="6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7" s="57" customFormat="1">
      <c r="A62" s="6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7" s="57" customFormat="1">
      <c r="A63" s="6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7" s="57" customFormat="1">
      <c r="A64" s="6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57" customFormat="1">
      <c r="A65" s="6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57" customFormat="1">
      <c r="A66" s="6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57" customFormat="1">
      <c r="A67" s="6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9" spans="1:26">
      <c r="S69" s="3"/>
    </row>
  </sheetData>
  <mergeCells count="31">
    <mergeCell ref="Z14:AA14"/>
    <mergeCell ref="A8:A9"/>
    <mergeCell ref="B8:B9"/>
    <mergeCell ref="C8:I8"/>
    <mergeCell ref="J8:O8"/>
    <mergeCell ref="P8:V8"/>
    <mergeCell ref="W8:Y8"/>
    <mergeCell ref="Z9:AA9"/>
    <mergeCell ref="Z10:AA10"/>
    <mergeCell ref="Z11:AA11"/>
    <mergeCell ref="Z12:AA12"/>
    <mergeCell ref="Z13:AA13"/>
    <mergeCell ref="Z26:AA26"/>
    <mergeCell ref="Z15:AA15"/>
    <mergeCell ref="Z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M48:Y48"/>
    <mergeCell ref="Z27:AA27"/>
    <mergeCell ref="Z28:AA28"/>
    <mergeCell ref="Z29:AA29"/>
    <mergeCell ref="Z30:AA30"/>
    <mergeCell ref="Z31:AA31"/>
    <mergeCell ref="Z32:AA32"/>
  </mergeCells>
  <pageMargins left="0.8" right="0.2" top="0.47244094488188981" bottom="0.51181102362204722" header="0.31496062992125984" footer="0.31496062992125984"/>
  <pageSetup paperSize="5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01-15 ENERO </vt:lpstr>
      <vt:lpstr>16-31 ENERO</vt:lpstr>
      <vt:lpstr>01-15 FEBRERO</vt:lpstr>
      <vt:lpstr>16-28 FEBRERO</vt:lpstr>
      <vt:lpstr>01-15 MARZO</vt:lpstr>
      <vt:lpstr>16-31 MARZO</vt:lpstr>
      <vt:lpstr>01-15 ABRIL</vt:lpstr>
      <vt:lpstr>16-30 ABRIL</vt:lpstr>
      <vt:lpstr>01-15 MAYO</vt:lpstr>
      <vt:lpstr>16-31 MAYO</vt:lpstr>
      <vt:lpstr>01-15 JUNIO</vt:lpstr>
      <vt:lpstr>16-30 JUNIO</vt:lpstr>
      <vt:lpstr>01-15 JULIO</vt:lpstr>
      <vt:lpstr>16-31 JULIO</vt:lpstr>
      <vt:lpstr>01-15 AGOSTO</vt:lpstr>
      <vt:lpstr>16-30 AGOSTO</vt:lpstr>
      <vt:lpstr>01-15 SEPTIEMBRE</vt:lpstr>
      <vt:lpstr>16-30 SEPTIEMBRE </vt:lpstr>
      <vt:lpstr>01-15 OCTUBRE</vt:lpstr>
      <vt:lpstr>16-31 OCTUBRE</vt:lpstr>
      <vt:lpstr>01-15 NOVIEMBRE</vt:lpstr>
      <vt:lpstr>16-30 NOVIEMBRE</vt:lpstr>
      <vt:lpstr>01-15 DICIEMBRE</vt:lpstr>
      <vt:lpstr>16-31 DICIEMBRE</vt:lpstr>
      <vt:lpstr>'01-15 ABRIL'!Títulos_a_imprimir</vt:lpstr>
      <vt:lpstr>'01-15 AGOSTO'!Títulos_a_imprimir</vt:lpstr>
      <vt:lpstr>'01-15 DICIEMBRE'!Títulos_a_imprimir</vt:lpstr>
      <vt:lpstr>'01-15 ENERO '!Títulos_a_imprimir</vt:lpstr>
      <vt:lpstr>'01-15 FEBRERO'!Títulos_a_imprimir</vt:lpstr>
      <vt:lpstr>'01-15 JULIO'!Títulos_a_imprimir</vt:lpstr>
      <vt:lpstr>'01-15 JUNIO'!Títulos_a_imprimir</vt:lpstr>
      <vt:lpstr>'01-15 MARZO'!Títulos_a_imprimir</vt:lpstr>
      <vt:lpstr>'01-15 MAYO'!Títulos_a_imprimir</vt:lpstr>
      <vt:lpstr>'01-15 NOVIEMBRE'!Títulos_a_imprimir</vt:lpstr>
      <vt:lpstr>'01-15 OCTUBRE'!Títulos_a_imprimir</vt:lpstr>
      <vt:lpstr>'01-15 SEPTIEMBRE'!Títulos_a_imprimir</vt:lpstr>
      <vt:lpstr>'16-28 FEBRERO'!Títulos_a_imprimir</vt:lpstr>
      <vt:lpstr>'16-30 ABRIL'!Títulos_a_imprimir</vt:lpstr>
      <vt:lpstr>'16-30 AGOSTO'!Títulos_a_imprimir</vt:lpstr>
      <vt:lpstr>'16-30 JUNIO'!Títulos_a_imprimir</vt:lpstr>
      <vt:lpstr>'16-30 NOVIEMBRE'!Títulos_a_imprimir</vt:lpstr>
      <vt:lpstr>'16-30 SEPTIEMBRE '!Títulos_a_imprimir</vt:lpstr>
      <vt:lpstr>'16-31 DICIEMBRE'!Títulos_a_imprimir</vt:lpstr>
      <vt:lpstr>'16-31 ENERO'!Títulos_a_imprimir</vt:lpstr>
      <vt:lpstr>'16-31 JULIO'!Títulos_a_imprimir</vt:lpstr>
      <vt:lpstr>'16-31 MARZO'!Títulos_a_imprimir</vt:lpstr>
      <vt:lpstr>'16-31 MAYO'!Títulos_a_imprimir</vt:lpstr>
      <vt:lpstr>'16-31 OCTUBRE'!Títulos_a_imprimir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</dc:creator>
  <cp:lastModifiedBy>Karina</cp:lastModifiedBy>
  <dcterms:created xsi:type="dcterms:W3CDTF">2016-07-01T17:16:00Z</dcterms:created>
  <dcterms:modified xsi:type="dcterms:W3CDTF">2016-07-05T20:58:57Z</dcterms:modified>
</cp:coreProperties>
</file>